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6.xml" ContentType="application/vnd.openxmlformats-officedocument.drawing+xml"/>
  <Override PartName="/xl/comments5.xml" ContentType="application/vnd.openxmlformats-officedocument.spreadsheetml.comments+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9.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is4sinc-my.sharepoint.us/personal/joy_gary_is4s_com/Documents/Documents/ABS-GOBLN/Fireset/"/>
    </mc:Choice>
  </mc:AlternateContent>
  <xr:revisionPtr revIDLastSave="0" documentId="8_{DD8F505F-DE73-4D55-BF7B-AFD90D22A641}" xr6:coauthVersionLast="47" xr6:coauthVersionMax="47" xr10:uidLastSave="{00000000-0000-0000-0000-000000000000}"/>
  <workbookProtection workbookAlgorithmName="SHA-512" workbookHashValue="ecsVMYdm8qV5rN1GbykNvXcjtPPh1nWNeR+UEnbZTdUkV7Lo09fWtWHFdYM/YC/FRi3V1qgiMpJ01grWRtux7g==" workbookSaltValue="qM2vDIINA5RqckmIWGlLjw==" workbookSpinCount="100000" lockStructure="1"/>
  <bookViews>
    <workbookView xWindow="32811" yWindow="-291" windowWidth="33120" windowHeight="18000" tabRatio="730" xr2:uid="{00000000-000D-0000-FFFF-FFFF00000000}"/>
  </bookViews>
  <sheets>
    <sheet name="Design Converter" sheetId="1" r:id="rId1"/>
    <sheet name="Licenses" sheetId="12" r:id="rId2"/>
    <sheet name="Variable_Management" sheetId="2" state="hidden" r:id="rId3"/>
    <sheet name="CCM_Loop_Modeling_Isolated" sheetId="10" state="hidden" r:id="rId4"/>
    <sheet name="CCM_Loop_Modeling_non_isolated" sheetId="5" state="hidden" r:id="rId5"/>
    <sheet name="Eff_vs_IOUT" sheetId="4" state="hidden" r:id="rId6"/>
    <sheet name="Constants" sheetId="3" state="hidden" r:id="rId7"/>
    <sheet name="Plot_Management_Eff" sheetId="6" state="hidden" r:id="rId8"/>
    <sheet name="Lists" sheetId="8" state="hidden" r:id="rId9"/>
    <sheet name="Plot Management_Loop" sheetId="9" state="hidden" r:id="rId10"/>
    <sheet name="Plot Management_Sch" sheetId="11" state="hidden" r:id="rId11"/>
  </sheets>
  <definedNames>
    <definedName name="Acs">Constants!$B$32</definedName>
    <definedName name="Adc" localSheetId="3">CCM_Loop_Modeling_Isolated!$B$41</definedName>
    <definedName name="Adc">CCM_Loop_Modeling_non_isolated!$B$41</definedName>
    <definedName name="Adc_ea">CCM_Loop_Modeling_non_isolated!$B$69</definedName>
    <definedName name="Adc_ea_iso" localSheetId="3">CCM_Loop_Modeling_Isolated!$B$69</definedName>
    <definedName name="ADC_VINmin">Variable_Management!$B$178</definedName>
    <definedName name="CCOMP">Variable_Management!$B$270</definedName>
    <definedName name="CComp_calc">Variable_Management!$B$269</definedName>
    <definedName name="Ccomp_iso">Variable_Management!$B$231</definedName>
    <definedName name="Ccomp_iso_calc">Variable_Management!$B$230</definedName>
    <definedName name="CD3_">Variable_Management!$B$37</definedName>
    <definedName name="CHF">Variable_Management!$B$272</definedName>
    <definedName name="Comp_calc">Variable_Management!$B$269</definedName>
    <definedName name="Copto">Variable_Management!$B$213</definedName>
    <definedName name="Cout_total">Variable_Management!$B$150</definedName>
    <definedName name="Cout1">Variable_Management!$B$130</definedName>
    <definedName name="Cout1_min">Variable_Management!$B$128</definedName>
    <definedName name="Cout2">Variable_Management!$B$138</definedName>
    <definedName name="Cout2_min">Variable_Management!$B$136</definedName>
    <definedName name="Cout3">Variable_Management!$B$146</definedName>
    <definedName name="Cout3_min">Variable_Management!$B$144</definedName>
    <definedName name="D_limit_max">Constants!$B$20</definedName>
    <definedName name="D_limit_min">Constants!$B$18</definedName>
    <definedName name="D_limit_nom">Constants!$B$19</definedName>
    <definedName name="Dc_max_IC" localSheetId="3">Variable_Management!#REF!</definedName>
    <definedName name="Dc_max_IC">Variable_Management!#REF!</definedName>
    <definedName name="Dc_max_ideal" localSheetId="3">Variable_Management!#REF!</definedName>
    <definedName name="Dc_max_ideal">Variable_Management!#REF!</definedName>
    <definedName name="Dc_rip_max" localSheetId="3">Variable_Management!#REF!</definedName>
    <definedName name="Dc_rip_max">Variable_Management!#REF!</definedName>
    <definedName name="Dc_var_ccm" localSheetId="3">CCM_Loop_Modeling_Isolated!$B$40</definedName>
    <definedName name="Dc_var_ccm">CCM_Loop_Modeling_non_isolated!$B$40</definedName>
    <definedName name="Dc_VIN_max">Variable_Management!$B$59</definedName>
    <definedName name="Dc_VIN_min">Variable_Management!$B$57</definedName>
    <definedName name="Dc_VIN_nom">Variable_Management!$B$58</definedName>
    <definedName name="disp_test">INDIRECT(#REF!)</definedName>
    <definedName name="display_eff">INDIRECT(Plot_Management_Eff!$B$2)</definedName>
    <definedName name="display_LOOP">INDIRECT('Plot Management_Loop'!$A$2)</definedName>
    <definedName name="display_Sch">INDIRECT('Plot Management_Sch'!$A$1)</definedName>
    <definedName name="Dmax_limit">Variable_Management!$B$52</definedName>
    <definedName name="EFF_est">Variable_Management!$B$41</definedName>
    <definedName name="Eff_OUT_1">Plot_Management_Eff!$C$3</definedName>
    <definedName name="Eff_OUT_2">Plot_Management_Eff!$C$6</definedName>
    <definedName name="Eff_OUT_3">Plot_Management_Eff!$C$9</definedName>
    <definedName name="Eff_vs_IOUT">Plot_Management_Eff!$C$3</definedName>
    <definedName name="EN_OUT_2">Variable_Management!$B$23</definedName>
    <definedName name="EN_OUT_3">Variable_Management!$B$32</definedName>
    <definedName name="FB_type">Variable_Management!$B$175</definedName>
    <definedName name="fcross">Variable_Management!$B$253</definedName>
    <definedName name="fcross_est">Variable_Management!$B$252</definedName>
    <definedName name="fcross_iso">Variable_Management!$B$226</definedName>
    <definedName name="fcross_iso_est">Variable_Management!$B$225</definedName>
    <definedName name="fopto">Variable_Management!$B$218</definedName>
    <definedName name="fp_ea_est">Variable_Management!$B$263</definedName>
    <definedName name="Fsw">Variable_Management!$B$10</definedName>
    <definedName name="fz_ea_est">Variable_Management!$B$261</definedName>
    <definedName name="fz_rhp">Variable_Management!$B$187</definedName>
    <definedName name="Gcomp">Constants!$B$31</definedName>
    <definedName name="Gea_mid_calc">Variable_Management!$B$257</definedName>
    <definedName name="gfs">Variable_Management!$B$284</definedName>
    <definedName name="gm_ea">Constants!$B$36</definedName>
    <definedName name="Gplant_fc_dB" localSheetId="3">CCM_Loop_Modeling_Isolated!$AD$7</definedName>
    <definedName name="Gplant_fc_dB">CCM_Loop_Modeling_non_isolated!$AD$7</definedName>
    <definedName name="Icomp_sink_max">Constants!$B$38</definedName>
    <definedName name="IIN_33" localSheetId="3">Variable_Management!#REF!</definedName>
    <definedName name="IIN_33">Variable_Management!#REF!</definedName>
    <definedName name="IL_avg_VIN_max">Variable_Management!$B$88</definedName>
    <definedName name="IL_avg_VIN_min">Variable_Management!$B$80</definedName>
    <definedName name="IL_avg_VIN_nom">Variable_Management!$B$84</definedName>
    <definedName name="IL_pk">Variable_Management!$B$113</definedName>
    <definedName name="IL_pk_max">Variable_Management!$B$114</definedName>
    <definedName name="ILp_VINmax">Variable_Management!$B$90</definedName>
    <definedName name="ILp_VINmin">Variable_Management!$B$82</definedName>
    <definedName name="ILp_VINnom">Variable_Management!$B$86</definedName>
    <definedName name="ILrip">Variable_Management!$B$74</definedName>
    <definedName name="ILrip_VINmax">Variable_Management!$B$89</definedName>
    <definedName name="ILrip_VINmin">Variable_Management!$B$81</definedName>
    <definedName name="ILrip_VINnom">Variable_Management!$B$85</definedName>
    <definedName name="IOUT1">Variable_Management!$B$16</definedName>
    <definedName name="IOUT2">Variable_Management!$B$25</definedName>
    <definedName name="IOUT3">Variable_Management!$B$34</definedName>
    <definedName name="Ipk_margin">Variable_Management!$B$93</definedName>
    <definedName name="Ipk_selected">Variable_Management!$B$94</definedName>
    <definedName name="IQ">Constants!$B$56</definedName>
    <definedName name="IRMS_COUT">Variable_Management!$B$129</definedName>
    <definedName name="Isl">Constants!$B$27</definedName>
    <definedName name="Iss">Constants!$B$45</definedName>
    <definedName name="kopto_max">Variable_Management!$B$211</definedName>
    <definedName name="kopto_min">Variable_Management!$B$210</definedName>
    <definedName name="Kslope">Variable_Management!$B$101</definedName>
    <definedName name="Lm">Variable_Management!$B$76</definedName>
    <definedName name="LOOP_ISO">'Plot Management_Loop'!$B$5</definedName>
    <definedName name="LOOP_ISO_1">#REF!</definedName>
    <definedName name="Loop_look_2">#REF!</definedName>
    <definedName name="LOOP_nISO">'Plot Management_Loop'!$B$3</definedName>
    <definedName name="LOOP_nISO_1">#REF!</definedName>
    <definedName name="Loop_Pictures">INDEX(#REF!,MATCH(#REF!,#REF!,0))</definedName>
    <definedName name="LoopLookup">INDEX('Plot Management_Loop'!$B$3:$B$4,MATCH('Plot Management_Loop'!$A$2,'Plot Management_Loop'!$D$3:$D$4,0))</definedName>
    <definedName name="Lopt" localSheetId="3">Variable_Management!#REF!</definedName>
    <definedName name="Lopt">Variable_Management!#REF!</definedName>
    <definedName name="Lopt_2" localSheetId="3">Variable_Management!#REF!</definedName>
    <definedName name="Lopt_2">Variable_Management!#REF!</definedName>
    <definedName name="mc" localSheetId="3">CCM_Loop_Modeling_Isolated!$B$53</definedName>
    <definedName name="mc">CCM_Loop_Modeling_non_isolated!$B$53</definedName>
    <definedName name="Np">Variable_Management!$B$51</definedName>
    <definedName name="NS1_">Variable_Management!$B$54</definedName>
    <definedName name="NS2_">Variable_Management!$B$64</definedName>
    <definedName name="NS3_">Variable_Management!$B$69</definedName>
    <definedName name="POUT_Total">Variable_Management!$B$40</definedName>
    <definedName name="Pout_var" localSheetId="3">CCM_Loop_Modeling_Isolated!$B$17</definedName>
    <definedName name="Pout_var">CCM_Loop_Modeling_non_isolated!$B$17</definedName>
    <definedName name="POUT1">Variable_Management!$B$18</definedName>
    <definedName name="POUT2">Variable_Management!$B$27</definedName>
    <definedName name="POUT3">Variable_Management!$B$36</definedName>
    <definedName name="_xlnm.Print_Area" localSheetId="0">'Design Converter'!$A$1:$AE$123</definedName>
    <definedName name="Q" localSheetId="3">CCM_Loop_Modeling_Isolated!$B$55</definedName>
    <definedName name="Q">CCM_Loop_Modeling_non_isolated!$B$55</definedName>
    <definedName name="Q_VINmin">Variable_Management!$B$195</definedName>
    <definedName name="Qg_tot">Variable_Management!$B$279</definedName>
    <definedName name="Qgd">Variable_Management!$B$280</definedName>
    <definedName name="Qgs">Variable_Management!$B$281</definedName>
    <definedName name="Qrr">Variable_Management!#REF!</definedName>
    <definedName name="QRR1_">Variable_Management!$B$20</definedName>
    <definedName name="QRR2_">Variable_Management!$B$29</definedName>
    <definedName name="QRR3_">Variable_Management!$B$38</definedName>
    <definedName name="R_cs">Variable_Management!$B$109</definedName>
    <definedName name="R_sl">Variable_Management!$B$110</definedName>
    <definedName name="RCOMP">Variable_Management!$B$268</definedName>
    <definedName name="Rcomp_calc">Variable_Management!$B$267</definedName>
    <definedName name="Rcomp_iso">Variable_Management!$B$229</definedName>
    <definedName name="Rcs_max">Variable_Management!$B$98</definedName>
    <definedName name="Rcs_w_sl">Variable_Management!$B$102</definedName>
    <definedName name="Rcs_wo_sl">Variable_Management!$B$99</definedName>
    <definedName name="Rdcr">Variable_Management!$B$77</definedName>
    <definedName name="Rdcr1">Variable_Management!$B$55</definedName>
    <definedName name="Rdcr2">Variable_Management!$B$66</definedName>
    <definedName name="Rdcr3">Variable_Management!$B$71</definedName>
    <definedName name="RDS_on">Variable_Management!$B$278</definedName>
    <definedName name="Resr_total">Variable_Management!$B$151</definedName>
    <definedName name="Resr1">Variable_Management!$B$131</definedName>
    <definedName name="Resr2">Variable_Management!$B$139</definedName>
    <definedName name="Resr2_Trans">Variable_Management!$B$140</definedName>
    <definedName name="Resr3">Variable_Management!$B$147</definedName>
    <definedName name="Resr3_Trans">Variable_Management!$B$148</definedName>
    <definedName name="RFBB">Variable_Management!$B$240</definedName>
    <definedName name="RFBB_calc">Variable_Management!$B$239</definedName>
    <definedName name="RFBB_iso">Variable_Management!$B$207</definedName>
    <definedName name="RFBB_iso_calc">Variable_Management!$B$206</definedName>
    <definedName name="RFBT">Variable_Management!$B$238</definedName>
    <definedName name="RFBT_iso">Variable_Management!$B$205</definedName>
    <definedName name="Rgate">Variable_Management!$B$282</definedName>
    <definedName name="RLED">Variable_Management!$B$220</definedName>
    <definedName name="ROUT1">Variable_Management!$B$17</definedName>
    <definedName name="ROUT2">Variable_Management!$B$26</definedName>
    <definedName name="ROUT3">Variable_Management!$B$35</definedName>
    <definedName name="Rpullup">Variable_Management!$B$217</definedName>
    <definedName name="Rpullup_min">Variable_Management!$B$216</definedName>
    <definedName name="Rsl_int">Constants!$B$28</definedName>
    <definedName name="RT">Variable_Management!$B$11</definedName>
    <definedName name="Ruvlo_bottom_calc">Variable_Management!$B$168</definedName>
    <definedName name="Ruvlo_top">Variable_Management!$B$167</definedName>
    <definedName name="Ruvlo_top_calc">Variable_Management!$B$166</definedName>
    <definedName name="SCH_1">#REF!</definedName>
    <definedName name="sch_ISO_1">'Plot Management_Sch'!$F$6</definedName>
    <definedName name="sch_ISO_2">'Plot Management_Sch'!$D$6</definedName>
    <definedName name="sch_ISO_3">'Plot Management_Sch'!$B$6</definedName>
    <definedName name="sch_nISO_1">'Plot Management_Sch'!$F$4</definedName>
    <definedName name="sch_nISO_2">'Plot Management_Sch'!$D$4</definedName>
    <definedName name="sch_nISO_3">'Plot Management_Sch'!$B$4</definedName>
    <definedName name="Se_VINmin">Variable_Management!$B$191</definedName>
    <definedName name="Sn_VINmin">Variable_Management!$B$192</definedName>
    <definedName name="tf_sw">Variable_Management!$B$291</definedName>
    <definedName name="tr_sw">Variable_Management!$B$290</definedName>
    <definedName name="tss">Variable_Management!$B$157</definedName>
    <definedName name="UV_fall">Constants!$B$49</definedName>
    <definedName name="UV_I_hyst">Constants!$B$50</definedName>
    <definedName name="UV_rise">Constants!$B$48</definedName>
    <definedName name="Vcc">Constants!$B$53</definedName>
    <definedName name="VCE_sat">Variable_Management!$B$214</definedName>
    <definedName name="Vcl">Constants!$B$29</definedName>
    <definedName name="Vcomp_max">Constants!$B$37</definedName>
    <definedName name="VD">Constants!$B$8</definedName>
    <definedName name="Vd_opto">Variable_Management!$B$212</definedName>
    <definedName name="Vd_rect">Variable_Management!#REF!</definedName>
    <definedName name="VD1_">Variable_Management!$B$19</definedName>
    <definedName name="VD2_">Variable_Management!$B$28</definedName>
    <definedName name="VD3_">Variable_Management!$B$37</definedName>
    <definedName name="VIN_33" localSheetId="3">Variable_Management!#REF!</definedName>
    <definedName name="VIN_33">Variable_Management!#REF!</definedName>
    <definedName name="VIN_max">Variable_Management!$B$9</definedName>
    <definedName name="VIN_min">Variable_Management!$B$7</definedName>
    <definedName name="VIN_nom">Variable_Management!$B$8</definedName>
    <definedName name="VIN_op_max">Constants!$B$60</definedName>
    <definedName name="VIN_op_max_56">Constants!$B$61</definedName>
    <definedName name="VIN_op_min">Constants!$B$59</definedName>
    <definedName name="VIN_var">Variable_Management!$B$8</definedName>
    <definedName name="VOUT1">Variable_Management!$B$15</definedName>
    <definedName name="Vout1_rip_sel">Variable_Management!$B$126</definedName>
    <definedName name="VOUT2">Variable_Management!$B$24</definedName>
    <definedName name="Vout2_rip_sel">Variable_Management!$B$134</definedName>
    <definedName name="VOUT3">Variable_Management!$B$33</definedName>
    <definedName name="Vout3_rip_sel">Variable_Management!$B$142</definedName>
    <definedName name="Vpullup">Variable_Management!$B$215</definedName>
    <definedName name="Vref">Constants!$B$35</definedName>
    <definedName name="Vref_iso">Variable_Management!$B$204</definedName>
    <definedName name="Vth">Variable_Management!$B$285</definedName>
    <definedName name="Vuvlo_off">Variable_Management!$B$162</definedName>
    <definedName name="Vuvlo_on">Variable_Management!$B$161</definedName>
    <definedName name="wp_lf" localSheetId="3">CCM_Loop_Modeling_Isolated!$B$42</definedName>
    <definedName name="wp_lf">CCM_Loop_Modeling_non_isolated!$B$42</definedName>
    <definedName name="wp_lf_VINmin">Variable_Management!$B$180</definedName>
    <definedName name="wp0_ea">CCM_Loop_Modeling_non_isolated!$B$71</definedName>
    <definedName name="wp1_ea">CCM_Loop_Modeling_non_isolated!$B$72</definedName>
    <definedName name="wpA_ea_iso" localSheetId="3">CCM_Loop_Modeling_Isolated!$B$72</definedName>
    <definedName name="wpB_ea_iso" localSheetId="3">CCM_Loop_Modeling_Isolated!$B$73</definedName>
    <definedName name="wpC_ea_iso">CCM_Loop_Modeling_Isolated!$B$74</definedName>
    <definedName name="wsl" localSheetId="3">CCM_Loop_Modeling_Isolated!$B$54</definedName>
    <definedName name="wsl">CCM_Loop_Modeling_non_isolated!$B$54</definedName>
    <definedName name="wsl_VINmin">Variable_Management!$B$194</definedName>
    <definedName name="wz_ea">CCM_Loop_Modeling_non_isolated!$B$70</definedName>
    <definedName name="wz_esr" localSheetId="3">CCM_Loop_Modeling_Isolated!$B$48</definedName>
    <definedName name="wz_esr">CCM_Loop_Modeling_non_isolated!$B$48</definedName>
    <definedName name="wz_esr_VINmin">Variable_Management!$B$183</definedName>
    <definedName name="wz_rhp" localSheetId="3">CCM_Loop_Modeling_Isolated!$B$45</definedName>
    <definedName name="wz_rhp">CCM_Loop_Modeling_non_isolated!$B$45</definedName>
    <definedName name="wz_RHP_VINmin">Variable_Management!$B$186</definedName>
    <definedName name="wz1_ea_iso">CCM_Loop_Modeling_Isolated!$B$70</definedName>
    <definedName name="wz2_ea_iso" localSheetId="3">CCM_Loop_Modeling_Isolated!$B$71</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9" i="2" l="1"/>
  <c r="H230" i="2"/>
  <c r="B134" i="2" l="1"/>
  <c r="A1" i="11" l="1"/>
  <c r="A2" i="9"/>
  <c r="I5" i="9" s="1"/>
  <c r="B2" i="6" l="1"/>
  <c r="B32" i="2" l="1"/>
  <c r="B23" i="2"/>
  <c r="B28" i="2" l="1"/>
  <c r="B20" i="2"/>
  <c r="B19" i="2"/>
  <c r="B55" i="2" l="1"/>
  <c r="O560" i="10" l="1"/>
  <c r="O559" i="10"/>
  <c r="O558" i="10"/>
  <c r="O557" i="10"/>
  <c r="O556" i="10"/>
  <c r="O555" i="10"/>
  <c r="O554" i="10"/>
  <c r="O553" i="10"/>
  <c r="O552" i="10"/>
  <c r="O551" i="10"/>
  <c r="O550" i="10"/>
  <c r="O549" i="10"/>
  <c r="O548" i="10"/>
  <c r="O547" i="10"/>
  <c r="O546" i="10"/>
  <c r="O545" i="10"/>
  <c r="O544" i="10"/>
  <c r="O543" i="10"/>
  <c r="O542" i="10"/>
  <c r="O541" i="10"/>
  <c r="O540" i="10"/>
  <c r="O539" i="10"/>
  <c r="O538" i="10"/>
  <c r="O537" i="10"/>
  <c r="O536" i="10"/>
  <c r="O535" i="10"/>
  <c r="O534" i="10"/>
  <c r="O533" i="10"/>
  <c r="O532" i="10"/>
  <c r="O531" i="10"/>
  <c r="O530" i="10"/>
  <c r="O529" i="10"/>
  <c r="O528" i="10"/>
  <c r="O527" i="10"/>
  <c r="O526" i="10"/>
  <c r="O525" i="10"/>
  <c r="O524" i="10"/>
  <c r="O523" i="10"/>
  <c r="O522" i="10"/>
  <c r="O521" i="10"/>
  <c r="O520" i="10"/>
  <c r="O519" i="10"/>
  <c r="O518" i="10"/>
  <c r="O517" i="10"/>
  <c r="O516" i="10"/>
  <c r="O515" i="10"/>
  <c r="O514" i="10"/>
  <c r="O513" i="10"/>
  <c r="O512" i="10"/>
  <c r="O511" i="10"/>
  <c r="O510" i="10"/>
  <c r="O509" i="10"/>
  <c r="O508" i="10"/>
  <c r="O507" i="10"/>
  <c r="O506" i="10"/>
  <c r="O505" i="10"/>
  <c r="O504" i="10"/>
  <c r="O503" i="10"/>
  <c r="O502" i="10"/>
  <c r="O501" i="10"/>
  <c r="O500" i="10"/>
  <c r="O499" i="10"/>
  <c r="O498" i="10"/>
  <c r="O497" i="10"/>
  <c r="O496" i="10"/>
  <c r="O495" i="10"/>
  <c r="O494" i="10"/>
  <c r="O493" i="10"/>
  <c r="O492" i="10"/>
  <c r="O491" i="10"/>
  <c r="O490" i="10"/>
  <c r="O489" i="10"/>
  <c r="O488" i="10"/>
  <c r="O487" i="10"/>
  <c r="O486" i="10"/>
  <c r="O485" i="10"/>
  <c r="O484" i="10"/>
  <c r="O483" i="10"/>
  <c r="O482" i="10"/>
  <c r="O481" i="10"/>
  <c r="O480" i="10"/>
  <c r="O479" i="10"/>
  <c r="O478" i="10"/>
  <c r="O477" i="10"/>
  <c r="O476" i="10"/>
  <c r="O475" i="10"/>
  <c r="O474" i="10"/>
  <c r="O473" i="10"/>
  <c r="O472" i="10"/>
  <c r="O471" i="10"/>
  <c r="O470" i="10"/>
  <c r="O469" i="10"/>
  <c r="O468" i="10"/>
  <c r="O467" i="10"/>
  <c r="O466" i="10"/>
  <c r="O465" i="10"/>
  <c r="O464" i="10"/>
  <c r="O463" i="10"/>
  <c r="O462" i="10"/>
  <c r="O461" i="10"/>
  <c r="O460" i="10"/>
  <c r="O459" i="10"/>
  <c r="O458" i="10"/>
  <c r="O457" i="10"/>
  <c r="O456" i="10"/>
  <c r="O455" i="10"/>
  <c r="O454" i="10"/>
  <c r="O453" i="10"/>
  <c r="O452" i="10"/>
  <c r="O451" i="10"/>
  <c r="O450" i="10"/>
  <c r="O449" i="10"/>
  <c r="O448" i="10"/>
  <c r="O447" i="10"/>
  <c r="O446" i="10"/>
  <c r="O445" i="10"/>
  <c r="O444" i="10"/>
  <c r="O443" i="10"/>
  <c r="O442" i="10"/>
  <c r="O441" i="10"/>
  <c r="O440" i="10"/>
  <c r="O439" i="10"/>
  <c r="O438" i="10"/>
  <c r="O437" i="10"/>
  <c r="O436" i="10"/>
  <c r="O435" i="10"/>
  <c r="O434" i="10"/>
  <c r="O433" i="10"/>
  <c r="O432" i="10"/>
  <c r="O431" i="10"/>
  <c r="O430" i="10"/>
  <c r="O429" i="10"/>
  <c r="O428" i="10"/>
  <c r="O427" i="10"/>
  <c r="O426" i="10"/>
  <c r="O425" i="10"/>
  <c r="O424" i="10"/>
  <c r="O423" i="10"/>
  <c r="O422" i="10"/>
  <c r="O421" i="10"/>
  <c r="O420" i="10"/>
  <c r="O419" i="10"/>
  <c r="O418" i="10"/>
  <c r="O417" i="10"/>
  <c r="O416" i="10"/>
  <c r="O415" i="10"/>
  <c r="O414" i="10"/>
  <c r="O413" i="10"/>
  <c r="O412" i="10"/>
  <c r="O411" i="10"/>
  <c r="O410" i="10"/>
  <c r="O409" i="10"/>
  <c r="O408" i="10"/>
  <c r="O407" i="10"/>
  <c r="O406" i="10"/>
  <c r="O405" i="10"/>
  <c r="O404" i="10"/>
  <c r="O403" i="10"/>
  <c r="O402" i="10"/>
  <c r="O401" i="10"/>
  <c r="O400" i="10"/>
  <c r="O399" i="10"/>
  <c r="O398" i="10"/>
  <c r="O397" i="10"/>
  <c r="O396" i="10"/>
  <c r="O395" i="10"/>
  <c r="O394" i="10"/>
  <c r="O393" i="10"/>
  <c r="O392" i="10"/>
  <c r="O391" i="10"/>
  <c r="O390" i="10"/>
  <c r="O389" i="10"/>
  <c r="O388" i="10"/>
  <c r="O387" i="10"/>
  <c r="O386" i="10"/>
  <c r="O385" i="10"/>
  <c r="O384" i="10"/>
  <c r="O383" i="10"/>
  <c r="O382" i="10"/>
  <c r="O381" i="10"/>
  <c r="O380" i="10"/>
  <c r="O379" i="10"/>
  <c r="O378" i="10"/>
  <c r="O377" i="10"/>
  <c r="O376" i="10"/>
  <c r="O375" i="10"/>
  <c r="O374" i="10"/>
  <c r="O373" i="10"/>
  <c r="O372" i="10"/>
  <c r="O371" i="10"/>
  <c r="O370" i="10"/>
  <c r="O369" i="10"/>
  <c r="O368" i="10"/>
  <c r="O367" i="10"/>
  <c r="O366" i="10"/>
  <c r="O365" i="10"/>
  <c r="O364" i="10"/>
  <c r="O363" i="10"/>
  <c r="O362" i="10"/>
  <c r="O361" i="10"/>
  <c r="O360" i="10"/>
  <c r="O359" i="10"/>
  <c r="O358" i="10"/>
  <c r="O357" i="10"/>
  <c r="O356" i="10"/>
  <c r="O355" i="10"/>
  <c r="O354" i="10"/>
  <c r="O353" i="10"/>
  <c r="O352" i="10"/>
  <c r="O351" i="10"/>
  <c r="O350" i="10"/>
  <c r="O349" i="10"/>
  <c r="O348" i="10"/>
  <c r="O347" i="10"/>
  <c r="O346" i="10"/>
  <c r="O345" i="10"/>
  <c r="O344" i="10"/>
  <c r="O343" i="10"/>
  <c r="O342" i="10"/>
  <c r="O341" i="10"/>
  <c r="O340" i="10"/>
  <c r="O339" i="10"/>
  <c r="O338" i="10"/>
  <c r="O337" i="10"/>
  <c r="O336" i="10"/>
  <c r="O335" i="10"/>
  <c r="O334" i="10"/>
  <c r="O333" i="10"/>
  <c r="O332" i="10"/>
  <c r="O331" i="10"/>
  <c r="O330" i="10"/>
  <c r="O329" i="10"/>
  <c r="O328" i="10"/>
  <c r="O327" i="10"/>
  <c r="O326" i="10"/>
  <c r="O325" i="10"/>
  <c r="O324" i="10"/>
  <c r="O323" i="10"/>
  <c r="O322" i="10"/>
  <c r="O321" i="10"/>
  <c r="O320" i="10"/>
  <c r="O319" i="10"/>
  <c r="O318" i="10"/>
  <c r="O317" i="10"/>
  <c r="O316" i="10"/>
  <c r="O315" i="10"/>
  <c r="O314" i="10"/>
  <c r="O313" i="10"/>
  <c r="O312" i="10"/>
  <c r="O311" i="10"/>
  <c r="O310" i="10"/>
  <c r="O309" i="10"/>
  <c r="O308" i="10"/>
  <c r="O307" i="10"/>
  <c r="O306" i="10"/>
  <c r="O305" i="10"/>
  <c r="O304" i="10"/>
  <c r="O303" i="10"/>
  <c r="O302" i="10"/>
  <c r="O301" i="10"/>
  <c r="O300" i="10"/>
  <c r="O299" i="10"/>
  <c r="O298" i="10"/>
  <c r="O297" i="10"/>
  <c r="O296" i="10"/>
  <c r="O295" i="10"/>
  <c r="O294" i="10"/>
  <c r="O293" i="10"/>
  <c r="O292" i="10"/>
  <c r="O291" i="10"/>
  <c r="O290" i="10"/>
  <c r="O289" i="10"/>
  <c r="O288" i="10"/>
  <c r="O287" i="10"/>
  <c r="O286" i="10"/>
  <c r="O285" i="10"/>
  <c r="O284" i="10"/>
  <c r="O283" i="10"/>
  <c r="O282" i="10"/>
  <c r="O281" i="10"/>
  <c r="O280" i="10"/>
  <c r="O279" i="10"/>
  <c r="O278" i="10"/>
  <c r="O277" i="10"/>
  <c r="O276" i="10"/>
  <c r="O275" i="10"/>
  <c r="O274" i="10"/>
  <c r="O273" i="10"/>
  <c r="O272" i="10"/>
  <c r="O271" i="10"/>
  <c r="O270" i="10"/>
  <c r="O269" i="10"/>
  <c r="O268" i="10"/>
  <c r="O267" i="10"/>
  <c r="O266" i="10"/>
  <c r="O265" i="10"/>
  <c r="O264" i="10"/>
  <c r="O263" i="10"/>
  <c r="O262" i="10"/>
  <c r="O261" i="10"/>
  <c r="O260" i="10"/>
  <c r="O259" i="10"/>
  <c r="O258" i="10"/>
  <c r="O257" i="10"/>
  <c r="O256" i="10"/>
  <c r="O255" i="10"/>
  <c r="O254" i="10"/>
  <c r="O253" i="10"/>
  <c r="O252" i="10"/>
  <c r="O251" i="10"/>
  <c r="O250" i="10"/>
  <c r="O249" i="10"/>
  <c r="O248" i="10"/>
  <c r="O247" i="10"/>
  <c r="O246" i="10"/>
  <c r="O245" i="10"/>
  <c r="O244" i="10"/>
  <c r="O243" i="10"/>
  <c r="O242" i="10"/>
  <c r="O241" i="10"/>
  <c r="O240" i="10"/>
  <c r="O239" i="10"/>
  <c r="O238" i="10"/>
  <c r="O237" i="10"/>
  <c r="O236" i="10"/>
  <c r="O235" i="10"/>
  <c r="O234" i="10"/>
  <c r="O233" i="10"/>
  <c r="O232" i="10"/>
  <c r="O231" i="10"/>
  <c r="O230" i="10"/>
  <c r="O229" i="10"/>
  <c r="O228" i="10"/>
  <c r="O227" i="10"/>
  <c r="O226" i="10"/>
  <c r="O225" i="10"/>
  <c r="O224" i="10"/>
  <c r="O223" i="10"/>
  <c r="O222" i="10"/>
  <c r="O221" i="10"/>
  <c r="O220" i="10"/>
  <c r="O219" i="10"/>
  <c r="O218" i="10"/>
  <c r="O217" i="10"/>
  <c r="O216" i="10"/>
  <c r="O215" i="10"/>
  <c r="O214" i="10"/>
  <c r="O213" i="10"/>
  <c r="O212" i="10"/>
  <c r="O211" i="10"/>
  <c r="O210" i="10"/>
  <c r="O209" i="10"/>
  <c r="O208" i="10"/>
  <c r="O207" i="10"/>
  <c r="O206" i="10"/>
  <c r="O205" i="10"/>
  <c r="O204" i="10"/>
  <c r="O203" i="10"/>
  <c r="O202" i="10"/>
  <c r="O201" i="10"/>
  <c r="O200" i="10"/>
  <c r="O199" i="10"/>
  <c r="O198" i="10"/>
  <c r="O197" i="10"/>
  <c r="O196" i="10"/>
  <c r="O195" i="10"/>
  <c r="O194" i="10"/>
  <c r="O193" i="10"/>
  <c r="O192" i="10"/>
  <c r="O191" i="10"/>
  <c r="O190" i="10"/>
  <c r="O189" i="10"/>
  <c r="O188" i="10"/>
  <c r="O187" i="10"/>
  <c r="O186" i="10"/>
  <c r="O185" i="10"/>
  <c r="O184" i="10"/>
  <c r="O183" i="10"/>
  <c r="O182" i="10"/>
  <c r="O181" i="10"/>
  <c r="O180" i="10"/>
  <c r="O179" i="10"/>
  <c r="O178" i="10"/>
  <c r="O177" i="10"/>
  <c r="O176" i="10"/>
  <c r="O175" i="10"/>
  <c r="O174" i="10"/>
  <c r="O173" i="10"/>
  <c r="O172" i="10"/>
  <c r="O171" i="10"/>
  <c r="O170" i="10"/>
  <c r="O169" i="10"/>
  <c r="O168" i="10"/>
  <c r="O167" i="10"/>
  <c r="O166" i="10"/>
  <c r="O165" i="10"/>
  <c r="O164" i="10"/>
  <c r="O163" i="10"/>
  <c r="O162" i="10"/>
  <c r="O161" i="10"/>
  <c r="O160" i="10"/>
  <c r="O159" i="10"/>
  <c r="O158" i="10"/>
  <c r="O157" i="10"/>
  <c r="O156" i="10"/>
  <c r="O155" i="10"/>
  <c r="O154" i="10"/>
  <c r="O153" i="10"/>
  <c r="O152" i="10"/>
  <c r="O151" i="10"/>
  <c r="O150" i="10"/>
  <c r="O149" i="10"/>
  <c r="O148" i="10"/>
  <c r="O147" i="10"/>
  <c r="O146" i="10"/>
  <c r="O145" i="10"/>
  <c r="O144" i="10"/>
  <c r="O143" i="10"/>
  <c r="O142" i="10"/>
  <c r="O141" i="10"/>
  <c r="O140" i="10"/>
  <c r="O139" i="10"/>
  <c r="O138" i="10"/>
  <c r="O137" i="10"/>
  <c r="O136" i="10"/>
  <c r="O135" i="10"/>
  <c r="O134" i="10"/>
  <c r="O133" i="10"/>
  <c r="O132" i="10"/>
  <c r="O131" i="10"/>
  <c r="O130" i="10"/>
  <c r="O129" i="10"/>
  <c r="O128" i="10"/>
  <c r="O127" i="10"/>
  <c r="O126" i="10"/>
  <c r="O125" i="10"/>
  <c r="O124" i="10"/>
  <c r="O123" i="10"/>
  <c r="O122" i="10"/>
  <c r="O121" i="10"/>
  <c r="O120" i="10"/>
  <c r="O119" i="10"/>
  <c r="O118" i="10"/>
  <c r="O117" i="10"/>
  <c r="O116" i="10"/>
  <c r="O115" i="10"/>
  <c r="O114" i="10"/>
  <c r="O113" i="10"/>
  <c r="O112" i="10"/>
  <c r="O111" i="10"/>
  <c r="O110" i="10"/>
  <c r="O109" i="10"/>
  <c r="O108" i="10"/>
  <c r="O107" i="10"/>
  <c r="O106" i="10"/>
  <c r="O105" i="10"/>
  <c r="O104" i="10"/>
  <c r="O103" i="10"/>
  <c r="O102" i="10"/>
  <c r="O101" i="10"/>
  <c r="O100" i="10"/>
  <c r="O99" i="10"/>
  <c r="O98" i="10"/>
  <c r="O97" i="10"/>
  <c r="O96" i="10"/>
  <c r="O95" i="10"/>
  <c r="O94" i="10"/>
  <c r="O93" i="10"/>
  <c r="O92" i="10"/>
  <c r="O91" i="10"/>
  <c r="O90" i="10"/>
  <c r="O89" i="10"/>
  <c r="O88" i="10"/>
  <c r="O87" i="10"/>
  <c r="O86" i="10"/>
  <c r="O85" i="10"/>
  <c r="O84" i="10"/>
  <c r="O83" i="10"/>
  <c r="O82" i="10"/>
  <c r="O81" i="10"/>
  <c r="O80" i="10"/>
  <c r="O79" i="10"/>
  <c r="O78" i="10"/>
  <c r="O77" i="10"/>
  <c r="O76" i="10"/>
  <c r="O75" i="10"/>
  <c r="O74" i="10"/>
  <c r="O73" i="10"/>
  <c r="O72" i="10"/>
  <c r="O71" i="10"/>
  <c r="O70" i="10"/>
  <c r="O69" i="10"/>
  <c r="O68" i="10"/>
  <c r="O67" i="10"/>
  <c r="O66" i="10"/>
  <c r="O65" i="10"/>
  <c r="O64" i="10"/>
  <c r="O63" i="10"/>
  <c r="O62" i="10"/>
  <c r="O61" i="10"/>
  <c r="O60" i="10"/>
  <c r="O59" i="10"/>
  <c r="O58" i="10"/>
  <c r="O57" i="10"/>
  <c r="O56" i="10"/>
  <c r="O55" i="10"/>
  <c r="O54" i="10"/>
  <c r="O53" i="10"/>
  <c r="O52" i="10"/>
  <c r="O51" i="10"/>
  <c r="O50" i="10"/>
  <c r="O49" i="10"/>
  <c r="O48" i="10"/>
  <c r="O47" i="10"/>
  <c r="O46" i="10"/>
  <c r="O45" i="10"/>
  <c r="O44" i="10"/>
  <c r="O43" i="10"/>
  <c r="O42" i="10"/>
  <c r="O41" i="10"/>
  <c r="O40" i="10"/>
  <c r="O39" i="10"/>
  <c r="O38" i="10"/>
  <c r="O37" i="10"/>
  <c r="O36" i="10"/>
  <c r="B36" i="10"/>
  <c r="O35" i="10"/>
  <c r="O34" i="10"/>
  <c r="O33" i="10"/>
  <c r="B33" i="10"/>
  <c r="O32" i="10"/>
  <c r="O31" i="10"/>
  <c r="O30" i="10"/>
  <c r="O29" i="10"/>
  <c r="O28" i="10"/>
  <c r="O27" i="10"/>
  <c r="O26" i="10"/>
  <c r="O25" i="10"/>
  <c r="O24" i="10"/>
  <c r="O23" i="10"/>
  <c r="O22" i="10"/>
  <c r="O21" i="10"/>
  <c r="O20" i="10"/>
  <c r="O19" i="10"/>
  <c r="AG19" i="10" s="1"/>
  <c r="G222" i="2"/>
  <c r="F222" i="2"/>
  <c r="B220" i="2"/>
  <c r="B214" i="2"/>
  <c r="B226" i="2"/>
  <c r="B217" i="2"/>
  <c r="B215" i="2"/>
  <c r="B216" i="2" s="1"/>
  <c r="H76" i="1" s="1"/>
  <c r="B213" i="2"/>
  <c r="I72" i="10" s="1"/>
  <c r="B38" i="3"/>
  <c r="B212" i="2"/>
  <c r="B211" i="2"/>
  <c r="B210" i="2"/>
  <c r="B205" i="2"/>
  <c r="B63" i="10" s="1"/>
  <c r="B204" i="2"/>
  <c r="E232" i="2" l="1"/>
  <c r="K222" i="2"/>
  <c r="AG31" i="10"/>
  <c r="AG33" i="10"/>
  <c r="AG39" i="10"/>
  <c r="AG47" i="10"/>
  <c r="AG57" i="10"/>
  <c r="AG69" i="10"/>
  <c r="AG81" i="10"/>
  <c r="AG89" i="10"/>
  <c r="AG97" i="10"/>
  <c r="AG105" i="10"/>
  <c r="AG113" i="10"/>
  <c r="AG121" i="10"/>
  <c r="AG129" i="10"/>
  <c r="AG137" i="10"/>
  <c r="AG145" i="10"/>
  <c r="AG153" i="10"/>
  <c r="AG161" i="10"/>
  <c r="AG165" i="10"/>
  <c r="AG173" i="10"/>
  <c r="AG181" i="10"/>
  <c r="AG189" i="10"/>
  <c r="AG197" i="10"/>
  <c r="AG205" i="10"/>
  <c r="AG213" i="10"/>
  <c r="AG221" i="10"/>
  <c r="AG229" i="10"/>
  <c r="AG237" i="10"/>
  <c r="AG245" i="10"/>
  <c r="AG253" i="10"/>
  <c r="AG261" i="10"/>
  <c r="AG269" i="10"/>
  <c r="AG277" i="10"/>
  <c r="AG285" i="10"/>
  <c r="AG289" i="10"/>
  <c r="AG297" i="10"/>
  <c r="AG305" i="10"/>
  <c r="AG313" i="10"/>
  <c r="AG321" i="10"/>
  <c r="AG329" i="10"/>
  <c r="AG337" i="10"/>
  <c r="AG349" i="10"/>
  <c r="AG353" i="10"/>
  <c r="AG361" i="10"/>
  <c r="AG369" i="10"/>
  <c r="AG377" i="10"/>
  <c r="AG385" i="10"/>
  <c r="AG397" i="10"/>
  <c r="AG405" i="10"/>
  <c r="AG413" i="10"/>
  <c r="AG421" i="10"/>
  <c r="AG429" i="10"/>
  <c r="AG437" i="10"/>
  <c r="AG445" i="10"/>
  <c r="AG453" i="10"/>
  <c r="AG461" i="10"/>
  <c r="AG469" i="10"/>
  <c r="AG477" i="10"/>
  <c r="AG485" i="10"/>
  <c r="AG493" i="10"/>
  <c r="AG497" i="10"/>
  <c r="AG505" i="10"/>
  <c r="AG517" i="10"/>
  <c r="AG525" i="10"/>
  <c r="AG533" i="10"/>
  <c r="AG537" i="10"/>
  <c r="AG545" i="10"/>
  <c r="AG553" i="10"/>
  <c r="AG20" i="10"/>
  <c r="AG26" i="10"/>
  <c r="AG36" i="10"/>
  <c r="AG48" i="10"/>
  <c r="AG58" i="10"/>
  <c r="AG66" i="10"/>
  <c r="AG78" i="10"/>
  <c r="AG86" i="10"/>
  <c r="AG94" i="10"/>
  <c r="AG102" i="10"/>
  <c r="AG110" i="10"/>
  <c r="AG118" i="10"/>
  <c r="AG126" i="10"/>
  <c r="AG138" i="10"/>
  <c r="AG146" i="10"/>
  <c r="AG154" i="10"/>
  <c r="AG162" i="10"/>
  <c r="AG170" i="10"/>
  <c r="AG178" i="10"/>
  <c r="AG186" i="10"/>
  <c r="AG194" i="10"/>
  <c r="AG202" i="10"/>
  <c r="AG206" i="10"/>
  <c r="AG214" i="10"/>
  <c r="AG222" i="10"/>
  <c r="AG230" i="10"/>
  <c r="AG238" i="10"/>
  <c r="AG246" i="10"/>
  <c r="AG254" i="10"/>
  <c r="AG262" i="10"/>
  <c r="AG270" i="10"/>
  <c r="AG282" i="10"/>
  <c r="AG290" i="10"/>
  <c r="AG298" i="10"/>
  <c r="AG306" i="10"/>
  <c r="AG314" i="10"/>
  <c r="AG322" i="10"/>
  <c r="AG330" i="10"/>
  <c r="AG338" i="10"/>
  <c r="AG346" i="10"/>
  <c r="AG354" i="10"/>
  <c r="AG362" i="10"/>
  <c r="AG370" i="10"/>
  <c r="AG378" i="10"/>
  <c r="AG386" i="10"/>
  <c r="AG394" i="10"/>
  <c r="AG402" i="10"/>
  <c r="AG410" i="10"/>
  <c r="AG414" i="10"/>
  <c r="AG422" i="10"/>
  <c r="AG434" i="10"/>
  <c r="AG442" i="10"/>
  <c r="AG450" i="10"/>
  <c r="AG454" i="10"/>
  <c r="AG458" i="10"/>
  <c r="AG466" i="10"/>
  <c r="AG470" i="10"/>
  <c r="AG474" i="10"/>
  <c r="AG478" i="10"/>
  <c r="AG482" i="10"/>
  <c r="AG486" i="10"/>
  <c r="AG490" i="10"/>
  <c r="AG494" i="10"/>
  <c r="AG498" i="10"/>
  <c r="AG502" i="10"/>
  <c r="AG506" i="10"/>
  <c r="AG510" i="10"/>
  <c r="AG514" i="10"/>
  <c r="AG518" i="10"/>
  <c r="AG522" i="10"/>
  <c r="AG526" i="10"/>
  <c r="AG530" i="10"/>
  <c r="AG538" i="10"/>
  <c r="AG542" i="10"/>
  <c r="AG546" i="10"/>
  <c r="AG550" i="10"/>
  <c r="AG554" i="10"/>
  <c r="AG558" i="10"/>
  <c r="AG21" i="10"/>
  <c r="AG27" i="10"/>
  <c r="AG30" i="10"/>
  <c r="AG32" i="10"/>
  <c r="AG34" i="10"/>
  <c r="AG37" i="10"/>
  <c r="AG41" i="10"/>
  <c r="AG45" i="10"/>
  <c r="AG49" i="10"/>
  <c r="AG52" i="10"/>
  <c r="AG55" i="10"/>
  <c r="AG59" i="10"/>
  <c r="AG63" i="10"/>
  <c r="AG67" i="10"/>
  <c r="AG71" i="10"/>
  <c r="AG75" i="10"/>
  <c r="AG79" i="10"/>
  <c r="AG83" i="10"/>
  <c r="AG87" i="10"/>
  <c r="AG91" i="10"/>
  <c r="AG95" i="10"/>
  <c r="AG99" i="10"/>
  <c r="AG103" i="10"/>
  <c r="AG107" i="10"/>
  <c r="AG111" i="10"/>
  <c r="AG115" i="10"/>
  <c r="AG119" i="10"/>
  <c r="AG123" i="10"/>
  <c r="AG127" i="10"/>
  <c r="AG131" i="10"/>
  <c r="AG135" i="10"/>
  <c r="AG139" i="10"/>
  <c r="AG143" i="10"/>
  <c r="AG147" i="10"/>
  <c r="AG151" i="10"/>
  <c r="AG155" i="10"/>
  <c r="AG159" i="10"/>
  <c r="AG163" i="10"/>
  <c r="AG167" i="10"/>
  <c r="AG171" i="10"/>
  <c r="AG175" i="10"/>
  <c r="AG179" i="10"/>
  <c r="AG183" i="10"/>
  <c r="AG187" i="10"/>
  <c r="AG191" i="10"/>
  <c r="AG195" i="10"/>
  <c r="AG199" i="10"/>
  <c r="AG203" i="10"/>
  <c r="AG207" i="10"/>
  <c r="AG211" i="10"/>
  <c r="AG215" i="10"/>
  <c r="AG219" i="10"/>
  <c r="AG223" i="10"/>
  <c r="AG227" i="10"/>
  <c r="AG231" i="10"/>
  <c r="AG235" i="10"/>
  <c r="AG239" i="10"/>
  <c r="AG243" i="10"/>
  <c r="AG247" i="10"/>
  <c r="AG251" i="10"/>
  <c r="AG255" i="10"/>
  <c r="AG259" i="10"/>
  <c r="AG263" i="10"/>
  <c r="AG267" i="10"/>
  <c r="AG271" i="10"/>
  <c r="AG275" i="10"/>
  <c r="AG279" i="10"/>
  <c r="AG283" i="10"/>
  <c r="AG287" i="10"/>
  <c r="AG291" i="10"/>
  <c r="AG295" i="10"/>
  <c r="AG299" i="10"/>
  <c r="AG303" i="10"/>
  <c r="AG307" i="10"/>
  <c r="AG311" i="10"/>
  <c r="AG315" i="10"/>
  <c r="AG319" i="10"/>
  <c r="AG323" i="10"/>
  <c r="AG327" i="10"/>
  <c r="AG331" i="10"/>
  <c r="AG335" i="10"/>
  <c r="AG339" i="10"/>
  <c r="AG343" i="10"/>
  <c r="AG347" i="10"/>
  <c r="AG351" i="10"/>
  <c r="AG355" i="10"/>
  <c r="AG359" i="10"/>
  <c r="AG363" i="10"/>
  <c r="AG367" i="10"/>
  <c r="AG371" i="10"/>
  <c r="AG375" i="10"/>
  <c r="AG379" i="10"/>
  <c r="AG383" i="10"/>
  <c r="AG387" i="10"/>
  <c r="AG391" i="10"/>
  <c r="AG395" i="10"/>
  <c r="AG399" i="10"/>
  <c r="AG403" i="10"/>
  <c r="AG407" i="10"/>
  <c r="AG411" i="10"/>
  <c r="AG415" i="10"/>
  <c r="AG419" i="10"/>
  <c r="AG423" i="10"/>
  <c r="AG427" i="10"/>
  <c r="AG431" i="10"/>
  <c r="AG435" i="10"/>
  <c r="AG439" i="10"/>
  <c r="AG443" i="10"/>
  <c r="AG447" i="10"/>
  <c r="AG451" i="10"/>
  <c r="AG455" i="10"/>
  <c r="AG459" i="10"/>
  <c r="AG463" i="10"/>
  <c r="AG467" i="10"/>
  <c r="AG471" i="10"/>
  <c r="AG475" i="10"/>
  <c r="AG479" i="10"/>
  <c r="AG483" i="10"/>
  <c r="AG487" i="10"/>
  <c r="AG491" i="10"/>
  <c r="AG495" i="10"/>
  <c r="AG499" i="10"/>
  <c r="AG503" i="10"/>
  <c r="AG507" i="10"/>
  <c r="AG511" i="10"/>
  <c r="AG515" i="10"/>
  <c r="AG519" i="10"/>
  <c r="AG523" i="10"/>
  <c r="AG527" i="10"/>
  <c r="AG531" i="10"/>
  <c r="AG535" i="10"/>
  <c r="AG539" i="10"/>
  <c r="AG543" i="10"/>
  <c r="AG547" i="10"/>
  <c r="AG551" i="10"/>
  <c r="AG555" i="10"/>
  <c r="AG559" i="10"/>
  <c r="AG23" i="10"/>
  <c r="AG43" i="10"/>
  <c r="AG61" i="10"/>
  <c r="AG65" i="10"/>
  <c r="AG73" i="10"/>
  <c r="AG77" i="10"/>
  <c r="AG85" i="10"/>
  <c r="AG93" i="10"/>
  <c r="AG101" i="10"/>
  <c r="AG109" i="10"/>
  <c r="AG117" i="10"/>
  <c r="AG125" i="10"/>
  <c r="AG133" i="10"/>
  <c r="AG141" i="10"/>
  <c r="AG149" i="10"/>
  <c r="AG157" i="10"/>
  <c r="AG169" i="10"/>
  <c r="AG177" i="10"/>
  <c r="AG185" i="10"/>
  <c r="AG193" i="10"/>
  <c r="AG201" i="10"/>
  <c r="AG209" i="10"/>
  <c r="AG217" i="10"/>
  <c r="AG225" i="10"/>
  <c r="AG233" i="10"/>
  <c r="AG241" i="10"/>
  <c r="AG249" i="10"/>
  <c r="AG257" i="10"/>
  <c r="AG265" i="10"/>
  <c r="AG273" i="10"/>
  <c r="AG281" i="10"/>
  <c r="AG293" i="10"/>
  <c r="AG301" i="10"/>
  <c r="AG309" i="10"/>
  <c r="AG317" i="10"/>
  <c r="AG325" i="10"/>
  <c r="AG333" i="10"/>
  <c r="AG341" i="10"/>
  <c r="AG345" i="10"/>
  <c r="AG357" i="10"/>
  <c r="AG365" i="10"/>
  <c r="AG373" i="10"/>
  <c r="AG381" i="10"/>
  <c r="AG389" i="10"/>
  <c r="AG393" i="10"/>
  <c r="AG401" i="10"/>
  <c r="AG409" i="10"/>
  <c r="AG417" i="10"/>
  <c r="AG425" i="10"/>
  <c r="AG433" i="10"/>
  <c r="AG441" i="10"/>
  <c r="AG449" i="10"/>
  <c r="AG457" i="10"/>
  <c r="AG465" i="10"/>
  <c r="AG473" i="10"/>
  <c r="AG481" i="10"/>
  <c r="AG489" i="10"/>
  <c r="AG501" i="10"/>
  <c r="AG509" i="10"/>
  <c r="AG513" i="10"/>
  <c r="AG521" i="10"/>
  <c r="AG529" i="10"/>
  <c r="AG541" i="10"/>
  <c r="AG549" i="10"/>
  <c r="AG557" i="10"/>
  <c r="AG24" i="10"/>
  <c r="AG29" i="10"/>
  <c r="AG40" i="10"/>
  <c r="AG44" i="10"/>
  <c r="AG51" i="10"/>
  <c r="AG54" i="10"/>
  <c r="AG62" i="10"/>
  <c r="AG70" i="10"/>
  <c r="AG74" i="10"/>
  <c r="AG82" i="10"/>
  <c r="AG90" i="10"/>
  <c r="AG98" i="10"/>
  <c r="AG106" i="10"/>
  <c r="AG114" i="10"/>
  <c r="AG122" i="10"/>
  <c r="AG130" i="10"/>
  <c r="AG134" i="10"/>
  <c r="AG142" i="10"/>
  <c r="AG150" i="10"/>
  <c r="AG158" i="10"/>
  <c r="AG166" i="10"/>
  <c r="AG174" i="10"/>
  <c r="AG182" i="10"/>
  <c r="AG190" i="10"/>
  <c r="AG198" i="10"/>
  <c r="AG210" i="10"/>
  <c r="AG218" i="10"/>
  <c r="AG226" i="10"/>
  <c r="AG234" i="10"/>
  <c r="AG242" i="10"/>
  <c r="AG250" i="10"/>
  <c r="AG258" i="10"/>
  <c r="AG266" i="10"/>
  <c r="AG274" i="10"/>
  <c r="AG278" i="10"/>
  <c r="AG286" i="10"/>
  <c r="AG294" i="10"/>
  <c r="AG302" i="10"/>
  <c r="AG310" i="10"/>
  <c r="AG318" i="10"/>
  <c r="AG326" i="10"/>
  <c r="AG334" i="10"/>
  <c r="AG342" i="10"/>
  <c r="AG350" i="10"/>
  <c r="AG358" i="10"/>
  <c r="AG366" i="10"/>
  <c r="AG374" i="10"/>
  <c r="AG382" i="10"/>
  <c r="AG390" i="10"/>
  <c r="AG398" i="10"/>
  <c r="AG406" i="10"/>
  <c r="AG418" i="10"/>
  <c r="AG426" i="10"/>
  <c r="AG430" i="10"/>
  <c r="AG438" i="10"/>
  <c r="AG446" i="10"/>
  <c r="AG462" i="10"/>
  <c r="AG534" i="10"/>
  <c r="AG22" i="10"/>
  <c r="AG25" i="10"/>
  <c r="AG28" i="10"/>
  <c r="AG35" i="10"/>
  <c r="AG38" i="10"/>
  <c r="AG42" i="10"/>
  <c r="AG46" i="10"/>
  <c r="AG50" i="10"/>
  <c r="AG53" i="10"/>
  <c r="AG56" i="10"/>
  <c r="AG60" i="10"/>
  <c r="AG64" i="10"/>
  <c r="AG68" i="10"/>
  <c r="AG72" i="10"/>
  <c r="AG76" i="10"/>
  <c r="AG80" i="10"/>
  <c r="AG84" i="10"/>
  <c r="AG88" i="10"/>
  <c r="AG92" i="10"/>
  <c r="AG96" i="10"/>
  <c r="AG100" i="10"/>
  <c r="AG104" i="10"/>
  <c r="AG108" i="10"/>
  <c r="AG112" i="10"/>
  <c r="AG116" i="10"/>
  <c r="AG120" i="10"/>
  <c r="AG124" i="10"/>
  <c r="AG128" i="10"/>
  <c r="AG132" i="10"/>
  <c r="AG136" i="10"/>
  <c r="AG140" i="10"/>
  <c r="AG144" i="10"/>
  <c r="AG148" i="10"/>
  <c r="AG152" i="10"/>
  <c r="AG156" i="10"/>
  <c r="AG160" i="10"/>
  <c r="AG164" i="10"/>
  <c r="AG168" i="10"/>
  <c r="AG172" i="10"/>
  <c r="AG176" i="10"/>
  <c r="AG180" i="10"/>
  <c r="AG184" i="10"/>
  <c r="AG188" i="10"/>
  <c r="AG192" i="10"/>
  <c r="AG196" i="10"/>
  <c r="AG200" i="10"/>
  <c r="AG204" i="10"/>
  <c r="AG208" i="10"/>
  <c r="AG212" i="10"/>
  <c r="AG216" i="10"/>
  <c r="AG220" i="10"/>
  <c r="AG224" i="10"/>
  <c r="AG228" i="10"/>
  <c r="AG232" i="10"/>
  <c r="AG236" i="10"/>
  <c r="AG240" i="10"/>
  <c r="AG244" i="10"/>
  <c r="AG248" i="10"/>
  <c r="AG252" i="10"/>
  <c r="AG256" i="10"/>
  <c r="AG260" i="10"/>
  <c r="AG264" i="10"/>
  <c r="AG268" i="10"/>
  <c r="AG272" i="10"/>
  <c r="AG276" i="10"/>
  <c r="AG280" i="10"/>
  <c r="AG284" i="10"/>
  <c r="AG288" i="10"/>
  <c r="AG292" i="10"/>
  <c r="AG296" i="10"/>
  <c r="AG300" i="10"/>
  <c r="AG304" i="10"/>
  <c r="AG308" i="10"/>
  <c r="AG312" i="10"/>
  <c r="AG316" i="10"/>
  <c r="AG320" i="10"/>
  <c r="AG324" i="10"/>
  <c r="AG328" i="10"/>
  <c r="AG332" i="10"/>
  <c r="AG336" i="10"/>
  <c r="AG340" i="10"/>
  <c r="AG344" i="10"/>
  <c r="AG348" i="10"/>
  <c r="AG352" i="10"/>
  <c r="AG356" i="10"/>
  <c r="AG360" i="10"/>
  <c r="AG364" i="10"/>
  <c r="AG368" i="10"/>
  <c r="AG372" i="10"/>
  <c r="AG376" i="10"/>
  <c r="AG380" i="10"/>
  <c r="AG384" i="10"/>
  <c r="AG388" i="10"/>
  <c r="AG392" i="10"/>
  <c r="AG396" i="10"/>
  <c r="AG400" i="10"/>
  <c r="AG404" i="10"/>
  <c r="AG408" i="10"/>
  <c r="AG412" i="10"/>
  <c r="AG416" i="10"/>
  <c r="AG420" i="10"/>
  <c r="AG424" i="10"/>
  <c r="AG428" i="10"/>
  <c r="AG432" i="10"/>
  <c r="AG436" i="10"/>
  <c r="AG440" i="10"/>
  <c r="AG444" i="10"/>
  <c r="AG448" i="10"/>
  <c r="AG452" i="10"/>
  <c r="AG456" i="10"/>
  <c r="AG460" i="10"/>
  <c r="AG464" i="10"/>
  <c r="AG468" i="10"/>
  <c r="AG472" i="10"/>
  <c r="AG476" i="10"/>
  <c r="AG480" i="10"/>
  <c r="AG484" i="10"/>
  <c r="AG488" i="10"/>
  <c r="AG492" i="10"/>
  <c r="AG496" i="10"/>
  <c r="AG500" i="10"/>
  <c r="AG504" i="10"/>
  <c r="AG508" i="10"/>
  <c r="AG512" i="10"/>
  <c r="AG516" i="10"/>
  <c r="AG520" i="10"/>
  <c r="AG524" i="10"/>
  <c r="AG528" i="10"/>
  <c r="AG532" i="10"/>
  <c r="AG536" i="10"/>
  <c r="AG540" i="10"/>
  <c r="AG544" i="10"/>
  <c r="AG548" i="10"/>
  <c r="AG552" i="10"/>
  <c r="AG556" i="10"/>
  <c r="AG560" i="10"/>
  <c r="B218" i="2"/>
  <c r="B224" i="2" s="1"/>
  <c r="B77" i="2"/>
  <c r="B142" i="2"/>
  <c r="B69" i="2" l="1"/>
  <c r="B54" i="2"/>
  <c r="H231" i="2" s="1"/>
  <c r="B16" i="2"/>
  <c r="B127" i="2" s="1"/>
  <c r="B15" i="2"/>
  <c r="B52" i="2"/>
  <c r="B26" i="10" l="1"/>
  <c r="B37" i="2"/>
  <c r="B38" i="2"/>
  <c r="B71" i="2"/>
  <c r="B29" i="2"/>
  <c r="B66" i="2"/>
  <c r="B10" i="4"/>
  <c r="B11" i="4" s="1"/>
  <c r="B219" i="2"/>
  <c r="H78" i="1" s="1"/>
  <c r="B25" i="10"/>
  <c r="E222" i="2"/>
  <c r="B206" i="2"/>
  <c r="B34" i="2"/>
  <c r="B143" i="2" s="1"/>
  <c r="B147" i="2"/>
  <c r="B148" i="2" s="1"/>
  <c r="B146" i="2"/>
  <c r="B138" i="2"/>
  <c r="B139" i="2"/>
  <c r="B25" i="2"/>
  <c r="B135" i="2" s="1"/>
  <c r="B60" i="2"/>
  <c r="B70" i="2"/>
  <c r="B64" i="2"/>
  <c r="B33" i="2"/>
  <c r="BL27" i="4" s="1"/>
  <c r="B24" i="2"/>
  <c r="B140" i="2" l="1"/>
  <c r="K150" i="2"/>
  <c r="BL125" i="4"/>
  <c r="BL60" i="4"/>
  <c r="BL150" i="4"/>
  <c r="BL57" i="4"/>
  <c r="BL143" i="4"/>
  <c r="BL75" i="4"/>
  <c r="BL133" i="4"/>
  <c r="BL17" i="4"/>
  <c r="BL154" i="4"/>
  <c r="BL104" i="4"/>
  <c r="BL19" i="4"/>
  <c r="BL106" i="4"/>
  <c r="BL9" i="4"/>
  <c r="BL48" i="4"/>
  <c r="BL13" i="4"/>
  <c r="BL115" i="4"/>
  <c r="BL52" i="4"/>
  <c r="BL70" i="4"/>
  <c r="BL7" i="4"/>
  <c r="BL151" i="4"/>
  <c r="BL153" i="4"/>
  <c r="BL40" i="4"/>
  <c r="BL87" i="4"/>
  <c r="BL84" i="4"/>
  <c r="BL85" i="4"/>
  <c r="BL16" i="4"/>
  <c r="BL22" i="4"/>
  <c r="BL37" i="4"/>
  <c r="BL43" i="4"/>
  <c r="BL65" i="4"/>
  <c r="BL80" i="4"/>
  <c r="BL86" i="4"/>
  <c r="BL101" i="4"/>
  <c r="BL108" i="4"/>
  <c r="BL10" i="4"/>
  <c r="BL25" i="4"/>
  <c r="BL31" i="4"/>
  <c r="BL73" i="4"/>
  <c r="BL79" i="4"/>
  <c r="BL12" i="4"/>
  <c r="BL18" i="4"/>
  <c r="BL33" i="4"/>
  <c r="BL39" i="4"/>
  <c r="BL76" i="4"/>
  <c r="BL82" i="4"/>
  <c r="BL97" i="4"/>
  <c r="BL103" i="4"/>
  <c r="BL29" i="4"/>
  <c r="BL88" i="4"/>
  <c r="BL141" i="4"/>
  <c r="BL147" i="4"/>
  <c r="BL46" i="4"/>
  <c r="BL117" i="4"/>
  <c r="BL139" i="4"/>
  <c r="BL45" i="4"/>
  <c r="BL118" i="4"/>
  <c r="BL124" i="4"/>
  <c r="BL152" i="4"/>
  <c r="BL105" i="4"/>
  <c r="BL62" i="4"/>
  <c r="BL126" i="4"/>
  <c r="BL132" i="4"/>
  <c r="BL56" i="4"/>
  <c r="BL123" i="4"/>
  <c r="BL138" i="4"/>
  <c r="BL32" i="4"/>
  <c r="BL38" i="4"/>
  <c r="BL53" i="4"/>
  <c r="BL59" i="4"/>
  <c r="BL96" i="4"/>
  <c r="BL102" i="4"/>
  <c r="BL109" i="4"/>
  <c r="BL20" i="4"/>
  <c r="BL26" i="4"/>
  <c r="BL41" i="4"/>
  <c r="BL47" i="4"/>
  <c r="BL68" i="4"/>
  <c r="BL74" i="4"/>
  <c r="BL89" i="4"/>
  <c r="BL95" i="4"/>
  <c r="BL28" i="4"/>
  <c r="BL34" i="4"/>
  <c r="BL49" i="4"/>
  <c r="BL55" i="4"/>
  <c r="BL92" i="4"/>
  <c r="BL98" i="4"/>
  <c r="BL14" i="4"/>
  <c r="BL93" i="4"/>
  <c r="BL114" i="4"/>
  <c r="BL120" i="4"/>
  <c r="BL61" i="4"/>
  <c r="BL144" i="4"/>
  <c r="BL30" i="4"/>
  <c r="BL94" i="4"/>
  <c r="BL113" i="4"/>
  <c r="BL119" i="4"/>
  <c r="BL134" i="4"/>
  <c r="BL140" i="4"/>
  <c r="BL149" i="4"/>
  <c r="BL67" i="4"/>
  <c r="BL121" i="4"/>
  <c r="BL127" i="4"/>
  <c r="BL142" i="4"/>
  <c r="BL148" i="4"/>
  <c r="BL128" i="4"/>
  <c r="BL21" i="4"/>
  <c r="BL64" i="4"/>
  <c r="BL91" i="4"/>
  <c r="BL107" i="4"/>
  <c r="BL15" i="4"/>
  <c r="BL58" i="4"/>
  <c r="BL100" i="4"/>
  <c r="BL23" i="4"/>
  <c r="BL66" i="4"/>
  <c r="BL81" i="4"/>
  <c r="BL24" i="4"/>
  <c r="BL83" i="4"/>
  <c r="BL131" i="4"/>
  <c r="BL146" i="4"/>
  <c r="BL112" i="4"/>
  <c r="BL157" i="4"/>
  <c r="BL145" i="4"/>
  <c r="BL77" i="4"/>
  <c r="BL116" i="4"/>
  <c r="BL156" i="4"/>
  <c r="BL51" i="4"/>
  <c r="BL11" i="4"/>
  <c r="BL54" i="4"/>
  <c r="BL69" i="4"/>
  <c r="BL110" i="4"/>
  <c r="BL36" i="4"/>
  <c r="BL63" i="4"/>
  <c r="BL90" i="4"/>
  <c r="BL44" i="4"/>
  <c r="BL71" i="4"/>
  <c r="BL111" i="4"/>
  <c r="BL136" i="4"/>
  <c r="BL155" i="4"/>
  <c r="BL35" i="4"/>
  <c r="BL99" i="4"/>
  <c r="BL135" i="4"/>
  <c r="BL122" i="4"/>
  <c r="BL137" i="4"/>
  <c r="BL72" i="4"/>
  <c r="BL129" i="4"/>
  <c r="BL130" i="4"/>
  <c r="BL78" i="4"/>
  <c r="BL50" i="4"/>
  <c r="BL42" i="4"/>
  <c r="BL8" i="4"/>
  <c r="B18" i="4"/>
  <c r="BA8" i="4"/>
  <c r="BA12" i="4"/>
  <c r="BA15" i="4"/>
  <c r="BA18" i="4"/>
  <c r="BA22" i="4"/>
  <c r="BA25" i="4"/>
  <c r="BA29" i="4"/>
  <c r="BA33" i="4"/>
  <c r="BA37" i="4"/>
  <c r="BA40" i="4"/>
  <c r="BA7" i="4"/>
  <c r="BA10" i="4"/>
  <c r="BA13" i="4"/>
  <c r="BA16" i="4"/>
  <c r="BA19" i="4"/>
  <c r="BA23" i="4"/>
  <c r="BA27" i="4"/>
  <c r="BA30" i="4"/>
  <c r="BA34" i="4"/>
  <c r="BA38" i="4"/>
  <c r="BA42" i="4"/>
  <c r="B14" i="4"/>
  <c r="BA9" i="4"/>
  <c r="BA11" i="4"/>
  <c r="BA14" i="4"/>
  <c r="BA17" i="4"/>
  <c r="BA20" i="4"/>
  <c r="BA21" i="4"/>
  <c r="BA24" i="4"/>
  <c r="BA26" i="4"/>
  <c r="BA28" i="4"/>
  <c r="BA31" i="4"/>
  <c r="BA32" i="4"/>
  <c r="BA35" i="4"/>
  <c r="BA36" i="4"/>
  <c r="BA39" i="4"/>
  <c r="BA41" i="4"/>
  <c r="BA131" i="4"/>
  <c r="BA142" i="4"/>
  <c r="BA145" i="4"/>
  <c r="BA148" i="4"/>
  <c r="BA149" i="4"/>
  <c r="BA152" i="4"/>
  <c r="BA155" i="4"/>
  <c r="BA156" i="4"/>
  <c r="BA43" i="4"/>
  <c r="BA44" i="4"/>
  <c r="BA45" i="4"/>
  <c r="BA46" i="4"/>
  <c r="BA48" i="4"/>
  <c r="BA49" i="4"/>
  <c r="BA50" i="4"/>
  <c r="BA51" i="4"/>
  <c r="BA53" i="4"/>
  <c r="BA55" i="4"/>
  <c r="BA57" i="4"/>
  <c r="BA59" i="4"/>
  <c r="BA61" i="4"/>
  <c r="BA63" i="4"/>
  <c r="BA65" i="4"/>
  <c r="BA67" i="4"/>
  <c r="BA69" i="4"/>
  <c r="BA71" i="4"/>
  <c r="BA73" i="4"/>
  <c r="BA75" i="4"/>
  <c r="BA77" i="4"/>
  <c r="BA79" i="4"/>
  <c r="BA81" i="4"/>
  <c r="BA83" i="4"/>
  <c r="BA85" i="4"/>
  <c r="BA87" i="4"/>
  <c r="BA89" i="4"/>
  <c r="BA91" i="4"/>
  <c r="BA93" i="4"/>
  <c r="BA95" i="4"/>
  <c r="BA97" i="4"/>
  <c r="BA99" i="4"/>
  <c r="BA101" i="4"/>
  <c r="BA103" i="4"/>
  <c r="BA105" i="4"/>
  <c r="BA107" i="4"/>
  <c r="BA109" i="4"/>
  <c r="BA111" i="4"/>
  <c r="BA113" i="4"/>
  <c r="BA115" i="4"/>
  <c r="BA117" i="4"/>
  <c r="BA119" i="4"/>
  <c r="BA121" i="4"/>
  <c r="BA123" i="4"/>
  <c r="BA125" i="4"/>
  <c r="BA127" i="4"/>
  <c r="BA129" i="4"/>
  <c r="BA132" i="4"/>
  <c r="BA134" i="4"/>
  <c r="BA136" i="4"/>
  <c r="BA138" i="4"/>
  <c r="BA140" i="4"/>
  <c r="BA143" i="4"/>
  <c r="BA146" i="4"/>
  <c r="BA150" i="4"/>
  <c r="BA153" i="4"/>
  <c r="BA157" i="4"/>
  <c r="BA47" i="4"/>
  <c r="BA52" i="4"/>
  <c r="BA54" i="4"/>
  <c r="BA56" i="4"/>
  <c r="BA58" i="4"/>
  <c r="BA60" i="4"/>
  <c r="BA62" i="4"/>
  <c r="BA64" i="4"/>
  <c r="BA66" i="4"/>
  <c r="BA68" i="4"/>
  <c r="BA70" i="4"/>
  <c r="BA72" i="4"/>
  <c r="BA74" i="4"/>
  <c r="BA76" i="4"/>
  <c r="BA78" i="4"/>
  <c r="BA80" i="4"/>
  <c r="BA82" i="4"/>
  <c r="BA84" i="4"/>
  <c r="BA86" i="4"/>
  <c r="BA88" i="4"/>
  <c r="BA90" i="4"/>
  <c r="BA92" i="4"/>
  <c r="BA94" i="4"/>
  <c r="BA96" i="4"/>
  <c r="BA98" i="4"/>
  <c r="BA100" i="4"/>
  <c r="BA102" i="4"/>
  <c r="BA104" i="4"/>
  <c r="BA106" i="4"/>
  <c r="BA108" i="4"/>
  <c r="BA110" i="4"/>
  <c r="BA112" i="4"/>
  <c r="BA114" i="4"/>
  <c r="BA116" i="4"/>
  <c r="BA118" i="4"/>
  <c r="BA120" i="4"/>
  <c r="BA122" i="4"/>
  <c r="BA124" i="4"/>
  <c r="BA126" i="4"/>
  <c r="BA128" i="4"/>
  <c r="BA130" i="4"/>
  <c r="BA133" i="4"/>
  <c r="BA135" i="4"/>
  <c r="BA137" i="4"/>
  <c r="BA139" i="4"/>
  <c r="BA141" i="4"/>
  <c r="BA144" i="4"/>
  <c r="BA147" i="4"/>
  <c r="BA151" i="4"/>
  <c r="BA154" i="4"/>
  <c r="AK114" i="4"/>
  <c r="AK50" i="4"/>
  <c r="AK66" i="4"/>
  <c r="AK58" i="4"/>
  <c r="AK106" i="4"/>
  <c r="AK40" i="4"/>
  <c r="AK94" i="4"/>
  <c r="AK18" i="4"/>
  <c r="AK68" i="4"/>
  <c r="AK123" i="4"/>
  <c r="AK75" i="4"/>
  <c r="AK27" i="4"/>
  <c r="AK125" i="4"/>
  <c r="AK61" i="4"/>
  <c r="AK13" i="4"/>
  <c r="AK87" i="4"/>
  <c r="AK23" i="4"/>
  <c r="AK121" i="4"/>
  <c r="AK89" i="4"/>
  <c r="AK41" i="4"/>
  <c r="AK78" i="4"/>
  <c r="AK14" i="4"/>
  <c r="AK116" i="4"/>
  <c r="AK147" i="4"/>
  <c r="AK115" i="4"/>
  <c r="AK35" i="4"/>
  <c r="AK133" i="4"/>
  <c r="AK69" i="4"/>
  <c r="AK146" i="4"/>
  <c r="AK9" i="4"/>
  <c r="AK154" i="4"/>
  <c r="AK74" i="4"/>
  <c r="AK130" i="4"/>
  <c r="AK136" i="4"/>
  <c r="AK80" i="4"/>
  <c r="AK24" i="4"/>
  <c r="AK150" i="4"/>
  <c r="AK118" i="4"/>
  <c r="AK86" i="4"/>
  <c r="AK54" i="4"/>
  <c r="AK22" i="4"/>
  <c r="AK10" i="4"/>
  <c r="AK88" i="4"/>
  <c r="AK156" i="4"/>
  <c r="AK124" i="4"/>
  <c r="AK92" i="4"/>
  <c r="AK60" i="4"/>
  <c r="AK28" i="4"/>
  <c r="AK151" i="4"/>
  <c r="AK119" i="4"/>
  <c r="AK55" i="4"/>
  <c r="AK137" i="4"/>
  <c r="AK73" i="4"/>
  <c r="AK122" i="4"/>
  <c r="AK72" i="4"/>
  <c r="AK52" i="4"/>
  <c r="AK83" i="4"/>
  <c r="AK19" i="4"/>
  <c r="AK101" i="4"/>
  <c r="AK37" i="4"/>
  <c r="AK98" i="4"/>
  <c r="AK90" i="4"/>
  <c r="AK138" i="4"/>
  <c r="AK104" i="4"/>
  <c r="AK48" i="4"/>
  <c r="AK8" i="4"/>
  <c r="AK134" i="4"/>
  <c r="AK102" i="4"/>
  <c r="AK70" i="4"/>
  <c r="AK38" i="4"/>
  <c r="AK26" i="4"/>
  <c r="AK128" i="4"/>
  <c r="AK56" i="4"/>
  <c r="AK140" i="4"/>
  <c r="AK108" i="4"/>
  <c r="AK76" i="4"/>
  <c r="AK44" i="4"/>
  <c r="AK12" i="4"/>
  <c r="AK143" i="4"/>
  <c r="AK127" i="4"/>
  <c r="AK111" i="4"/>
  <c r="AK95" i="4"/>
  <c r="AK79" i="4"/>
  <c r="AK63" i="4"/>
  <c r="AK47" i="4"/>
  <c r="AK31" i="4"/>
  <c r="AK15" i="4"/>
  <c r="AK145" i="4"/>
  <c r="AK129" i="4"/>
  <c r="AK113" i="4"/>
  <c r="AK97" i="4"/>
  <c r="AK81" i="4"/>
  <c r="AK65" i="4"/>
  <c r="AK49" i="4"/>
  <c r="AK33" i="4"/>
  <c r="AK17" i="4"/>
  <c r="AK152" i="4"/>
  <c r="AK96" i="4"/>
  <c r="AK7" i="4"/>
  <c r="AK126" i="4"/>
  <c r="AK62" i="4"/>
  <c r="AK30" i="4"/>
  <c r="AK112" i="4"/>
  <c r="AK32" i="4"/>
  <c r="AK132" i="4"/>
  <c r="AK100" i="4"/>
  <c r="AK36" i="4"/>
  <c r="AK155" i="4"/>
  <c r="AK139" i="4"/>
  <c r="AK107" i="4"/>
  <c r="AK91" i="4"/>
  <c r="AK59" i="4"/>
  <c r="AK43" i="4"/>
  <c r="AK11" i="4"/>
  <c r="AK141" i="4"/>
  <c r="AK109" i="4"/>
  <c r="AK93" i="4"/>
  <c r="AK77" i="4"/>
  <c r="AK45" i="4"/>
  <c r="AK29" i="4"/>
  <c r="AK135" i="4"/>
  <c r="AK103" i="4"/>
  <c r="AK71" i="4"/>
  <c r="AK39" i="4"/>
  <c r="AK153" i="4"/>
  <c r="AK105" i="4"/>
  <c r="AK57" i="4"/>
  <c r="AK25" i="4"/>
  <c r="AK82" i="4"/>
  <c r="AK157" i="4"/>
  <c r="AK42" i="4"/>
  <c r="AK34" i="4"/>
  <c r="AK120" i="4"/>
  <c r="AK64" i="4"/>
  <c r="AK16" i="4"/>
  <c r="AK142" i="4"/>
  <c r="AK110" i="4"/>
  <c r="AK46" i="4"/>
  <c r="AK144" i="4"/>
  <c r="AK148" i="4"/>
  <c r="AK84" i="4"/>
  <c r="AK20" i="4"/>
  <c r="AK131" i="4"/>
  <c r="AK99" i="4"/>
  <c r="AK67" i="4"/>
  <c r="AK51" i="4"/>
  <c r="AK149" i="4"/>
  <c r="AK117" i="4"/>
  <c r="AK85" i="4"/>
  <c r="AK53" i="4"/>
  <c r="AK21" i="4"/>
  <c r="B27" i="2"/>
  <c r="B15" i="4" s="1"/>
  <c r="B65" i="2"/>
  <c r="N19" i="1" s="1"/>
  <c r="N27" i="1"/>
  <c r="B63" i="2"/>
  <c r="N16" i="1" s="1"/>
  <c r="B35" i="2"/>
  <c r="B68" i="2"/>
  <c r="N24" i="1" s="1"/>
  <c r="B26" i="2"/>
  <c r="B36" i="2"/>
  <c r="B19" i="4" s="1"/>
  <c r="BK9" i="4" l="1"/>
  <c r="BM9" i="4" s="1"/>
  <c r="BK31" i="4"/>
  <c r="BM31" i="4" s="1"/>
  <c r="BK52" i="4"/>
  <c r="BM52" i="4" s="1"/>
  <c r="BK58" i="4"/>
  <c r="BM58" i="4" s="1"/>
  <c r="BK73" i="4"/>
  <c r="BM73" i="4" s="1"/>
  <c r="BK95" i="4"/>
  <c r="BK19" i="4"/>
  <c r="BM19" i="4" s="1"/>
  <c r="BK40" i="4"/>
  <c r="BM40" i="4" s="1"/>
  <c r="BK46" i="4"/>
  <c r="BM46" i="4" s="1"/>
  <c r="BK61" i="4"/>
  <c r="BM61" i="4" s="1"/>
  <c r="BK67" i="4"/>
  <c r="BM67" i="4" s="1"/>
  <c r="BK88" i="4"/>
  <c r="BK94" i="4"/>
  <c r="BK27" i="4"/>
  <c r="BM27" i="4" s="1"/>
  <c r="BK48" i="4"/>
  <c r="BM48" i="4" s="1"/>
  <c r="BK54" i="4"/>
  <c r="BM54" i="4" s="1"/>
  <c r="BK69" i="4"/>
  <c r="BM69" i="4" s="1"/>
  <c r="BK91" i="4"/>
  <c r="BK109" i="4"/>
  <c r="BK49" i="4"/>
  <c r="BM49" i="4" s="1"/>
  <c r="BK113" i="4"/>
  <c r="BK119" i="4"/>
  <c r="BK134" i="4"/>
  <c r="BK112" i="4"/>
  <c r="BK133" i="4"/>
  <c r="BK139" i="4"/>
  <c r="BK132" i="4"/>
  <c r="BK23" i="4"/>
  <c r="BM23" i="4" s="1"/>
  <c r="BK82" i="4"/>
  <c r="BK111" i="4"/>
  <c r="BK120" i="4"/>
  <c r="BK141" i="4"/>
  <c r="BK147" i="4"/>
  <c r="BK153" i="4"/>
  <c r="BK157" i="4"/>
  <c r="BK10" i="4"/>
  <c r="BM10" i="4" s="1"/>
  <c r="BK25" i="4"/>
  <c r="BM25" i="4" s="1"/>
  <c r="BK47" i="4"/>
  <c r="BM47" i="4" s="1"/>
  <c r="BK68" i="4"/>
  <c r="BM68" i="4" s="1"/>
  <c r="BK74" i="4"/>
  <c r="BM74" i="4" s="1"/>
  <c r="BK89" i="4"/>
  <c r="BK13" i="4"/>
  <c r="BM13" i="4" s="1"/>
  <c r="BK35" i="4"/>
  <c r="BM35" i="4" s="1"/>
  <c r="BK56" i="4"/>
  <c r="BM56" i="4" s="1"/>
  <c r="BK62" i="4"/>
  <c r="BM62" i="4" s="1"/>
  <c r="BK83" i="4"/>
  <c r="BK104" i="4"/>
  <c r="BK21" i="4"/>
  <c r="BM21" i="4" s="1"/>
  <c r="BK43" i="4"/>
  <c r="BM43" i="4" s="1"/>
  <c r="BK64" i="4"/>
  <c r="BM64" i="4" s="1"/>
  <c r="BK70" i="4"/>
  <c r="BM70" i="4" s="1"/>
  <c r="BK85" i="4"/>
  <c r="BK110" i="4"/>
  <c r="BK34" i="4"/>
  <c r="BM34" i="4" s="1"/>
  <c r="BK129" i="4"/>
  <c r="BK135" i="4"/>
  <c r="BK152" i="4"/>
  <c r="BK121" i="4"/>
  <c r="BK50" i="4"/>
  <c r="BM50" i="4" s="1"/>
  <c r="BK128" i="4"/>
  <c r="BK149" i="4"/>
  <c r="BK28" i="4"/>
  <c r="BM28" i="4" s="1"/>
  <c r="BK87" i="4"/>
  <c r="BK114" i="4"/>
  <c r="BK136" i="4"/>
  <c r="BK154" i="4"/>
  <c r="BK8" i="4"/>
  <c r="BM8" i="4" s="1"/>
  <c r="BS8" i="4" s="1"/>
  <c r="BK12" i="4"/>
  <c r="BM12" i="4" s="1"/>
  <c r="BK71" i="4"/>
  <c r="BM71" i="4" s="1"/>
  <c r="BK142" i="4"/>
  <c r="BK36" i="4"/>
  <c r="BM36" i="4" s="1"/>
  <c r="BK79" i="4"/>
  <c r="BM79" i="4" s="1"/>
  <c r="BK30" i="4"/>
  <c r="BM30" i="4" s="1"/>
  <c r="BK45" i="4"/>
  <c r="BM45" i="4" s="1"/>
  <c r="BK72" i="4"/>
  <c r="BM72" i="4" s="1"/>
  <c r="BK11" i="4"/>
  <c r="BM11" i="4" s="1"/>
  <c r="BK38" i="4"/>
  <c r="BM38" i="4" s="1"/>
  <c r="BK53" i="4"/>
  <c r="BM53" i="4" s="1"/>
  <c r="BK96" i="4"/>
  <c r="BN96" i="4" s="1"/>
  <c r="BK108" i="4"/>
  <c r="BK118" i="4"/>
  <c r="BK60" i="4"/>
  <c r="BM60" i="4" s="1"/>
  <c r="BK117" i="4"/>
  <c r="BK66" i="4"/>
  <c r="BM66" i="4" s="1"/>
  <c r="BK18" i="4"/>
  <c r="BM18" i="4" s="1"/>
  <c r="BK131" i="4"/>
  <c r="BK146" i="4"/>
  <c r="BK156" i="4"/>
  <c r="BK26" i="4"/>
  <c r="BM26" i="4" s="1"/>
  <c r="BK41" i="4"/>
  <c r="BM41" i="4" s="1"/>
  <c r="BK84" i="4"/>
  <c r="BK51" i="4"/>
  <c r="BM51" i="4" s="1"/>
  <c r="BK77" i="4"/>
  <c r="BM77" i="4" s="1"/>
  <c r="BK105" i="4"/>
  <c r="BK16" i="4"/>
  <c r="BM16" i="4" s="1"/>
  <c r="BK59" i="4"/>
  <c r="BM59" i="4" s="1"/>
  <c r="BK86" i="4"/>
  <c r="BK101" i="4"/>
  <c r="BK39" i="4"/>
  <c r="BM39" i="4" s="1"/>
  <c r="BK98" i="4"/>
  <c r="BK124" i="4"/>
  <c r="BK126" i="4"/>
  <c r="BK122" i="4"/>
  <c r="BK150" i="4"/>
  <c r="BK33" i="4"/>
  <c r="BM33" i="4" s="1"/>
  <c r="BK92" i="4"/>
  <c r="BK151" i="4"/>
  <c r="BK63" i="4"/>
  <c r="BM63" i="4" s="1"/>
  <c r="BK90" i="4"/>
  <c r="BK14" i="4"/>
  <c r="BM14" i="4" s="1"/>
  <c r="BK99" i="4"/>
  <c r="BK22" i="4"/>
  <c r="BM22" i="4" s="1"/>
  <c r="BK80" i="4"/>
  <c r="BK107" i="4"/>
  <c r="BK81" i="4"/>
  <c r="BK55" i="4"/>
  <c r="BM55" i="4" s="1"/>
  <c r="BK125" i="4"/>
  <c r="BK143" i="4"/>
  <c r="BK15" i="4"/>
  <c r="BM15" i="4" s="1"/>
  <c r="BK42" i="4"/>
  <c r="BM42" i="4" s="1"/>
  <c r="BK100" i="4"/>
  <c r="BK24" i="4"/>
  <c r="BM24" i="4" s="1"/>
  <c r="BK78" i="4"/>
  <c r="BM78" i="4" s="1"/>
  <c r="BK32" i="4"/>
  <c r="BM32" i="4" s="1"/>
  <c r="BK103" i="4"/>
  <c r="BK140" i="4"/>
  <c r="BK137" i="4"/>
  <c r="BK138" i="4"/>
  <c r="BK127" i="4"/>
  <c r="BK97" i="4"/>
  <c r="BK130" i="4"/>
  <c r="BK155" i="4"/>
  <c r="BK76" i="4"/>
  <c r="BM76" i="4" s="1"/>
  <c r="BK20" i="4"/>
  <c r="BM20" i="4" s="1"/>
  <c r="BK106" i="4"/>
  <c r="BK29" i="4"/>
  <c r="BM29" i="4" s="1"/>
  <c r="BK37" i="4"/>
  <c r="BM37" i="4" s="1"/>
  <c r="BK65" i="4"/>
  <c r="BM65" i="4" s="1"/>
  <c r="BK145" i="4"/>
  <c r="BK148" i="4"/>
  <c r="BK144" i="4"/>
  <c r="BK115" i="4"/>
  <c r="BK116" i="4"/>
  <c r="BK57" i="4"/>
  <c r="BM57" i="4" s="1"/>
  <c r="BK93" i="4"/>
  <c r="BK75" i="4"/>
  <c r="BM75" i="4" s="1"/>
  <c r="BK102" i="4"/>
  <c r="BK44" i="4"/>
  <c r="BM44" i="4" s="1"/>
  <c r="BK17" i="4"/>
  <c r="BM17" i="4" s="1"/>
  <c r="BK123" i="4"/>
  <c r="BM96" i="4"/>
  <c r="BK7" i="4"/>
  <c r="BM7" i="4" s="1"/>
  <c r="AZ7" i="4"/>
  <c r="BB7" i="4" s="1"/>
  <c r="AZ31" i="4"/>
  <c r="AZ134" i="4"/>
  <c r="AZ130" i="4"/>
  <c r="AZ109" i="4"/>
  <c r="AZ95" i="4"/>
  <c r="AZ148" i="4"/>
  <c r="AZ132" i="4"/>
  <c r="AZ76" i="4"/>
  <c r="AZ8" i="4"/>
  <c r="BC8" i="4" s="1"/>
  <c r="AZ24" i="4"/>
  <c r="AZ40" i="4"/>
  <c r="AZ56" i="4"/>
  <c r="AZ72" i="4"/>
  <c r="AZ88" i="4"/>
  <c r="AZ102" i="4"/>
  <c r="AZ118" i="4"/>
  <c r="AZ22" i="4"/>
  <c r="AZ38" i="4"/>
  <c r="AZ54" i="4"/>
  <c r="AZ70" i="4"/>
  <c r="AZ86" i="4"/>
  <c r="AZ100" i="4"/>
  <c r="AZ116" i="4"/>
  <c r="AZ10" i="4"/>
  <c r="AZ26" i="4"/>
  <c r="AZ42" i="4"/>
  <c r="AZ58" i="4"/>
  <c r="AZ74" i="4"/>
  <c r="AZ90" i="4"/>
  <c r="AZ107" i="4"/>
  <c r="AZ123" i="4"/>
  <c r="AZ152" i="4"/>
  <c r="AZ136" i="4"/>
  <c r="AZ92" i="4"/>
  <c r="AZ28" i="4"/>
  <c r="AZ146" i="4"/>
  <c r="AZ68" i="4"/>
  <c r="AZ157" i="4"/>
  <c r="AZ156" i="4"/>
  <c r="AZ16" i="4"/>
  <c r="AZ80" i="4"/>
  <c r="AZ110" i="4"/>
  <c r="AZ78" i="4"/>
  <c r="AZ34" i="4"/>
  <c r="AZ131" i="4"/>
  <c r="AZ117" i="4"/>
  <c r="AZ36" i="4"/>
  <c r="AZ12" i="4"/>
  <c r="AZ145" i="4"/>
  <c r="AZ137" i="4"/>
  <c r="AZ154" i="4"/>
  <c r="AZ143" i="4"/>
  <c r="AZ126" i="4"/>
  <c r="AZ55" i="4"/>
  <c r="AZ11" i="4"/>
  <c r="AZ27" i="4"/>
  <c r="AZ43" i="4"/>
  <c r="AZ59" i="4"/>
  <c r="AZ75" i="4"/>
  <c r="AZ91" i="4"/>
  <c r="AZ105" i="4"/>
  <c r="AZ9" i="4"/>
  <c r="AZ25" i="4"/>
  <c r="AZ41" i="4"/>
  <c r="AZ57" i="4"/>
  <c r="AZ73" i="4"/>
  <c r="AZ89" i="4"/>
  <c r="AZ103" i="4"/>
  <c r="AZ119" i="4"/>
  <c r="AZ13" i="4"/>
  <c r="AZ29" i="4"/>
  <c r="AZ45" i="4"/>
  <c r="AZ61" i="4"/>
  <c r="AZ77" i="4"/>
  <c r="AZ93" i="4"/>
  <c r="AZ112" i="4"/>
  <c r="AZ128" i="4"/>
  <c r="AZ147" i="4"/>
  <c r="AZ125" i="4"/>
  <c r="AZ71" i="4"/>
  <c r="AZ141" i="4"/>
  <c r="AZ122" i="4"/>
  <c r="AZ47" i="4"/>
  <c r="AZ20" i="4"/>
  <c r="AZ101" i="4"/>
  <c r="AZ48" i="4"/>
  <c r="AZ96" i="4"/>
  <c r="AZ30" i="4"/>
  <c r="AZ46" i="4"/>
  <c r="AZ18" i="4"/>
  <c r="AZ82" i="4"/>
  <c r="AZ98" i="4"/>
  <c r="AZ115" i="4"/>
  <c r="AZ60" i="4"/>
  <c r="AZ114" i="4"/>
  <c r="AZ142" i="4"/>
  <c r="AZ84" i="4"/>
  <c r="AZ52" i="4"/>
  <c r="AZ150" i="4"/>
  <c r="AZ63" i="4"/>
  <c r="AZ151" i="4"/>
  <c r="AZ135" i="4"/>
  <c r="AZ87" i="4"/>
  <c r="AZ23" i="4"/>
  <c r="AZ19" i="4"/>
  <c r="AZ35" i="4"/>
  <c r="AZ51" i="4"/>
  <c r="AZ67" i="4"/>
  <c r="AZ83" i="4"/>
  <c r="AZ99" i="4"/>
  <c r="AZ113" i="4"/>
  <c r="AZ17" i="4"/>
  <c r="AZ33" i="4"/>
  <c r="AZ49" i="4"/>
  <c r="AZ65" i="4"/>
  <c r="AZ81" i="4"/>
  <c r="AZ97" i="4"/>
  <c r="AZ111" i="4"/>
  <c r="AZ127" i="4"/>
  <c r="AZ21" i="4"/>
  <c r="AZ37" i="4"/>
  <c r="AZ53" i="4"/>
  <c r="AZ69" i="4"/>
  <c r="AZ85" i="4"/>
  <c r="AZ104" i="4"/>
  <c r="AZ120" i="4"/>
  <c r="AZ155" i="4"/>
  <c r="AZ139" i="4"/>
  <c r="AZ106" i="4"/>
  <c r="AZ39" i="4"/>
  <c r="AZ149" i="4"/>
  <c r="AZ133" i="4"/>
  <c r="AZ79" i="4"/>
  <c r="AZ15" i="4"/>
  <c r="AZ129" i="4"/>
  <c r="AZ153" i="4"/>
  <c r="AZ121" i="4"/>
  <c r="AZ140" i="4"/>
  <c r="AZ44" i="4"/>
  <c r="AZ32" i="4"/>
  <c r="AZ64" i="4"/>
  <c r="AZ14" i="4"/>
  <c r="AZ62" i="4"/>
  <c r="AZ94" i="4"/>
  <c r="AZ108" i="4"/>
  <c r="AZ124" i="4"/>
  <c r="AZ50" i="4"/>
  <c r="AZ66" i="4"/>
  <c r="AZ144" i="4"/>
  <c r="AZ138" i="4"/>
  <c r="B56" i="3"/>
  <c r="R25" i="4" l="1"/>
  <c r="AF25" i="4" s="1"/>
  <c r="BB14" i="4"/>
  <c r="BH14" i="4" s="1"/>
  <c r="BC14" i="4"/>
  <c r="BB120" i="4"/>
  <c r="BH120" i="4" s="1"/>
  <c r="BC120" i="4"/>
  <c r="BB99" i="4"/>
  <c r="BH99" i="4" s="1"/>
  <c r="BC99" i="4"/>
  <c r="BB35" i="4"/>
  <c r="BH35" i="4" s="1"/>
  <c r="BC35" i="4"/>
  <c r="BB135" i="4"/>
  <c r="BH135" i="4" s="1"/>
  <c r="BC135" i="4"/>
  <c r="BB52" i="4"/>
  <c r="BH52" i="4" s="1"/>
  <c r="BC52" i="4"/>
  <c r="BC60" i="4"/>
  <c r="BB60" i="4"/>
  <c r="BH60" i="4" s="1"/>
  <c r="BB18" i="4"/>
  <c r="BH18" i="4" s="1"/>
  <c r="BC18" i="4"/>
  <c r="BC48" i="4"/>
  <c r="BB48" i="4"/>
  <c r="BH48" i="4" s="1"/>
  <c r="BB122" i="4"/>
  <c r="BH122" i="4" s="1"/>
  <c r="BC122" i="4"/>
  <c r="BC147" i="4"/>
  <c r="BB147" i="4"/>
  <c r="BH147" i="4" s="1"/>
  <c r="BC77" i="4"/>
  <c r="BB77" i="4"/>
  <c r="BH77" i="4" s="1"/>
  <c r="BC13" i="4"/>
  <c r="BB13" i="4"/>
  <c r="BH13" i="4" s="1"/>
  <c r="BC73" i="4"/>
  <c r="BB73" i="4"/>
  <c r="BH73" i="4" s="1"/>
  <c r="BB9" i="4"/>
  <c r="BH9" i="4" s="1"/>
  <c r="BC9" i="4"/>
  <c r="BC59" i="4"/>
  <c r="BB59" i="4"/>
  <c r="BH59" i="4" s="1"/>
  <c r="BB55" i="4"/>
  <c r="BH55" i="4" s="1"/>
  <c r="BC55" i="4"/>
  <c r="BC154" i="4"/>
  <c r="BB154" i="4"/>
  <c r="BH154" i="4" s="1"/>
  <c r="BB36" i="4"/>
  <c r="BH36" i="4" s="1"/>
  <c r="BC36" i="4"/>
  <c r="BB78" i="4"/>
  <c r="BH78" i="4" s="1"/>
  <c r="BC78" i="4"/>
  <c r="BB156" i="4"/>
  <c r="BH156" i="4" s="1"/>
  <c r="BC156" i="4"/>
  <c r="BB28" i="4"/>
  <c r="BH28" i="4" s="1"/>
  <c r="BC28" i="4"/>
  <c r="BC123" i="4"/>
  <c r="BB123" i="4"/>
  <c r="BH123" i="4" s="1"/>
  <c r="BB58" i="4"/>
  <c r="BH58" i="4" s="1"/>
  <c r="BC58" i="4"/>
  <c r="BB116" i="4"/>
  <c r="BH116" i="4" s="1"/>
  <c r="BC116" i="4"/>
  <c r="BB54" i="4"/>
  <c r="BH54" i="4" s="1"/>
  <c r="BC54" i="4"/>
  <c r="BB102" i="4"/>
  <c r="BH102" i="4" s="1"/>
  <c r="BC102" i="4"/>
  <c r="BC40" i="4"/>
  <c r="BB40" i="4"/>
  <c r="BH40" i="4" s="1"/>
  <c r="BB132" i="4"/>
  <c r="BH132" i="4" s="1"/>
  <c r="BC132" i="4"/>
  <c r="BB130" i="4"/>
  <c r="BH130" i="4" s="1"/>
  <c r="BC130" i="4"/>
  <c r="BM148" i="4"/>
  <c r="BS148" i="4" s="1"/>
  <c r="BN148" i="4"/>
  <c r="BM155" i="4"/>
  <c r="BS155" i="4" s="1"/>
  <c r="BN155" i="4"/>
  <c r="BM138" i="4"/>
  <c r="BN138" i="4"/>
  <c r="BM150" i="4"/>
  <c r="BS150" i="4" s="1"/>
  <c r="BN150" i="4"/>
  <c r="BM98" i="4"/>
  <c r="BS98" i="4" s="1"/>
  <c r="BN98" i="4"/>
  <c r="BM156" i="4"/>
  <c r="BP156" i="4" s="1"/>
  <c r="BQ156" i="4" s="1"/>
  <c r="BN156" i="4"/>
  <c r="BM108" i="4"/>
  <c r="BN108" i="4"/>
  <c r="BM114" i="4"/>
  <c r="BP114" i="4" s="1"/>
  <c r="BQ114" i="4" s="1"/>
  <c r="BN114" i="4"/>
  <c r="BM128" i="4"/>
  <c r="BP128" i="4" s="1"/>
  <c r="BQ128" i="4" s="1"/>
  <c r="BN128" i="4"/>
  <c r="BM135" i="4"/>
  <c r="BP135" i="4" s="1"/>
  <c r="BQ135" i="4" s="1"/>
  <c r="BN135" i="4"/>
  <c r="BM85" i="4"/>
  <c r="BN85" i="4"/>
  <c r="BM141" i="4"/>
  <c r="BS141" i="4" s="1"/>
  <c r="BN141" i="4"/>
  <c r="BM112" i="4"/>
  <c r="BN112" i="4"/>
  <c r="BM88" i="4"/>
  <c r="BS88" i="4" s="1"/>
  <c r="BN88" i="4"/>
  <c r="BB140" i="4"/>
  <c r="BH140" i="4" s="1"/>
  <c r="BC140" i="4"/>
  <c r="BC53" i="4"/>
  <c r="BB53" i="4"/>
  <c r="BH53" i="4" s="1"/>
  <c r="BB144" i="4"/>
  <c r="BH144" i="4" s="1"/>
  <c r="BC144" i="4"/>
  <c r="BB121" i="4"/>
  <c r="BH121" i="4" s="1"/>
  <c r="BC121" i="4"/>
  <c r="BB104" i="4"/>
  <c r="BH104" i="4" s="1"/>
  <c r="BC104" i="4"/>
  <c r="BB37" i="4"/>
  <c r="BH37" i="4" s="1"/>
  <c r="BC37" i="4"/>
  <c r="BC97" i="4"/>
  <c r="BB97" i="4"/>
  <c r="BH97" i="4" s="1"/>
  <c r="BB33" i="4"/>
  <c r="BH33" i="4" s="1"/>
  <c r="BC33" i="4"/>
  <c r="BC83" i="4"/>
  <c r="BB83" i="4"/>
  <c r="BH83" i="4" s="1"/>
  <c r="BC19" i="4"/>
  <c r="BB19" i="4"/>
  <c r="BH19" i="4" s="1"/>
  <c r="BB151" i="4"/>
  <c r="BH151" i="4" s="1"/>
  <c r="BC151" i="4"/>
  <c r="BC84" i="4"/>
  <c r="BB84" i="4"/>
  <c r="BH84" i="4" s="1"/>
  <c r="BB115" i="4"/>
  <c r="BH115" i="4" s="1"/>
  <c r="BC115" i="4"/>
  <c r="BC46" i="4"/>
  <c r="BB46" i="4"/>
  <c r="BH46" i="4" s="1"/>
  <c r="BC101" i="4"/>
  <c r="BB101" i="4"/>
  <c r="BH101" i="4" s="1"/>
  <c r="BB141" i="4"/>
  <c r="BH141" i="4" s="1"/>
  <c r="BC141" i="4"/>
  <c r="BB128" i="4"/>
  <c r="BH128" i="4" s="1"/>
  <c r="BC128" i="4"/>
  <c r="BB61" i="4"/>
  <c r="BH61" i="4" s="1"/>
  <c r="BC61" i="4"/>
  <c r="BB119" i="4"/>
  <c r="BH119" i="4" s="1"/>
  <c r="BC119" i="4"/>
  <c r="BB57" i="4"/>
  <c r="BH57" i="4" s="1"/>
  <c r="BC57" i="4"/>
  <c r="BB105" i="4"/>
  <c r="BH105" i="4" s="1"/>
  <c r="BC105" i="4"/>
  <c r="BC43" i="4"/>
  <c r="BB43" i="4"/>
  <c r="BH43" i="4" s="1"/>
  <c r="BB126" i="4"/>
  <c r="BH126" i="4" s="1"/>
  <c r="BC126" i="4"/>
  <c r="BB137" i="4"/>
  <c r="BH137" i="4" s="1"/>
  <c r="BC137" i="4"/>
  <c r="BB117" i="4"/>
  <c r="BH117" i="4" s="1"/>
  <c r="BC117" i="4"/>
  <c r="BB110" i="4"/>
  <c r="BH110" i="4" s="1"/>
  <c r="BC110" i="4"/>
  <c r="BC157" i="4"/>
  <c r="BB157" i="4"/>
  <c r="BH157" i="4" s="1"/>
  <c r="BC92" i="4"/>
  <c r="BB92" i="4"/>
  <c r="BH92" i="4" s="1"/>
  <c r="BB107" i="4"/>
  <c r="BH107" i="4" s="1"/>
  <c r="BC107" i="4"/>
  <c r="BB42" i="4"/>
  <c r="BH42" i="4" s="1"/>
  <c r="BC42" i="4"/>
  <c r="BB100" i="4"/>
  <c r="BH100" i="4" s="1"/>
  <c r="BC100" i="4"/>
  <c r="BB38" i="4"/>
  <c r="BH38" i="4" s="1"/>
  <c r="BC38" i="4"/>
  <c r="BB88" i="4"/>
  <c r="BH88" i="4" s="1"/>
  <c r="BC88" i="4"/>
  <c r="BC24" i="4"/>
  <c r="BB24" i="4"/>
  <c r="BH24" i="4" s="1"/>
  <c r="BB148" i="4"/>
  <c r="BH148" i="4" s="1"/>
  <c r="BC148" i="4"/>
  <c r="BB134" i="4"/>
  <c r="BH134" i="4" s="1"/>
  <c r="BC134" i="4"/>
  <c r="BM102" i="4"/>
  <c r="BS102" i="4" s="1"/>
  <c r="BN102" i="4"/>
  <c r="BM116" i="4"/>
  <c r="BS116" i="4" s="1"/>
  <c r="BN116" i="4"/>
  <c r="BM145" i="4"/>
  <c r="BP145" i="4" s="1"/>
  <c r="BQ145" i="4" s="1"/>
  <c r="BN145" i="4"/>
  <c r="BM106" i="4"/>
  <c r="BS106" i="4" s="1"/>
  <c r="BN106" i="4"/>
  <c r="BM130" i="4"/>
  <c r="BS130" i="4" s="1"/>
  <c r="BN130" i="4"/>
  <c r="BM137" i="4"/>
  <c r="BP137" i="4" s="1"/>
  <c r="BQ137" i="4" s="1"/>
  <c r="BN137" i="4"/>
  <c r="BM81" i="4"/>
  <c r="BP81" i="4" s="1"/>
  <c r="BQ81" i="4" s="1"/>
  <c r="BN81" i="4"/>
  <c r="BM99" i="4"/>
  <c r="BS99" i="4" s="1"/>
  <c r="BN99" i="4"/>
  <c r="BM151" i="4"/>
  <c r="BN151" i="4"/>
  <c r="BM122" i="4"/>
  <c r="BS122" i="4" s="1"/>
  <c r="BN122" i="4"/>
  <c r="BM84" i="4"/>
  <c r="BS84" i="4" s="1"/>
  <c r="BN84" i="4"/>
  <c r="BM146" i="4"/>
  <c r="BS146" i="4" s="1"/>
  <c r="BN146" i="4"/>
  <c r="BM117" i="4"/>
  <c r="BP117" i="4" s="1"/>
  <c r="BQ117" i="4" s="1"/>
  <c r="BN117" i="4"/>
  <c r="BM87" i="4"/>
  <c r="BP87" i="4" s="1"/>
  <c r="BQ87" i="4" s="1"/>
  <c r="BN87" i="4"/>
  <c r="BM129" i="4"/>
  <c r="BS129" i="4" s="1"/>
  <c r="BN129" i="4"/>
  <c r="BM104" i="4"/>
  <c r="BS104" i="4" s="1"/>
  <c r="BN104" i="4"/>
  <c r="BM157" i="4"/>
  <c r="BN157" i="4"/>
  <c r="BM120" i="4"/>
  <c r="BP120" i="4" s="1"/>
  <c r="BQ120" i="4" s="1"/>
  <c r="BN120" i="4"/>
  <c r="BM132" i="4"/>
  <c r="BN132" i="4"/>
  <c r="BM134" i="4"/>
  <c r="BS134" i="4" s="1"/>
  <c r="BN134" i="4"/>
  <c r="BM109" i="4"/>
  <c r="BN109" i="4"/>
  <c r="BB138" i="4"/>
  <c r="BH138" i="4" s="1"/>
  <c r="BC138" i="4"/>
  <c r="BB15" i="4"/>
  <c r="BH15" i="4" s="1"/>
  <c r="BC15" i="4"/>
  <c r="BC111" i="4"/>
  <c r="BB111" i="4"/>
  <c r="BH111" i="4" s="1"/>
  <c r="BB108" i="4"/>
  <c r="BH108" i="4" s="1"/>
  <c r="BC108" i="4"/>
  <c r="BC79" i="4"/>
  <c r="BB79" i="4"/>
  <c r="BH79" i="4" s="1"/>
  <c r="BB94" i="4"/>
  <c r="BH94" i="4" s="1"/>
  <c r="BC94" i="4"/>
  <c r="BC133" i="4"/>
  <c r="BB133" i="4"/>
  <c r="BH133" i="4" s="1"/>
  <c r="BB21" i="4"/>
  <c r="BH21" i="4" s="1"/>
  <c r="BC21" i="4"/>
  <c r="BC17" i="4"/>
  <c r="BB17" i="4"/>
  <c r="BH17" i="4" s="1"/>
  <c r="BB23" i="4"/>
  <c r="BH23" i="4" s="1"/>
  <c r="BC23" i="4"/>
  <c r="BB142" i="4"/>
  <c r="BH142" i="4" s="1"/>
  <c r="BC142" i="4"/>
  <c r="BB30" i="4"/>
  <c r="BH30" i="4" s="1"/>
  <c r="BC30" i="4"/>
  <c r="BB20" i="4"/>
  <c r="BH20" i="4" s="1"/>
  <c r="BC20" i="4"/>
  <c r="BC71" i="4"/>
  <c r="BB71" i="4"/>
  <c r="BH71" i="4" s="1"/>
  <c r="BB112" i="4"/>
  <c r="BH112" i="4" s="1"/>
  <c r="BC112" i="4"/>
  <c r="BC45" i="4"/>
  <c r="BB45" i="4"/>
  <c r="BH45" i="4" s="1"/>
  <c r="BB103" i="4"/>
  <c r="BH103" i="4" s="1"/>
  <c r="BC103" i="4"/>
  <c r="BB41" i="4"/>
  <c r="BH41" i="4" s="1"/>
  <c r="BC41" i="4"/>
  <c r="BB91" i="4"/>
  <c r="BH91" i="4" s="1"/>
  <c r="BC91" i="4"/>
  <c r="BC27" i="4"/>
  <c r="BB27" i="4"/>
  <c r="BH27" i="4" s="1"/>
  <c r="BC143" i="4"/>
  <c r="BB143" i="4"/>
  <c r="BH143" i="4" s="1"/>
  <c r="BB145" i="4"/>
  <c r="BH145" i="4" s="1"/>
  <c r="BC145" i="4"/>
  <c r="BB131" i="4"/>
  <c r="BH131" i="4" s="1"/>
  <c r="BC131" i="4"/>
  <c r="BB80" i="4"/>
  <c r="BH80" i="4" s="1"/>
  <c r="BC80" i="4"/>
  <c r="BC68" i="4"/>
  <c r="BB68" i="4"/>
  <c r="BH68" i="4" s="1"/>
  <c r="BB136" i="4"/>
  <c r="BH136" i="4" s="1"/>
  <c r="BC136" i="4"/>
  <c r="BB90" i="4"/>
  <c r="BH90" i="4" s="1"/>
  <c r="BC90" i="4"/>
  <c r="BB26" i="4"/>
  <c r="BH26" i="4" s="1"/>
  <c r="BC26" i="4"/>
  <c r="BB86" i="4"/>
  <c r="BH86" i="4" s="1"/>
  <c r="BC86" i="4"/>
  <c r="BB22" i="4"/>
  <c r="BH22" i="4" s="1"/>
  <c r="BC22" i="4"/>
  <c r="BB72" i="4"/>
  <c r="BH72" i="4" s="1"/>
  <c r="BC72" i="4"/>
  <c r="BC95" i="4"/>
  <c r="BB95" i="4"/>
  <c r="BH95" i="4" s="1"/>
  <c r="BB31" i="4"/>
  <c r="BH31" i="4" s="1"/>
  <c r="BC31" i="4"/>
  <c r="BM123" i="4"/>
  <c r="BP123" i="4" s="1"/>
  <c r="BQ123" i="4" s="1"/>
  <c r="BN123" i="4"/>
  <c r="BM115" i="4"/>
  <c r="BS115" i="4" s="1"/>
  <c r="BN115" i="4"/>
  <c r="BM97" i="4"/>
  <c r="BS97" i="4" s="1"/>
  <c r="BN97" i="4"/>
  <c r="BM140" i="4"/>
  <c r="BS140" i="4" s="1"/>
  <c r="BN140" i="4"/>
  <c r="BM143" i="4"/>
  <c r="BP143" i="4" s="1"/>
  <c r="BQ143" i="4" s="1"/>
  <c r="BN143" i="4"/>
  <c r="BM107" i="4"/>
  <c r="BS107" i="4" s="1"/>
  <c r="BN107" i="4"/>
  <c r="BM92" i="4"/>
  <c r="BS92" i="4" s="1"/>
  <c r="BN92" i="4"/>
  <c r="BM126" i="4"/>
  <c r="BP126" i="4" s="1"/>
  <c r="BQ126" i="4" s="1"/>
  <c r="BN126" i="4"/>
  <c r="BM101" i="4"/>
  <c r="BS101" i="4" s="1"/>
  <c r="BN101" i="4"/>
  <c r="BM105" i="4"/>
  <c r="BP105" i="4" s="1"/>
  <c r="BQ105" i="4" s="1"/>
  <c r="BN105" i="4"/>
  <c r="BM131" i="4"/>
  <c r="BP131" i="4" s="1"/>
  <c r="BQ131" i="4" s="1"/>
  <c r="BN131" i="4"/>
  <c r="BM142" i="4"/>
  <c r="BS142" i="4" s="1"/>
  <c r="BN142" i="4"/>
  <c r="BM154" i="4"/>
  <c r="BP154" i="4" s="1"/>
  <c r="BQ154" i="4" s="1"/>
  <c r="BN154" i="4"/>
  <c r="BM121" i="4"/>
  <c r="BS121" i="4" s="1"/>
  <c r="BN121" i="4"/>
  <c r="BM83" i="4"/>
  <c r="BS83" i="4" s="1"/>
  <c r="BN83" i="4"/>
  <c r="BM153" i="4"/>
  <c r="BS153" i="4" s="1"/>
  <c r="BN153" i="4"/>
  <c r="BM111" i="4"/>
  <c r="BP111" i="4" s="1"/>
  <c r="BQ111" i="4" s="1"/>
  <c r="BN111" i="4"/>
  <c r="BM139" i="4"/>
  <c r="BP139" i="4" s="1"/>
  <c r="BQ139" i="4" s="1"/>
  <c r="BN139" i="4"/>
  <c r="BM119" i="4"/>
  <c r="BS119" i="4" s="1"/>
  <c r="BN119" i="4"/>
  <c r="BM91" i="4"/>
  <c r="BP91" i="4" s="1"/>
  <c r="BQ91" i="4" s="1"/>
  <c r="BN91" i="4"/>
  <c r="BM95" i="4"/>
  <c r="BP95" i="4" s="1"/>
  <c r="BQ95" i="4" s="1"/>
  <c r="BN95" i="4"/>
  <c r="BB124" i="4"/>
  <c r="BH124" i="4" s="1"/>
  <c r="BC124" i="4"/>
  <c r="BB39" i="4"/>
  <c r="BH39" i="4" s="1"/>
  <c r="BC39" i="4"/>
  <c r="BB49" i="4"/>
  <c r="BH49" i="4" s="1"/>
  <c r="BC49" i="4"/>
  <c r="BB64" i="4"/>
  <c r="BH64" i="4" s="1"/>
  <c r="BC64" i="4"/>
  <c r="BB106" i="4"/>
  <c r="BH106" i="4" s="1"/>
  <c r="BC106" i="4"/>
  <c r="BC66" i="4"/>
  <c r="BB66" i="4"/>
  <c r="BH66" i="4" s="1"/>
  <c r="BC32" i="4"/>
  <c r="BB32" i="4"/>
  <c r="BH32" i="4" s="1"/>
  <c r="BC153" i="4"/>
  <c r="BB153" i="4"/>
  <c r="BH153" i="4" s="1"/>
  <c r="BB139" i="4"/>
  <c r="BH139" i="4" s="1"/>
  <c r="BC139" i="4"/>
  <c r="BC85" i="4"/>
  <c r="BB85" i="4"/>
  <c r="BH85" i="4" s="1"/>
  <c r="BB81" i="4"/>
  <c r="BH81" i="4" s="1"/>
  <c r="BC81" i="4"/>
  <c r="BC67" i="4"/>
  <c r="BB67" i="4"/>
  <c r="BH67" i="4" s="1"/>
  <c r="BB63" i="4"/>
  <c r="BH63" i="4" s="1"/>
  <c r="BC63" i="4"/>
  <c r="BB98" i="4"/>
  <c r="BH98" i="4" s="1"/>
  <c r="BC98" i="4"/>
  <c r="BB50" i="4"/>
  <c r="BH50" i="4" s="1"/>
  <c r="BC50" i="4"/>
  <c r="BC62" i="4"/>
  <c r="BB62" i="4"/>
  <c r="BH62" i="4" s="1"/>
  <c r="BC44" i="4"/>
  <c r="BB44" i="4"/>
  <c r="BH44" i="4" s="1"/>
  <c r="BC129" i="4"/>
  <c r="BB129" i="4"/>
  <c r="BH129" i="4" s="1"/>
  <c r="BC149" i="4"/>
  <c r="BB149" i="4"/>
  <c r="BH149" i="4" s="1"/>
  <c r="BB155" i="4"/>
  <c r="BH155" i="4" s="1"/>
  <c r="BC155" i="4"/>
  <c r="BC69" i="4"/>
  <c r="BB69" i="4"/>
  <c r="BH69" i="4" s="1"/>
  <c r="BB127" i="4"/>
  <c r="BH127" i="4" s="1"/>
  <c r="BC127" i="4"/>
  <c r="BB65" i="4"/>
  <c r="BH65" i="4" s="1"/>
  <c r="BC65" i="4"/>
  <c r="BB113" i="4"/>
  <c r="BH113" i="4" s="1"/>
  <c r="BC113" i="4"/>
  <c r="BB51" i="4"/>
  <c r="BH51" i="4" s="1"/>
  <c r="BC51" i="4"/>
  <c r="BC87" i="4"/>
  <c r="BB87" i="4"/>
  <c r="BH87" i="4" s="1"/>
  <c r="BB150" i="4"/>
  <c r="BH150" i="4" s="1"/>
  <c r="BC150" i="4"/>
  <c r="BB114" i="4"/>
  <c r="BH114" i="4" s="1"/>
  <c r="BC114" i="4"/>
  <c r="BC82" i="4"/>
  <c r="BB82" i="4"/>
  <c r="BH82" i="4" s="1"/>
  <c r="BB96" i="4"/>
  <c r="BH96" i="4" s="1"/>
  <c r="BC96" i="4"/>
  <c r="BB47" i="4"/>
  <c r="BH47" i="4" s="1"/>
  <c r="BC47" i="4"/>
  <c r="BC125" i="4"/>
  <c r="BB125" i="4"/>
  <c r="BH125" i="4" s="1"/>
  <c r="BC93" i="4"/>
  <c r="BB93" i="4"/>
  <c r="BH93" i="4" s="1"/>
  <c r="BC29" i="4"/>
  <c r="BB29" i="4"/>
  <c r="BH29" i="4" s="1"/>
  <c r="BC89" i="4"/>
  <c r="BB89" i="4"/>
  <c r="BH89" i="4" s="1"/>
  <c r="BB25" i="4"/>
  <c r="BH25" i="4" s="1"/>
  <c r="BC25" i="4"/>
  <c r="BC75" i="4"/>
  <c r="BB75" i="4"/>
  <c r="BH75" i="4" s="1"/>
  <c r="BB11" i="4"/>
  <c r="BH11" i="4" s="1"/>
  <c r="BC11" i="4"/>
  <c r="BB12" i="4"/>
  <c r="BH12" i="4" s="1"/>
  <c r="BC12" i="4"/>
  <c r="BB34" i="4"/>
  <c r="BH34" i="4" s="1"/>
  <c r="BC34" i="4"/>
  <c r="BC16" i="4"/>
  <c r="BB16" i="4"/>
  <c r="BH16" i="4" s="1"/>
  <c r="BB146" i="4"/>
  <c r="BH146" i="4" s="1"/>
  <c r="BC146" i="4"/>
  <c r="BB152" i="4"/>
  <c r="BH152" i="4" s="1"/>
  <c r="BC152" i="4"/>
  <c r="BC74" i="4"/>
  <c r="BB74" i="4"/>
  <c r="BH74" i="4" s="1"/>
  <c r="BB10" i="4"/>
  <c r="BH10" i="4" s="1"/>
  <c r="BC10" i="4"/>
  <c r="BC70" i="4"/>
  <c r="BB70" i="4"/>
  <c r="BH70" i="4" s="1"/>
  <c r="BB118" i="4"/>
  <c r="BH118" i="4" s="1"/>
  <c r="BC118" i="4"/>
  <c r="BB56" i="4"/>
  <c r="BH56" i="4" s="1"/>
  <c r="BC56" i="4"/>
  <c r="BC76" i="4"/>
  <c r="BB76" i="4"/>
  <c r="BH76" i="4" s="1"/>
  <c r="BB109" i="4"/>
  <c r="BH109" i="4" s="1"/>
  <c r="BC109" i="4"/>
  <c r="BM93" i="4"/>
  <c r="BP93" i="4" s="1"/>
  <c r="BQ93" i="4" s="1"/>
  <c r="BN93" i="4"/>
  <c r="BM144" i="4"/>
  <c r="BS144" i="4" s="1"/>
  <c r="BN144" i="4"/>
  <c r="BM127" i="4"/>
  <c r="BP127" i="4" s="1"/>
  <c r="BQ127" i="4" s="1"/>
  <c r="BN127" i="4"/>
  <c r="BM103" i="4"/>
  <c r="BP103" i="4" s="1"/>
  <c r="BQ103" i="4" s="1"/>
  <c r="BN103" i="4"/>
  <c r="BM100" i="4"/>
  <c r="BS100" i="4" s="1"/>
  <c r="BN100" i="4"/>
  <c r="BM125" i="4"/>
  <c r="BS125" i="4" s="1"/>
  <c r="BN125" i="4"/>
  <c r="BM80" i="4"/>
  <c r="BS80" i="4" s="1"/>
  <c r="BN80" i="4"/>
  <c r="BM90" i="4"/>
  <c r="BS90" i="4" s="1"/>
  <c r="BN90" i="4"/>
  <c r="BM124" i="4"/>
  <c r="BP124" i="4" s="1"/>
  <c r="BQ124" i="4" s="1"/>
  <c r="BN124" i="4"/>
  <c r="BM86" i="4"/>
  <c r="BS86" i="4" s="1"/>
  <c r="BN86" i="4"/>
  <c r="BM118" i="4"/>
  <c r="BP118" i="4" s="1"/>
  <c r="BQ118" i="4" s="1"/>
  <c r="BN118" i="4"/>
  <c r="BM136" i="4"/>
  <c r="BS136" i="4" s="1"/>
  <c r="BN136" i="4"/>
  <c r="BM149" i="4"/>
  <c r="BP149" i="4" s="1"/>
  <c r="BQ149" i="4" s="1"/>
  <c r="BN149" i="4"/>
  <c r="BM152" i="4"/>
  <c r="BP152" i="4" s="1"/>
  <c r="BQ152" i="4" s="1"/>
  <c r="BN152" i="4"/>
  <c r="BM110" i="4"/>
  <c r="BS110" i="4" s="1"/>
  <c r="BN110" i="4"/>
  <c r="BM89" i="4"/>
  <c r="BS89" i="4" s="1"/>
  <c r="BN89" i="4"/>
  <c r="BM147" i="4"/>
  <c r="BP147" i="4" s="1"/>
  <c r="BQ147" i="4" s="1"/>
  <c r="BN147" i="4"/>
  <c r="BM82" i="4"/>
  <c r="BP82" i="4" s="1"/>
  <c r="BQ82" i="4" s="1"/>
  <c r="BN82" i="4"/>
  <c r="BM133" i="4"/>
  <c r="BS133" i="4" s="1"/>
  <c r="BN133" i="4"/>
  <c r="BM113" i="4"/>
  <c r="BS113" i="4" s="1"/>
  <c r="BN113" i="4"/>
  <c r="BM94" i="4"/>
  <c r="BP94" i="4" s="1"/>
  <c r="BQ94" i="4" s="1"/>
  <c r="BN94" i="4"/>
  <c r="R17" i="4"/>
  <c r="AF17" i="4" s="1"/>
  <c r="BP24" i="4"/>
  <c r="BQ24" i="4" s="1"/>
  <c r="BS24" i="4"/>
  <c r="BS44" i="4"/>
  <c r="BP44" i="4"/>
  <c r="BQ44" i="4" s="1"/>
  <c r="BS32" i="4"/>
  <c r="BP32" i="4"/>
  <c r="BQ32" i="4" s="1"/>
  <c r="BS56" i="4"/>
  <c r="BP56" i="4"/>
  <c r="BQ56" i="4" s="1"/>
  <c r="BP72" i="4"/>
  <c r="BQ72" i="4" s="1"/>
  <c r="BS72" i="4"/>
  <c r="BS96" i="4"/>
  <c r="BP96" i="4"/>
  <c r="BQ96" i="4" s="1"/>
  <c r="BP42" i="4"/>
  <c r="BQ42" i="4" s="1"/>
  <c r="BS42" i="4"/>
  <c r="BP22" i="4"/>
  <c r="BQ22" i="4" s="1"/>
  <c r="BS22" i="4"/>
  <c r="BS59" i="4"/>
  <c r="BP59" i="4"/>
  <c r="BQ59" i="4" s="1"/>
  <c r="BP11" i="4"/>
  <c r="BQ11" i="4" s="1"/>
  <c r="BS11" i="4"/>
  <c r="BP12" i="4"/>
  <c r="BQ12" i="4" s="1"/>
  <c r="BS12" i="4"/>
  <c r="BS128" i="4"/>
  <c r="BS85" i="4"/>
  <c r="BP85" i="4"/>
  <c r="BQ85" i="4" s="1"/>
  <c r="BP74" i="4"/>
  <c r="BQ74" i="4" s="1"/>
  <c r="BS74" i="4"/>
  <c r="BS112" i="4"/>
  <c r="BP112" i="4"/>
  <c r="BQ112" i="4" s="1"/>
  <c r="BP54" i="4"/>
  <c r="BQ54" i="4" s="1"/>
  <c r="BS54" i="4"/>
  <c r="BP58" i="4"/>
  <c r="BQ58" i="4" s="1"/>
  <c r="BS58" i="4"/>
  <c r="BP28" i="4"/>
  <c r="BQ28" i="4" s="1"/>
  <c r="BS28" i="4"/>
  <c r="BS65" i="4"/>
  <c r="BP65" i="4"/>
  <c r="BQ65" i="4" s="1"/>
  <c r="BP102" i="4"/>
  <c r="BQ102" i="4" s="1"/>
  <c r="BP130" i="4"/>
  <c r="BQ130" i="4" s="1"/>
  <c r="BP15" i="4"/>
  <c r="BQ15" i="4" s="1"/>
  <c r="BS15" i="4"/>
  <c r="BS81" i="4"/>
  <c r="BS151" i="4"/>
  <c r="BP151" i="4"/>
  <c r="BQ151" i="4" s="1"/>
  <c r="BP39" i="4"/>
  <c r="BQ39" i="4" s="1"/>
  <c r="BS39" i="4"/>
  <c r="BP50" i="4"/>
  <c r="BQ50" i="4" s="1"/>
  <c r="BS50" i="4"/>
  <c r="BP70" i="4"/>
  <c r="BQ70" i="4" s="1"/>
  <c r="BS70" i="4"/>
  <c r="BS35" i="4"/>
  <c r="BP35" i="4"/>
  <c r="BQ35" i="4" s="1"/>
  <c r="BS157" i="4"/>
  <c r="BP157" i="4"/>
  <c r="BQ157" i="4" s="1"/>
  <c r="BP52" i="4"/>
  <c r="BQ52" i="4" s="1"/>
  <c r="BS52" i="4"/>
  <c r="BP75" i="4"/>
  <c r="BQ75" i="4" s="1"/>
  <c r="BS75" i="4"/>
  <c r="BS41" i="4"/>
  <c r="BP41" i="4"/>
  <c r="BQ41" i="4" s="1"/>
  <c r="BS131" i="4"/>
  <c r="BP60" i="4"/>
  <c r="BQ60" i="4" s="1"/>
  <c r="BS60" i="4"/>
  <c r="BS53" i="4"/>
  <c r="BP53" i="4"/>
  <c r="BQ53" i="4" s="1"/>
  <c r="BS45" i="4"/>
  <c r="BP45" i="4"/>
  <c r="BQ45" i="4" s="1"/>
  <c r="BP34" i="4"/>
  <c r="BQ34" i="4" s="1"/>
  <c r="BS34" i="4"/>
  <c r="BP64" i="4"/>
  <c r="BQ64" i="4" s="1"/>
  <c r="BS64" i="4"/>
  <c r="BP83" i="4"/>
  <c r="BQ83" i="4" s="1"/>
  <c r="BP13" i="4"/>
  <c r="BQ13" i="4" s="1"/>
  <c r="BS13" i="4"/>
  <c r="BP47" i="4"/>
  <c r="BQ47" i="4" s="1"/>
  <c r="BS47" i="4"/>
  <c r="BS111" i="4"/>
  <c r="BP119" i="4"/>
  <c r="BQ119" i="4" s="1"/>
  <c r="BS27" i="4"/>
  <c r="BP27" i="4"/>
  <c r="BQ27" i="4" s="1"/>
  <c r="BS61" i="4"/>
  <c r="BP61" i="4"/>
  <c r="BQ61" i="4" s="1"/>
  <c r="BP31" i="4"/>
  <c r="BQ31" i="4" s="1"/>
  <c r="BS31" i="4"/>
  <c r="BP68" i="4"/>
  <c r="BQ68" i="4" s="1"/>
  <c r="BS68" i="4"/>
  <c r="BP36" i="4"/>
  <c r="BQ36" i="4" s="1"/>
  <c r="BS36" i="4"/>
  <c r="BS57" i="4"/>
  <c r="BP57" i="4"/>
  <c r="BQ57" i="4" s="1"/>
  <c r="BS29" i="4"/>
  <c r="BP29" i="4"/>
  <c r="BQ29" i="4" s="1"/>
  <c r="BS138" i="4"/>
  <c r="BP138" i="4"/>
  <c r="BQ138" i="4" s="1"/>
  <c r="BS55" i="4"/>
  <c r="BP55" i="4"/>
  <c r="BQ55" i="4" s="1"/>
  <c r="BS63" i="4"/>
  <c r="BP63" i="4"/>
  <c r="BQ63" i="4" s="1"/>
  <c r="BP98" i="4"/>
  <c r="BQ98" i="4" s="1"/>
  <c r="BS51" i="4"/>
  <c r="BP51" i="4"/>
  <c r="BQ51" i="4" s="1"/>
  <c r="BP66" i="4"/>
  <c r="BQ66" i="4" s="1"/>
  <c r="BS66" i="4"/>
  <c r="BS108" i="4"/>
  <c r="BP108" i="4"/>
  <c r="BQ108" i="4" s="1"/>
  <c r="BS79" i="4"/>
  <c r="BP79" i="4"/>
  <c r="BQ79" i="4" s="1"/>
  <c r="BS114" i="4"/>
  <c r="BS21" i="4"/>
  <c r="BP21" i="4"/>
  <c r="BQ21" i="4" s="1"/>
  <c r="BP10" i="4"/>
  <c r="BQ10" i="4" s="1"/>
  <c r="BS10" i="4"/>
  <c r="BS23" i="4"/>
  <c r="BP23" i="4"/>
  <c r="BQ23" i="4" s="1"/>
  <c r="BP49" i="4"/>
  <c r="BQ49" i="4" s="1"/>
  <c r="BS49" i="4"/>
  <c r="BP40" i="4"/>
  <c r="BQ40" i="4" s="1"/>
  <c r="BS40" i="4"/>
  <c r="BS76" i="4"/>
  <c r="BP76" i="4"/>
  <c r="BQ76" i="4" s="1"/>
  <c r="BS137" i="4"/>
  <c r="BP78" i="4"/>
  <c r="BQ78" i="4" s="1"/>
  <c r="BS78" i="4"/>
  <c r="BP16" i="4"/>
  <c r="BQ16" i="4" s="1"/>
  <c r="BS16" i="4"/>
  <c r="BS132" i="4"/>
  <c r="BP132" i="4"/>
  <c r="BQ132" i="4" s="1"/>
  <c r="BS109" i="4"/>
  <c r="BP109" i="4"/>
  <c r="BQ109" i="4" s="1"/>
  <c r="BS48" i="4"/>
  <c r="BP48" i="4"/>
  <c r="BQ48" i="4" s="1"/>
  <c r="BS67" i="4"/>
  <c r="BP67" i="4"/>
  <c r="BQ67" i="4" s="1"/>
  <c r="BS19" i="4"/>
  <c r="BP19" i="4"/>
  <c r="BQ19" i="4" s="1"/>
  <c r="BP20" i="4"/>
  <c r="BQ20" i="4" s="1"/>
  <c r="BS20" i="4"/>
  <c r="BP14" i="4"/>
  <c r="BQ14" i="4" s="1"/>
  <c r="BS14" i="4"/>
  <c r="BS17" i="4"/>
  <c r="BP17" i="4"/>
  <c r="BQ17" i="4" s="1"/>
  <c r="BS37" i="4"/>
  <c r="BP37" i="4"/>
  <c r="BQ37" i="4" s="1"/>
  <c r="BS33" i="4"/>
  <c r="BP33" i="4"/>
  <c r="BQ33" i="4" s="1"/>
  <c r="BP77" i="4"/>
  <c r="BQ77" i="4" s="1"/>
  <c r="BS77" i="4"/>
  <c r="BP26" i="4"/>
  <c r="BQ26" i="4" s="1"/>
  <c r="BS26" i="4"/>
  <c r="BP18" i="4"/>
  <c r="BQ18" i="4" s="1"/>
  <c r="BS18" i="4"/>
  <c r="BP38" i="4"/>
  <c r="BQ38" i="4" s="1"/>
  <c r="BS38" i="4"/>
  <c r="BP30" i="4"/>
  <c r="BQ30" i="4" s="1"/>
  <c r="BS30" i="4"/>
  <c r="BS71" i="4"/>
  <c r="BP71" i="4"/>
  <c r="BQ71" i="4" s="1"/>
  <c r="BS43" i="4"/>
  <c r="BP43" i="4"/>
  <c r="BQ43" i="4" s="1"/>
  <c r="BS62" i="4"/>
  <c r="BP62" i="4"/>
  <c r="BQ62" i="4" s="1"/>
  <c r="BP25" i="4"/>
  <c r="BQ25" i="4" s="1"/>
  <c r="BS25" i="4"/>
  <c r="BS69" i="4"/>
  <c r="BP69" i="4"/>
  <c r="BQ69" i="4" s="1"/>
  <c r="BP46" i="4"/>
  <c r="BQ46" i="4" s="1"/>
  <c r="BS46" i="4"/>
  <c r="BP73" i="4"/>
  <c r="BQ73" i="4" s="1"/>
  <c r="BS73" i="4"/>
  <c r="BS9" i="4"/>
  <c r="BP9" i="4"/>
  <c r="BQ9" i="4" s="1"/>
  <c r="BE140" i="4"/>
  <c r="BF140" i="4" s="1"/>
  <c r="BE120" i="4"/>
  <c r="BF120" i="4" s="1"/>
  <c r="BE135" i="4"/>
  <c r="BF135" i="4" s="1"/>
  <c r="BE122" i="4"/>
  <c r="BF122" i="4" s="1"/>
  <c r="BE85" i="4"/>
  <c r="BF85" i="4" s="1"/>
  <c r="BE21" i="4"/>
  <c r="BF21" i="4" s="1"/>
  <c r="BE67" i="4"/>
  <c r="BF67" i="4" s="1"/>
  <c r="BE98" i="4"/>
  <c r="BF98" i="4" s="1"/>
  <c r="BE30" i="4"/>
  <c r="BF30" i="4" s="1"/>
  <c r="BE45" i="4"/>
  <c r="BF45" i="4" s="1"/>
  <c r="BE41" i="4"/>
  <c r="BF41" i="4" s="1"/>
  <c r="BE27" i="4"/>
  <c r="BF27" i="4" s="1"/>
  <c r="BE145" i="4"/>
  <c r="BF145" i="4" s="1"/>
  <c r="BE80" i="4"/>
  <c r="BF80" i="4" s="1"/>
  <c r="BE26" i="4"/>
  <c r="BF26" i="4" s="1"/>
  <c r="BE95" i="4"/>
  <c r="BF95" i="4" s="1"/>
  <c r="BE155" i="4"/>
  <c r="BF155" i="4" s="1"/>
  <c r="BE127" i="4"/>
  <c r="BF127" i="4" s="1"/>
  <c r="BE87" i="4"/>
  <c r="BF87" i="4" s="1"/>
  <c r="BE96" i="4"/>
  <c r="BF96" i="4" s="1"/>
  <c r="BE125" i="4"/>
  <c r="BF125" i="4" s="1"/>
  <c r="BE29" i="4"/>
  <c r="BF29" i="4" s="1"/>
  <c r="BE11" i="4"/>
  <c r="BF11" i="4" s="1"/>
  <c r="BE70" i="4"/>
  <c r="BF70" i="4" s="1"/>
  <c r="BE14" i="4"/>
  <c r="BF14" i="4" s="1"/>
  <c r="BE39" i="4"/>
  <c r="BF39" i="4" s="1"/>
  <c r="BE52" i="4"/>
  <c r="BF52" i="4" s="1"/>
  <c r="BE48" i="4"/>
  <c r="BF48" i="4" s="1"/>
  <c r="BE13" i="4"/>
  <c r="BF13" i="4" s="1"/>
  <c r="BE9" i="4"/>
  <c r="BF9" i="4" s="1"/>
  <c r="BE55" i="4"/>
  <c r="BF55" i="4" s="1"/>
  <c r="BE156" i="4"/>
  <c r="BF156" i="4" s="1"/>
  <c r="BE28" i="4"/>
  <c r="BF28" i="4" s="1"/>
  <c r="BE116" i="4"/>
  <c r="BF116" i="4" s="1"/>
  <c r="BE54" i="4"/>
  <c r="BF54" i="4" s="1"/>
  <c r="BE102" i="4"/>
  <c r="BF102" i="4" s="1"/>
  <c r="BE132" i="4"/>
  <c r="BF132" i="4" s="1"/>
  <c r="BE108" i="4"/>
  <c r="BF108" i="4" s="1"/>
  <c r="BE104" i="4"/>
  <c r="BF104" i="4" s="1"/>
  <c r="BE83" i="4"/>
  <c r="BF83" i="4" s="1"/>
  <c r="BE151" i="4"/>
  <c r="BF151" i="4" s="1"/>
  <c r="BE115" i="4"/>
  <c r="BF115" i="4" s="1"/>
  <c r="BE128" i="4"/>
  <c r="BF128" i="4" s="1"/>
  <c r="BE105" i="4"/>
  <c r="BF105" i="4" s="1"/>
  <c r="BE117" i="4"/>
  <c r="BF117" i="4" s="1"/>
  <c r="BE107" i="4"/>
  <c r="BF107" i="4" s="1"/>
  <c r="BE88" i="4"/>
  <c r="BF88" i="4" s="1"/>
  <c r="BP8" i="4"/>
  <c r="R86" i="4"/>
  <c r="AF86" i="4" s="1"/>
  <c r="R26" i="4"/>
  <c r="BB8" i="4"/>
  <c r="R72" i="4"/>
  <c r="AF72" i="4" s="1"/>
  <c r="R21" i="4"/>
  <c r="AF21" i="4" s="1"/>
  <c r="R16" i="4"/>
  <c r="AF16" i="4" s="1"/>
  <c r="R94" i="4"/>
  <c r="AF94" i="4" s="1"/>
  <c r="R112" i="4"/>
  <c r="AF112" i="4" s="1"/>
  <c r="R28" i="4"/>
  <c r="AF28" i="4" s="1"/>
  <c r="R75" i="4"/>
  <c r="AF75" i="4" s="1"/>
  <c r="R127" i="4"/>
  <c r="AF127" i="4" s="1"/>
  <c r="R147" i="4"/>
  <c r="AF147" i="4" s="1"/>
  <c r="R154" i="4"/>
  <c r="AF154" i="4" s="1"/>
  <c r="R15" i="4"/>
  <c r="AF15" i="4" s="1"/>
  <c r="R74" i="4"/>
  <c r="AF74" i="4" s="1"/>
  <c r="R109" i="4"/>
  <c r="AF109" i="4" s="1"/>
  <c r="R39" i="4"/>
  <c r="AF39" i="4" s="1"/>
  <c r="R44" i="4"/>
  <c r="AF44" i="4" s="1"/>
  <c r="R13" i="4"/>
  <c r="AF13" i="4" s="1"/>
  <c r="R37" i="4"/>
  <c r="AF37" i="4" s="1"/>
  <c r="R14" i="4"/>
  <c r="AF14" i="4" s="1"/>
  <c r="R138" i="4"/>
  <c r="AF138" i="4" s="1"/>
  <c r="R52" i="4"/>
  <c r="AF52" i="4" s="1"/>
  <c r="R40" i="4"/>
  <c r="AF40" i="4" s="1"/>
  <c r="R60" i="4"/>
  <c r="AF60" i="4" s="1"/>
  <c r="R36" i="4"/>
  <c r="AF36" i="4" s="1"/>
  <c r="R58" i="4"/>
  <c r="AF58" i="4" s="1"/>
  <c r="R54" i="4"/>
  <c r="AF54" i="4" s="1"/>
  <c r="R59" i="4"/>
  <c r="AF59" i="4" s="1"/>
  <c r="R148" i="4"/>
  <c r="AF148" i="4" s="1"/>
  <c r="R157" i="4"/>
  <c r="R116" i="4"/>
  <c r="AF116" i="4" s="1"/>
  <c r="R55" i="4"/>
  <c r="AF55" i="4" s="1"/>
  <c r="R79" i="4"/>
  <c r="AF79" i="4" s="1"/>
  <c r="R57" i="4"/>
  <c r="AF57" i="4" s="1"/>
  <c r="R18" i="4"/>
  <c r="AF18" i="4" s="1"/>
  <c r="R156" i="4"/>
  <c r="AF156" i="4" s="1"/>
  <c r="R102" i="4"/>
  <c r="AF102" i="4" s="1"/>
  <c r="R99" i="4"/>
  <c r="AF99" i="4" s="1"/>
  <c r="R130" i="4"/>
  <c r="AF130" i="4" s="1"/>
  <c r="R77" i="4"/>
  <c r="AF77" i="4" s="1"/>
  <c r="R19" i="4"/>
  <c r="AF19" i="4" s="1"/>
  <c r="R97" i="4"/>
  <c r="AF97" i="4" s="1"/>
  <c r="R141" i="4"/>
  <c r="AF141" i="4" s="1"/>
  <c r="R137" i="4"/>
  <c r="AF137" i="4" s="1"/>
  <c r="R126" i="4"/>
  <c r="AF126" i="4" s="1"/>
  <c r="R117" i="4"/>
  <c r="AF117" i="4" s="1"/>
  <c r="R103" i="4"/>
  <c r="AF103" i="4" s="1"/>
  <c r="R88" i="4"/>
  <c r="AF88" i="4" s="1"/>
  <c r="R101" i="4"/>
  <c r="AF101" i="4" s="1"/>
  <c r="R108" i="4"/>
  <c r="AF108" i="4" s="1"/>
  <c r="R33" i="4"/>
  <c r="AF33" i="4" s="1"/>
  <c r="R45" i="4"/>
  <c r="AF45" i="4" s="1"/>
  <c r="R144" i="4"/>
  <c r="AF144" i="4" s="1"/>
  <c r="R87" i="4"/>
  <c r="AF87" i="4" s="1"/>
  <c r="R128" i="4"/>
  <c r="AF128" i="4" s="1"/>
  <c r="R34" i="4"/>
  <c r="AF34" i="4" s="1"/>
  <c r="R146" i="4"/>
  <c r="AF146" i="4" s="1"/>
  <c r="R48" i="4"/>
  <c r="AF48" i="4" s="1"/>
  <c r="R132" i="4"/>
  <c r="AF132" i="4" s="1"/>
  <c r="R123" i="4"/>
  <c r="AF123" i="4" s="1"/>
  <c r="R122" i="4"/>
  <c r="AF122" i="4" s="1"/>
  <c r="R49" i="4"/>
  <c r="AF49" i="4" s="1"/>
  <c r="R43" i="4"/>
  <c r="AF43" i="4" s="1"/>
  <c r="R104" i="4"/>
  <c r="AF104" i="4" s="1"/>
  <c r="R124" i="4"/>
  <c r="AF124" i="4" s="1"/>
  <c r="R111" i="4"/>
  <c r="AF111" i="4" s="1"/>
  <c r="R84" i="4"/>
  <c r="AF84" i="4" s="1"/>
  <c r="R35" i="4"/>
  <c r="AF35" i="4" s="1"/>
  <c r="R140" i="4"/>
  <c r="AF140" i="4" s="1"/>
  <c r="R107" i="4"/>
  <c r="AF107" i="4" s="1"/>
  <c r="R134" i="4"/>
  <c r="AF134" i="4" s="1"/>
  <c r="R42" i="4"/>
  <c r="AF42" i="4" s="1"/>
  <c r="R24" i="4"/>
  <c r="AF24" i="4" s="1"/>
  <c r="R125" i="4"/>
  <c r="AF125" i="4" s="1"/>
  <c r="R151" i="4"/>
  <c r="AF151" i="4" s="1"/>
  <c r="R65" i="4"/>
  <c r="AF65" i="4" s="1"/>
  <c r="R118" i="4"/>
  <c r="AF118" i="4" s="1"/>
  <c r="R113" i="4"/>
  <c r="AF113" i="4" s="1"/>
  <c r="R46" i="4"/>
  <c r="AF46" i="4" s="1"/>
  <c r="R98" i="4"/>
  <c r="AF98" i="4" s="1"/>
  <c r="R139" i="4"/>
  <c r="AF139" i="4" s="1"/>
  <c r="R153" i="4"/>
  <c r="AF153" i="4" s="1"/>
  <c r="R90" i="4"/>
  <c r="AF90" i="4" s="1"/>
  <c r="R133" i="4"/>
  <c r="AF133" i="4" s="1"/>
  <c r="R41" i="4"/>
  <c r="AF41" i="4" s="1"/>
  <c r="R23" i="4"/>
  <c r="AF23" i="4" s="1"/>
  <c r="R152" i="4"/>
  <c r="AF152" i="4" s="1"/>
  <c r="R82" i="4"/>
  <c r="AF82" i="4" s="1"/>
  <c r="R10" i="4"/>
  <c r="AF10" i="4" s="1"/>
  <c r="R12" i="4"/>
  <c r="AF12" i="4" s="1"/>
  <c r="R51" i="4"/>
  <c r="AF51" i="4" s="1"/>
  <c r="R96" i="4"/>
  <c r="AF96" i="4" s="1"/>
  <c r="R143" i="4"/>
  <c r="AF143" i="4" s="1"/>
  <c r="R131" i="4"/>
  <c r="AF131" i="4" s="1"/>
  <c r="R145" i="4"/>
  <c r="AF145" i="4" s="1"/>
  <c r="R29" i="4"/>
  <c r="AF29" i="4" s="1"/>
  <c r="R11" i="4"/>
  <c r="AF11" i="4" s="1"/>
  <c r="R66" i="4"/>
  <c r="AF66" i="4" s="1"/>
  <c r="R89" i="4"/>
  <c r="AF89" i="4" s="1"/>
  <c r="R80" i="4"/>
  <c r="AF80" i="4" s="1"/>
  <c r="R7" i="4"/>
  <c r="AF7" i="4" s="1"/>
  <c r="R149" i="4"/>
  <c r="AF149" i="4" s="1"/>
  <c r="R27" i="4"/>
  <c r="AF27" i="4" s="1"/>
  <c r="R69" i="4"/>
  <c r="AF69" i="4" s="1"/>
  <c r="R76" i="4"/>
  <c r="AF76" i="4" s="1"/>
  <c r="R81" i="4"/>
  <c r="AF81" i="4" s="1"/>
  <c r="R155" i="4"/>
  <c r="AF155" i="4" s="1"/>
  <c r="R68" i="4"/>
  <c r="AF68" i="4" s="1"/>
  <c r="R115" i="4"/>
  <c r="AF115" i="4" s="1"/>
  <c r="R22" i="4"/>
  <c r="AF22" i="4" s="1"/>
  <c r="R83" i="4"/>
  <c r="AF83" i="4" s="1"/>
  <c r="R56" i="4"/>
  <c r="AF56" i="4" s="1"/>
  <c r="R129" i="4"/>
  <c r="AF129" i="4" s="1"/>
  <c r="R135" i="4"/>
  <c r="AF135" i="4" s="1"/>
  <c r="R110" i="4"/>
  <c r="AF110" i="4" s="1"/>
  <c r="R50" i="4"/>
  <c r="AF50" i="4" s="1"/>
  <c r="R121" i="4"/>
  <c r="AF121" i="4" s="1"/>
  <c r="R136" i="4"/>
  <c r="AF136" i="4" s="1"/>
  <c r="R119" i="4"/>
  <c r="AF119" i="4" s="1"/>
  <c r="R38" i="4"/>
  <c r="AF38" i="4" s="1"/>
  <c r="R31" i="4"/>
  <c r="AF31" i="4" s="1"/>
  <c r="R100" i="4"/>
  <c r="AF100" i="4" s="1"/>
  <c r="R64" i="4"/>
  <c r="AF64" i="4" s="1"/>
  <c r="R71" i="4"/>
  <c r="AF71" i="4" s="1"/>
  <c r="R63" i="4"/>
  <c r="AF63" i="4" s="1"/>
  <c r="R114" i="4"/>
  <c r="AF114" i="4" s="1"/>
  <c r="R67" i="4"/>
  <c r="AF67" i="4" s="1"/>
  <c r="R20" i="4"/>
  <c r="AF20" i="4" s="1"/>
  <c r="R91" i="4"/>
  <c r="AF91" i="4" s="1"/>
  <c r="R32" i="4"/>
  <c r="AF32" i="4" s="1"/>
  <c r="R142" i="4"/>
  <c r="AF142" i="4" s="1"/>
  <c r="R106" i="4"/>
  <c r="AF106" i="4" s="1"/>
  <c r="R78" i="4"/>
  <c r="AF78" i="4" s="1"/>
  <c r="R150" i="4"/>
  <c r="AF150" i="4" s="1"/>
  <c r="R73" i="4"/>
  <c r="AF73" i="4" s="1"/>
  <c r="R70" i="4"/>
  <c r="AF70" i="4" s="1"/>
  <c r="R47" i="4"/>
  <c r="AF47" i="4" s="1"/>
  <c r="R62" i="4"/>
  <c r="AF62" i="4" s="1"/>
  <c r="R93" i="4"/>
  <c r="AF93" i="4" s="1"/>
  <c r="R120" i="4"/>
  <c r="AF120" i="4" s="1"/>
  <c r="R85" i="4"/>
  <c r="AF85" i="4" s="1"/>
  <c r="R61" i="4"/>
  <c r="AF61" i="4" s="1"/>
  <c r="R9" i="4"/>
  <c r="AF9" i="4" s="1"/>
  <c r="R92" i="4"/>
  <c r="AF92" i="4" s="1"/>
  <c r="R8" i="4"/>
  <c r="R95" i="4"/>
  <c r="AF95" i="4" s="1"/>
  <c r="R30" i="4"/>
  <c r="AF30" i="4" s="1"/>
  <c r="R105" i="4"/>
  <c r="AF105" i="4" s="1"/>
  <c r="R53" i="4"/>
  <c r="AF53" i="4" s="1"/>
  <c r="B286" i="2"/>
  <c r="B285" i="2"/>
  <c r="B282" i="2"/>
  <c r="B281" i="2"/>
  <c r="B280" i="2"/>
  <c r="B279" i="2"/>
  <c r="B278" i="2"/>
  <c r="AG25" i="4" l="1"/>
  <c r="BE62" i="4"/>
  <c r="BF62" i="4" s="1"/>
  <c r="BS135" i="4"/>
  <c r="BE129" i="4"/>
  <c r="BF129" i="4" s="1"/>
  <c r="BE25" i="4"/>
  <c r="BF25" i="4" s="1"/>
  <c r="BP144" i="4"/>
  <c r="BQ144" i="4" s="1"/>
  <c r="BE56" i="4"/>
  <c r="BF56" i="4" s="1"/>
  <c r="BE66" i="4"/>
  <c r="BF66" i="4" s="1"/>
  <c r="BP99" i="4"/>
  <c r="BQ99" i="4" s="1"/>
  <c r="BE100" i="4"/>
  <c r="BF100" i="4" s="1"/>
  <c r="BE101" i="4"/>
  <c r="BF101" i="4" s="1"/>
  <c r="BE144" i="4"/>
  <c r="BF144" i="4" s="1"/>
  <c r="BE36" i="4"/>
  <c r="BF36" i="4" s="1"/>
  <c r="BE15" i="4"/>
  <c r="BF15" i="4" s="1"/>
  <c r="BE99" i="4"/>
  <c r="BF99" i="4" s="1"/>
  <c r="BS123" i="4"/>
  <c r="BE153" i="4"/>
  <c r="BF153" i="4" s="1"/>
  <c r="BE114" i="4"/>
  <c r="BF114" i="4" s="1"/>
  <c r="BE22" i="4"/>
  <c r="BF22" i="4" s="1"/>
  <c r="BE71" i="4"/>
  <c r="BF71" i="4" s="1"/>
  <c r="BE94" i="4"/>
  <c r="BF94" i="4" s="1"/>
  <c r="BS82" i="4"/>
  <c r="BP129" i="4"/>
  <c r="BQ129" i="4" s="1"/>
  <c r="BP148" i="4"/>
  <c r="BQ148" i="4" s="1"/>
  <c r="BE126" i="4"/>
  <c r="BF126" i="4" s="1"/>
  <c r="BE97" i="4"/>
  <c r="BF97" i="4" s="1"/>
  <c r="BE147" i="4"/>
  <c r="BF147" i="4" s="1"/>
  <c r="BE74" i="4"/>
  <c r="BF74" i="4" s="1"/>
  <c r="BP101" i="4"/>
  <c r="BQ101" i="4" s="1"/>
  <c r="BE123" i="4"/>
  <c r="BF123" i="4" s="1"/>
  <c r="BE34" i="4"/>
  <c r="BF34" i="4" s="1"/>
  <c r="BE113" i="4"/>
  <c r="BF113" i="4" s="1"/>
  <c r="BE136" i="4"/>
  <c r="BF136" i="4" s="1"/>
  <c r="BP84" i="4"/>
  <c r="BQ84" i="4" s="1"/>
  <c r="BS143" i="4"/>
  <c r="BS145" i="4"/>
  <c r="BE157" i="4"/>
  <c r="BF157" i="4" s="1"/>
  <c r="BE148" i="4"/>
  <c r="BF148" i="4" s="1"/>
  <c r="BE119" i="4"/>
  <c r="BF119" i="4" s="1"/>
  <c r="BE64" i="4"/>
  <c r="BF64" i="4" s="1"/>
  <c r="BE23" i="4"/>
  <c r="BF23" i="4" s="1"/>
  <c r="BE60" i="4"/>
  <c r="BF60" i="4" s="1"/>
  <c r="BP86" i="4"/>
  <c r="BQ86" i="4" s="1"/>
  <c r="BS95" i="4"/>
  <c r="BS154" i="4"/>
  <c r="BP97" i="4"/>
  <c r="BQ97" i="4" s="1"/>
  <c r="BP92" i="4"/>
  <c r="BQ92" i="4" s="1"/>
  <c r="BS117" i="4"/>
  <c r="BP141" i="4"/>
  <c r="BQ141" i="4" s="1"/>
  <c r="BS152" i="4"/>
  <c r="BP125" i="4"/>
  <c r="BQ125" i="4" s="1"/>
  <c r="BP136" i="4"/>
  <c r="BQ136" i="4" s="1"/>
  <c r="BP90" i="4"/>
  <c r="BQ90" i="4" s="1"/>
  <c r="BE109" i="4"/>
  <c r="BF109" i="4" s="1"/>
  <c r="BE146" i="4"/>
  <c r="BF146" i="4" s="1"/>
  <c r="BE86" i="4"/>
  <c r="BF86" i="4" s="1"/>
  <c r="BP113" i="4"/>
  <c r="BQ113" i="4" s="1"/>
  <c r="BP89" i="4"/>
  <c r="BQ89" i="4" s="1"/>
  <c r="BS103" i="4"/>
  <c r="BS105" i="4"/>
  <c r="BE33" i="4"/>
  <c r="BF33" i="4" s="1"/>
  <c r="BE58" i="4"/>
  <c r="BF58" i="4" s="1"/>
  <c r="BE134" i="4"/>
  <c r="BF134" i="4" s="1"/>
  <c r="BE137" i="4"/>
  <c r="BF137" i="4" s="1"/>
  <c r="BE35" i="4"/>
  <c r="BF35" i="4" s="1"/>
  <c r="BE103" i="4"/>
  <c r="BF103" i="4" s="1"/>
  <c r="BE138" i="4"/>
  <c r="BF138" i="4" s="1"/>
  <c r="BP104" i="4"/>
  <c r="BQ104" i="4" s="1"/>
  <c r="BS87" i="4"/>
  <c r="BP116" i="4"/>
  <c r="BQ116" i="4" s="1"/>
  <c r="BP146" i="4"/>
  <c r="BQ146" i="4" s="1"/>
  <c r="BS156" i="4"/>
  <c r="BP155" i="4"/>
  <c r="BQ155" i="4" s="1"/>
  <c r="BE141" i="4"/>
  <c r="BF141" i="4" s="1"/>
  <c r="BE106" i="4"/>
  <c r="BF106" i="4" s="1"/>
  <c r="BE130" i="4"/>
  <c r="BF130" i="4" s="1"/>
  <c r="BE18" i="4"/>
  <c r="BF18" i="4" s="1"/>
  <c r="BE31" i="4"/>
  <c r="BF31" i="4" s="1"/>
  <c r="BP153" i="4"/>
  <c r="BQ153" i="4" s="1"/>
  <c r="BP88" i="4"/>
  <c r="BQ88" i="4" s="1"/>
  <c r="BE38" i="4"/>
  <c r="BF38" i="4" s="1"/>
  <c r="BE57" i="4"/>
  <c r="BF57" i="4" s="1"/>
  <c r="BE78" i="4"/>
  <c r="BF78" i="4" s="1"/>
  <c r="BE20" i="4"/>
  <c r="BF20" i="4" s="1"/>
  <c r="BE124" i="4"/>
  <c r="BF124" i="4" s="1"/>
  <c r="BP150" i="4"/>
  <c r="BQ150" i="4" s="1"/>
  <c r="BP142" i="4"/>
  <c r="BQ142" i="4" s="1"/>
  <c r="BE143" i="4"/>
  <c r="BF143" i="4" s="1"/>
  <c r="BE53" i="4"/>
  <c r="BF53" i="4" s="1"/>
  <c r="BE63" i="4"/>
  <c r="BF63" i="4" s="1"/>
  <c r="BE51" i="4"/>
  <c r="BF51" i="4" s="1"/>
  <c r="BE133" i="4"/>
  <c r="BF133" i="4" s="1"/>
  <c r="BP107" i="4"/>
  <c r="BQ107" i="4" s="1"/>
  <c r="BE10" i="4"/>
  <c r="BF10" i="4" s="1"/>
  <c r="BP115" i="4"/>
  <c r="BQ115" i="4" s="1"/>
  <c r="BE81" i="4"/>
  <c r="BF81" i="4" s="1"/>
  <c r="BS91" i="4"/>
  <c r="BS126" i="4"/>
  <c r="BP140" i="4"/>
  <c r="BQ140" i="4" s="1"/>
  <c r="BP134" i="4"/>
  <c r="BQ134" i="4" s="1"/>
  <c r="BS93" i="4"/>
  <c r="BS139" i="4"/>
  <c r="BP110" i="4"/>
  <c r="BQ110" i="4" s="1"/>
  <c r="BS149" i="4"/>
  <c r="BS94" i="4"/>
  <c r="BE68" i="4"/>
  <c r="BF68" i="4" s="1"/>
  <c r="BS124" i="4"/>
  <c r="BE77" i="4"/>
  <c r="BF77" i="4" s="1"/>
  <c r="BE75" i="4"/>
  <c r="BF75" i="4" s="1"/>
  <c r="BE82" i="4"/>
  <c r="BF82" i="4" s="1"/>
  <c r="BE44" i="4"/>
  <c r="BF44" i="4" s="1"/>
  <c r="BE84" i="4"/>
  <c r="BF84" i="4" s="1"/>
  <c r="BE40" i="4"/>
  <c r="BF40" i="4" s="1"/>
  <c r="BE76" i="4"/>
  <c r="BF76" i="4" s="1"/>
  <c r="BE93" i="4"/>
  <c r="BF93" i="4" s="1"/>
  <c r="BE69" i="4"/>
  <c r="BF69" i="4" s="1"/>
  <c r="BE72" i="4"/>
  <c r="BF72" i="4" s="1"/>
  <c r="BE90" i="4"/>
  <c r="BF90" i="4" s="1"/>
  <c r="BE131" i="4"/>
  <c r="BF131" i="4" s="1"/>
  <c r="BE91" i="4"/>
  <c r="BF91" i="4" s="1"/>
  <c r="BE112" i="4"/>
  <c r="BF112" i="4" s="1"/>
  <c r="BE32" i="4"/>
  <c r="BF32" i="4" s="1"/>
  <c r="BP133" i="4"/>
  <c r="BQ133" i="4" s="1"/>
  <c r="BS147" i="4"/>
  <c r="BS118" i="4"/>
  <c r="BS127" i="4"/>
  <c r="BP121" i="4"/>
  <c r="BQ121" i="4" s="1"/>
  <c r="BP100" i="4"/>
  <c r="BQ100" i="4" s="1"/>
  <c r="BS120" i="4"/>
  <c r="BP122" i="4"/>
  <c r="BQ122" i="4" s="1"/>
  <c r="BP106" i="4"/>
  <c r="BQ106" i="4" s="1"/>
  <c r="BP80" i="4"/>
  <c r="BQ80" i="4" s="1"/>
  <c r="BE92" i="4"/>
  <c r="BF92" i="4" s="1"/>
  <c r="BE59" i="4"/>
  <c r="BF59" i="4" s="1"/>
  <c r="BE16" i="4"/>
  <c r="BF16" i="4" s="1"/>
  <c r="BE111" i="4"/>
  <c r="BF111" i="4" s="1"/>
  <c r="BE79" i="4"/>
  <c r="BF79" i="4" s="1"/>
  <c r="BE24" i="4"/>
  <c r="BF24" i="4" s="1"/>
  <c r="BE42" i="4"/>
  <c r="BF42" i="4" s="1"/>
  <c r="BE110" i="4"/>
  <c r="BF110" i="4" s="1"/>
  <c r="BE43" i="4"/>
  <c r="BF43" i="4" s="1"/>
  <c r="BE61" i="4"/>
  <c r="BF61" i="4" s="1"/>
  <c r="BE46" i="4"/>
  <c r="BF46" i="4" s="1"/>
  <c r="BE19" i="4"/>
  <c r="BF19" i="4" s="1"/>
  <c r="BE37" i="4"/>
  <c r="BF37" i="4" s="1"/>
  <c r="BE121" i="4"/>
  <c r="BF121" i="4" s="1"/>
  <c r="BE154" i="4"/>
  <c r="BF154" i="4" s="1"/>
  <c r="BE73" i="4"/>
  <c r="BF73" i="4" s="1"/>
  <c r="BE49" i="4"/>
  <c r="BF49" i="4" s="1"/>
  <c r="BE118" i="4"/>
  <c r="BF118" i="4" s="1"/>
  <c r="BE152" i="4"/>
  <c r="BF152" i="4" s="1"/>
  <c r="BE12" i="4"/>
  <c r="BF12" i="4" s="1"/>
  <c r="BE89" i="4"/>
  <c r="BF89" i="4" s="1"/>
  <c r="BE47" i="4"/>
  <c r="BF47" i="4" s="1"/>
  <c r="BE150" i="4"/>
  <c r="BF150" i="4" s="1"/>
  <c r="BE65" i="4"/>
  <c r="BF65" i="4" s="1"/>
  <c r="BE149" i="4"/>
  <c r="BF149" i="4" s="1"/>
  <c r="BE50" i="4"/>
  <c r="BF50" i="4" s="1"/>
  <c r="BE142" i="4"/>
  <c r="BF142" i="4" s="1"/>
  <c r="BE17" i="4"/>
  <c r="BF17" i="4" s="1"/>
  <c r="BE139" i="4"/>
  <c r="BF139" i="4" s="1"/>
  <c r="BE8" i="4"/>
  <c r="BF8" i="4" s="1"/>
  <c r="BH8" i="4"/>
  <c r="AF8" i="4"/>
  <c r="AG17" i="4"/>
  <c r="AG157" i="4"/>
  <c r="AF157" i="4"/>
  <c r="AF26" i="4"/>
  <c r="AG26" i="4"/>
  <c r="AG8" i="4"/>
  <c r="AG47" i="4"/>
  <c r="AG91" i="4"/>
  <c r="AG31" i="4"/>
  <c r="AG129" i="4"/>
  <c r="AG76" i="4"/>
  <c r="AG11" i="4"/>
  <c r="AG143" i="4"/>
  <c r="AG41" i="4"/>
  <c r="AG118" i="4"/>
  <c r="AG124" i="4"/>
  <c r="AG146" i="4"/>
  <c r="AG126" i="4"/>
  <c r="AG102" i="4"/>
  <c r="AG148" i="4"/>
  <c r="AG138" i="4"/>
  <c r="AG15" i="4"/>
  <c r="AG105" i="4"/>
  <c r="AG120" i="4"/>
  <c r="AG20" i="4"/>
  <c r="AG38" i="4"/>
  <c r="AG56" i="4"/>
  <c r="AG69" i="4"/>
  <c r="AG96" i="4"/>
  <c r="AG133" i="4"/>
  <c r="AG65" i="4"/>
  <c r="AG35" i="4"/>
  <c r="AG104" i="4"/>
  <c r="AG34" i="4"/>
  <c r="AG88" i="4"/>
  <c r="AG77" i="4"/>
  <c r="AG55" i="4"/>
  <c r="AG59" i="4"/>
  <c r="AG14" i="4"/>
  <c r="AG154" i="4"/>
  <c r="AG21" i="4"/>
  <c r="AG95" i="4"/>
  <c r="AG61" i="4"/>
  <c r="AG62" i="4"/>
  <c r="AG150" i="4"/>
  <c r="AG32" i="4"/>
  <c r="AG114" i="4"/>
  <c r="AG100" i="4"/>
  <c r="AG136" i="4"/>
  <c r="AG135" i="4"/>
  <c r="AG22" i="4"/>
  <c r="AG81" i="4"/>
  <c r="AG149" i="4"/>
  <c r="AG66" i="4"/>
  <c r="AG131" i="4"/>
  <c r="AG12" i="4"/>
  <c r="AG23" i="4"/>
  <c r="AG153" i="4"/>
  <c r="AG113" i="4"/>
  <c r="AG125" i="4"/>
  <c r="AG107" i="4"/>
  <c r="AG111" i="4"/>
  <c r="AG49" i="4"/>
  <c r="AG48" i="4"/>
  <c r="AG87" i="4"/>
  <c r="AG108" i="4"/>
  <c r="AG117" i="4"/>
  <c r="AG97" i="4"/>
  <c r="AG99" i="4"/>
  <c r="AG57" i="4"/>
  <c r="AG58" i="4"/>
  <c r="AG52" i="4"/>
  <c r="AG13" i="4"/>
  <c r="AG74" i="4"/>
  <c r="AG127" i="4"/>
  <c r="AG94" i="4"/>
  <c r="AG53" i="4"/>
  <c r="AG85" i="4"/>
  <c r="AG78" i="4"/>
  <c r="AG63" i="4"/>
  <c r="AG121" i="4"/>
  <c r="AG115" i="4"/>
  <c r="AG7" i="4"/>
  <c r="AG10" i="4"/>
  <c r="AG139" i="4"/>
  <c r="AG24" i="4"/>
  <c r="AG140" i="4"/>
  <c r="AG122" i="4"/>
  <c r="AG144" i="4"/>
  <c r="AG101" i="4"/>
  <c r="AG19" i="4"/>
  <c r="AG79" i="4"/>
  <c r="AG36" i="4"/>
  <c r="AG44" i="4"/>
  <c r="AG75" i="4"/>
  <c r="AG16" i="4"/>
  <c r="AG92" i="4"/>
  <c r="AG70" i="4"/>
  <c r="AG106" i="4"/>
  <c r="AG71" i="4"/>
  <c r="AG50" i="4"/>
  <c r="AG68" i="4"/>
  <c r="AG80" i="4"/>
  <c r="AG29" i="4"/>
  <c r="AG82" i="4"/>
  <c r="AG98" i="4"/>
  <c r="AG42" i="4"/>
  <c r="AG123" i="4"/>
  <c r="AG45" i="4"/>
  <c r="AG137" i="4"/>
  <c r="AG156" i="4"/>
  <c r="AG60" i="4"/>
  <c r="AG39" i="4"/>
  <c r="AG28" i="4"/>
  <c r="AG86" i="4"/>
  <c r="AG30" i="4"/>
  <c r="AG9" i="4"/>
  <c r="AG93" i="4"/>
  <c r="AG73" i="4"/>
  <c r="AG142" i="4"/>
  <c r="AG67" i="4"/>
  <c r="AG64" i="4"/>
  <c r="AG119" i="4"/>
  <c r="AG110" i="4"/>
  <c r="AG83" i="4"/>
  <c r="AG155" i="4"/>
  <c r="AG27" i="4"/>
  <c r="AG89" i="4"/>
  <c r="AG145" i="4"/>
  <c r="AG51" i="4"/>
  <c r="AG152" i="4"/>
  <c r="AG90" i="4"/>
  <c r="AG46" i="4"/>
  <c r="AG151" i="4"/>
  <c r="AG134" i="4"/>
  <c r="AG84" i="4"/>
  <c r="AG43" i="4"/>
  <c r="AG132" i="4"/>
  <c r="AG128" i="4"/>
  <c r="AG33" i="4"/>
  <c r="AG103" i="4"/>
  <c r="AG141" i="4"/>
  <c r="AG130" i="4"/>
  <c r="AG18" i="4"/>
  <c r="AG116" i="4"/>
  <c r="AG54" i="4"/>
  <c r="AG40" i="4"/>
  <c r="AG37" i="4"/>
  <c r="AG109" i="4"/>
  <c r="AG147" i="4"/>
  <c r="AG112" i="4"/>
  <c r="AG72" i="4"/>
  <c r="B167" i="2"/>
  <c r="B50" i="3"/>
  <c r="B165" i="2" s="1"/>
  <c r="B164" i="2"/>
  <c r="B163" i="2"/>
  <c r="B162" i="2"/>
  <c r="B161" i="2"/>
  <c r="B157" i="2"/>
  <c r="B45" i="3"/>
  <c r="B155" i="2" s="1"/>
  <c r="B158" i="2" l="1"/>
  <c r="B166" i="2"/>
  <c r="H54" i="1" s="1"/>
  <c r="B168" i="2"/>
  <c r="B253" i="2"/>
  <c r="B36" i="3"/>
  <c r="O548" i="5"/>
  <c r="O549" i="5"/>
  <c r="O550" i="5"/>
  <c r="O551" i="5"/>
  <c r="O552" i="5"/>
  <c r="O553" i="5"/>
  <c r="O554" i="5"/>
  <c r="O555" i="5"/>
  <c r="O556" i="5"/>
  <c r="O557" i="5"/>
  <c r="O558" i="5"/>
  <c r="O559" i="5"/>
  <c r="O560" i="5"/>
  <c r="O537" i="5"/>
  <c r="O538" i="5"/>
  <c r="O539" i="5"/>
  <c r="O540" i="5"/>
  <c r="O541" i="5"/>
  <c r="O542" i="5"/>
  <c r="O543" i="5"/>
  <c r="O544" i="5"/>
  <c r="O545" i="5"/>
  <c r="O546" i="5"/>
  <c r="O547" i="5"/>
  <c r="O520" i="5"/>
  <c r="O521" i="5"/>
  <c r="O522" i="5"/>
  <c r="O523" i="5"/>
  <c r="O524" i="5"/>
  <c r="O525" i="5"/>
  <c r="O526" i="5"/>
  <c r="O527" i="5"/>
  <c r="O528" i="5"/>
  <c r="O529" i="5"/>
  <c r="O530" i="5"/>
  <c r="O531" i="5"/>
  <c r="O532" i="5"/>
  <c r="O533" i="5"/>
  <c r="O534" i="5"/>
  <c r="O535" i="5"/>
  <c r="O536" i="5"/>
  <c r="O519" i="5"/>
  <c r="O420" i="5"/>
  <c r="O421" i="5"/>
  <c r="O422" i="5"/>
  <c r="O423" i="5"/>
  <c r="O424" i="5"/>
  <c r="O425" i="5"/>
  <c r="O426" i="5"/>
  <c r="O427" i="5"/>
  <c r="O428" i="5"/>
  <c r="O429" i="5"/>
  <c r="O430" i="5"/>
  <c r="O431" i="5"/>
  <c r="O432" i="5"/>
  <c r="O433" i="5"/>
  <c r="O434" i="5"/>
  <c r="O435" i="5"/>
  <c r="O436" i="5"/>
  <c r="O437" i="5"/>
  <c r="O438" i="5"/>
  <c r="O439" i="5"/>
  <c r="O440" i="5"/>
  <c r="O441" i="5"/>
  <c r="O442" i="5"/>
  <c r="O443" i="5"/>
  <c r="O444" i="5"/>
  <c r="O445" i="5"/>
  <c r="O446" i="5"/>
  <c r="O447" i="5"/>
  <c r="O448" i="5"/>
  <c r="O449" i="5"/>
  <c r="O450" i="5"/>
  <c r="O451" i="5"/>
  <c r="O452" i="5"/>
  <c r="O453" i="5"/>
  <c r="O454" i="5"/>
  <c r="O455" i="5"/>
  <c r="O456" i="5"/>
  <c r="O457" i="5"/>
  <c r="O458" i="5"/>
  <c r="O459" i="5"/>
  <c r="O460" i="5"/>
  <c r="O461" i="5"/>
  <c r="O462" i="5"/>
  <c r="O463" i="5"/>
  <c r="O464" i="5"/>
  <c r="O465" i="5"/>
  <c r="O466" i="5"/>
  <c r="O467" i="5"/>
  <c r="O468" i="5"/>
  <c r="O469" i="5"/>
  <c r="O470" i="5"/>
  <c r="O471" i="5"/>
  <c r="O472" i="5"/>
  <c r="O473" i="5"/>
  <c r="O474" i="5"/>
  <c r="O475" i="5"/>
  <c r="O476" i="5"/>
  <c r="O477" i="5"/>
  <c r="O478" i="5"/>
  <c r="O479" i="5"/>
  <c r="O480" i="5"/>
  <c r="O481" i="5"/>
  <c r="O482" i="5"/>
  <c r="O483" i="5"/>
  <c r="O484" i="5"/>
  <c r="O485" i="5"/>
  <c r="O486" i="5"/>
  <c r="O487" i="5"/>
  <c r="O488" i="5"/>
  <c r="O489" i="5"/>
  <c r="O490" i="5"/>
  <c r="O491" i="5"/>
  <c r="O492" i="5"/>
  <c r="O493" i="5"/>
  <c r="O494" i="5"/>
  <c r="O495" i="5"/>
  <c r="O496" i="5"/>
  <c r="O497" i="5"/>
  <c r="O498" i="5"/>
  <c r="O499" i="5"/>
  <c r="O500" i="5"/>
  <c r="O501" i="5"/>
  <c r="O502" i="5"/>
  <c r="O503" i="5"/>
  <c r="O504" i="5"/>
  <c r="O505" i="5"/>
  <c r="O506" i="5"/>
  <c r="O507" i="5"/>
  <c r="O508" i="5"/>
  <c r="O509" i="5"/>
  <c r="O510" i="5"/>
  <c r="O511" i="5"/>
  <c r="O512" i="5"/>
  <c r="O513" i="5"/>
  <c r="O514" i="5"/>
  <c r="O515" i="5"/>
  <c r="O516" i="5"/>
  <c r="O517" i="5"/>
  <c r="O518" i="5"/>
  <c r="O419" i="5"/>
  <c r="O320" i="5"/>
  <c r="O321" i="5"/>
  <c r="O322" i="5"/>
  <c r="O323" i="5"/>
  <c r="O324" i="5"/>
  <c r="O325" i="5"/>
  <c r="O326" i="5"/>
  <c r="O327" i="5"/>
  <c r="O328" i="5"/>
  <c r="O329" i="5"/>
  <c r="O330" i="5"/>
  <c r="O331" i="5"/>
  <c r="O332" i="5"/>
  <c r="O333" i="5"/>
  <c r="O334" i="5"/>
  <c r="O335" i="5"/>
  <c r="O336" i="5"/>
  <c r="O337" i="5"/>
  <c r="O338" i="5"/>
  <c r="O339" i="5"/>
  <c r="O340" i="5"/>
  <c r="O341" i="5"/>
  <c r="O342" i="5"/>
  <c r="O343" i="5"/>
  <c r="O344" i="5"/>
  <c r="O345" i="5"/>
  <c r="O346" i="5"/>
  <c r="O347" i="5"/>
  <c r="O348" i="5"/>
  <c r="O349" i="5"/>
  <c r="O350" i="5"/>
  <c r="O351" i="5"/>
  <c r="O352" i="5"/>
  <c r="O353" i="5"/>
  <c r="O354" i="5"/>
  <c r="O355" i="5"/>
  <c r="O356" i="5"/>
  <c r="O357" i="5"/>
  <c r="O358" i="5"/>
  <c r="O359" i="5"/>
  <c r="O360" i="5"/>
  <c r="O361" i="5"/>
  <c r="O362" i="5"/>
  <c r="O363" i="5"/>
  <c r="O364" i="5"/>
  <c r="O365" i="5"/>
  <c r="O366" i="5"/>
  <c r="O367" i="5"/>
  <c r="O368" i="5"/>
  <c r="O369" i="5"/>
  <c r="O370" i="5"/>
  <c r="O371" i="5"/>
  <c r="O372" i="5"/>
  <c r="O373" i="5"/>
  <c r="O374" i="5"/>
  <c r="O375" i="5"/>
  <c r="O376" i="5"/>
  <c r="O377" i="5"/>
  <c r="O378" i="5"/>
  <c r="O379" i="5"/>
  <c r="O380" i="5"/>
  <c r="O381" i="5"/>
  <c r="O382" i="5"/>
  <c r="O383" i="5"/>
  <c r="O384" i="5"/>
  <c r="O385" i="5"/>
  <c r="O386" i="5"/>
  <c r="O387" i="5"/>
  <c r="O388" i="5"/>
  <c r="O389" i="5"/>
  <c r="O390" i="5"/>
  <c r="O391" i="5"/>
  <c r="O392" i="5"/>
  <c r="O393" i="5"/>
  <c r="O394" i="5"/>
  <c r="O395" i="5"/>
  <c r="O396" i="5"/>
  <c r="O397" i="5"/>
  <c r="O398" i="5"/>
  <c r="O399" i="5"/>
  <c r="O400" i="5"/>
  <c r="O401" i="5"/>
  <c r="O402" i="5"/>
  <c r="O403" i="5"/>
  <c r="O404" i="5"/>
  <c r="O405" i="5"/>
  <c r="O406" i="5"/>
  <c r="O407" i="5"/>
  <c r="O408" i="5"/>
  <c r="O409" i="5"/>
  <c r="O410" i="5"/>
  <c r="O411" i="5"/>
  <c r="O412" i="5"/>
  <c r="O413" i="5"/>
  <c r="O414" i="5"/>
  <c r="O415" i="5"/>
  <c r="O416" i="5"/>
  <c r="O417" i="5"/>
  <c r="O418" i="5"/>
  <c r="O319" i="5"/>
  <c r="O220" i="5"/>
  <c r="O221" i="5"/>
  <c r="O222" i="5"/>
  <c r="O223" i="5"/>
  <c r="O224" i="5"/>
  <c r="O225" i="5"/>
  <c r="O226" i="5"/>
  <c r="O227" i="5"/>
  <c r="O228" i="5"/>
  <c r="O229" i="5"/>
  <c r="O230" i="5"/>
  <c r="O231" i="5"/>
  <c r="O232" i="5"/>
  <c r="O233" i="5"/>
  <c r="O234" i="5"/>
  <c r="O235" i="5"/>
  <c r="O236" i="5"/>
  <c r="O237" i="5"/>
  <c r="O238" i="5"/>
  <c r="O239" i="5"/>
  <c r="O240" i="5"/>
  <c r="O241" i="5"/>
  <c r="O242" i="5"/>
  <c r="O243" i="5"/>
  <c r="O244" i="5"/>
  <c r="O245" i="5"/>
  <c r="O246" i="5"/>
  <c r="O247" i="5"/>
  <c r="O248" i="5"/>
  <c r="O249" i="5"/>
  <c r="O250" i="5"/>
  <c r="O251" i="5"/>
  <c r="O252" i="5"/>
  <c r="O253" i="5"/>
  <c r="O254" i="5"/>
  <c r="O255" i="5"/>
  <c r="O256" i="5"/>
  <c r="O257" i="5"/>
  <c r="O258" i="5"/>
  <c r="O259" i="5"/>
  <c r="O260" i="5"/>
  <c r="O261" i="5"/>
  <c r="O262" i="5"/>
  <c r="O263" i="5"/>
  <c r="O264" i="5"/>
  <c r="O265" i="5"/>
  <c r="O266" i="5"/>
  <c r="O267" i="5"/>
  <c r="O268" i="5"/>
  <c r="O269" i="5"/>
  <c r="O270" i="5"/>
  <c r="O271" i="5"/>
  <c r="O272" i="5"/>
  <c r="O273" i="5"/>
  <c r="O274" i="5"/>
  <c r="O275" i="5"/>
  <c r="O276" i="5"/>
  <c r="O277" i="5"/>
  <c r="O278" i="5"/>
  <c r="O279" i="5"/>
  <c r="O280" i="5"/>
  <c r="O281" i="5"/>
  <c r="O282" i="5"/>
  <c r="O283" i="5"/>
  <c r="O284" i="5"/>
  <c r="O285" i="5"/>
  <c r="O286" i="5"/>
  <c r="O287" i="5"/>
  <c r="O288" i="5"/>
  <c r="O289" i="5"/>
  <c r="O290" i="5"/>
  <c r="O291" i="5"/>
  <c r="O292" i="5"/>
  <c r="O293" i="5"/>
  <c r="O294" i="5"/>
  <c r="O295" i="5"/>
  <c r="O296" i="5"/>
  <c r="O297" i="5"/>
  <c r="O298" i="5"/>
  <c r="O299" i="5"/>
  <c r="O300" i="5"/>
  <c r="O301" i="5"/>
  <c r="O302" i="5"/>
  <c r="O303" i="5"/>
  <c r="O304" i="5"/>
  <c r="O305" i="5"/>
  <c r="O306" i="5"/>
  <c r="O307" i="5"/>
  <c r="O308" i="5"/>
  <c r="O309" i="5"/>
  <c r="O310" i="5"/>
  <c r="O311" i="5"/>
  <c r="O312" i="5"/>
  <c r="O313" i="5"/>
  <c r="O314" i="5"/>
  <c r="O315" i="5"/>
  <c r="O316" i="5"/>
  <c r="O317" i="5"/>
  <c r="O318" i="5"/>
  <c r="O219" i="5"/>
  <c r="O120" i="5"/>
  <c r="O121" i="5"/>
  <c r="O122" i="5"/>
  <c r="O123" i="5"/>
  <c r="O124" i="5"/>
  <c r="O125" i="5"/>
  <c r="O126" i="5"/>
  <c r="O127" i="5"/>
  <c r="O128" i="5"/>
  <c r="O129" i="5"/>
  <c r="O130" i="5"/>
  <c r="O131" i="5"/>
  <c r="O132" i="5"/>
  <c r="O133" i="5"/>
  <c r="O134" i="5"/>
  <c r="O135" i="5"/>
  <c r="O136" i="5"/>
  <c r="O137" i="5"/>
  <c r="O138" i="5"/>
  <c r="O139" i="5"/>
  <c r="O140" i="5"/>
  <c r="O141" i="5"/>
  <c r="O142" i="5"/>
  <c r="O143" i="5"/>
  <c r="O144" i="5"/>
  <c r="O145" i="5"/>
  <c r="O146" i="5"/>
  <c r="O147" i="5"/>
  <c r="O148" i="5"/>
  <c r="O149" i="5"/>
  <c r="O150" i="5"/>
  <c r="O151" i="5"/>
  <c r="O152" i="5"/>
  <c r="O153" i="5"/>
  <c r="O154" i="5"/>
  <c r="O155" i="5"/>
  <c r="O156" i="5"/>
  <c r="O157" i="5"/>
  <c r="O158" i="5"/>
  <c r="O159" i="5"/>
  <c r="O160" i="5"/>
  <c r="O161" i="5"/>
  <c r="O162" i="5"/>
  <c r="O163" i="5"/>
  <c r="O164" i="5"/>
  <c r="O165" i="5"/>
  <c r="O166" i="5"/>
  <c r="O167" i="5"/>
  <c r="O168" i="5"/>
  <c r="O169" i="5"/>
  <c r="O170" i="5"/>
  <c r="O171" i="5"/>
  <c r="O172" i="5"/>
  <c r="O173" i="5"/>
  <c r="O174" i="5"/>
  <c r="O175" i="5"/>
  <c r="O176" i="5"/>
  <c r="O177" i="5"/>
  <c r="O178" i="5"/>
  <c r="O179" i="5"/>
  <c r="O180" i="5"/>
  <c r="O181" i="5"/>
  <c r="O182" i="5"/>
  <c r="O183" i="5"/>
  <c r="O184" i="5"/>
  <c r="O185" i="5"/>
  <c r="O186" i="5"/>
  <c r="O187" i="5"/>
  <c r="O188" i="5"/>
  <c r="O189" i="5"/>
  <c r="O190" i="5"/>
  <c r="O191" i="5"/>
  <c r="O192" i="5"/>
  <c r="O193" i="5"/>
  <c r="O194" i="5"/>
  <c r="O195" i="5"/>
  <c r="O196" i="5"/>
  <c r="O197" i="5"/>
  <c r="O198" i="5"/>
  <c r="O199" i="5"/>
  <c r="O200" i="5"/>
  <c r="O201" i="5"/>
  <c r="O202" i="5"/>
  <c r="O203" i="5"/>
  <c r="O204" i="5"/>
  <c r="O205" i="5"/>
  <c r="O206" i="5"/>
  <c r="O207" i="5"/>
  <c r="O208" i="5"/>
  <c r="O209" i="5"/>
  <c r="O210" i="5"/>
  <c r="O211" i="5"/>
  <c r="O212" i="5"/>
  <c r="O213" i="5"/>
  <c r="O214" i="5"/>
  <c r="O215" i="5"/>
  <c r="O216" i="5"/>
  <c r="O217" i="5"/>
  <c r="O218" i="5"/>
  <c r="O119" i="5"/>
  <c r="O20" i="5"/>
  <c r="O21" i="5"/>
  <c r="O22" i="5"/>
  <c r="O23" i="5"/>
  <c r="O24" i="5"/>
  <c r="O25" i="5"/>
  <c r="O26" i="5"/>
  <c r="O27" i="5"/>
  <c r="O28" i="5"/>
  <c r="O29" i="5"/>
  <c r="O30" i="5"/>
  <c r="O31" i="5"/>
  <c r="O32" i="5"/>
  <c r="O33" i="5"/>
  <c r="O34" i="5"/>
  <c r="O35" i="5"/>
  <c r="O36" i="5"/>
  <c r="O37" i="5"/>
  <c r="O38" i="5"/>
  <c r="O39" i="5"/>
  <c r="O40" i="5"/>
  <c r="O41" i="5"/>
  <c r="O42" i="5"/>
  <c r="O43" i="5"/>
  <c r="O44" i="5"/>
  <c r="O45" i="5"/>
  <c r="O46" i="5"/>
  <c r="O47" i="5"/>
  <c r="O48" i="5"/>
  <c r="O49" i="5"/>
  <c r="O50" i="5"/>
  <c r="O51" i="5"/>
  <c r="O52" i="5"/>
  <c r="O53" i="5"/>
  <c r="O54" i="5"/>
  <c r="O55" i="5"/>
  <c r="O56" i="5"/>
  <c r="O57" i="5"/>
  <c r="O58" i="5"/>
  <c r="O59" i="5"/>
  <c r="O60" i="5"/>
  <c r="O61" i="5"/>
  <c r="O62" i="5"/>
  <c r="O63" i="5"/>
  <c r="O64" i="5"/>
  <c r="O65" i="5"/>
  <c r="O66" i="5"/>
  <c r="O67" i="5"/>
  <c r="O68" i="5"/>
  <c r="O69" i="5"/>
  <c r="O70" i="5"/>
  <c r="O71" i="5"/>
  <c r="O72" i="5"/>
  <c r="O73" i="5"/>
  <c r="O74" i="5"/>
  <c r="O75" i="5"/>
  <c r="O76" i="5"/>
  <c r="O77" i="5"/>
  <c r="O78" i="5"/>
  <c r="O79" i="5"/>
  <c r="O80" i="5"/>
  <c r="O81" i="5"/>
  <c r="O82" i="5"/>
  <c r="O83" i="5"/>
  <c r="O84" i="5"/>
  <c r="O85" i="5"/>
  <c r="O86" i="5"/>
  <c r="O87" i="5"/>
  <c r="O88" i="5"/>
  <c r="O89" i="5"/>
  <c r="O90" i="5"/>
  <c r="O91" i="5"/>
  <c r="O92" i="5"/>
  <c r="O93" i="5"/>
  <c r="O94" i="5"/>
  <c r="O95" i="5"/>
  <c r="O96" i="5"/>
  <c r="O97" i="5"/>
  <c r="O98" i="5"/>
  <c r="O99" i="5"/>
  <c r="O100" i="5"/>
  <c r="O101" i="5"/>
  <c r="O102" i="5"/>
  <c r="O103" i="5"/>
  <c r="O104" i="5"/>
  <c r="O105" i="5"/>
  <c r="O106" i="5"/>
  <c r="O107" i="5"/>
  <c r="O108" i="5"/>
  <c r="O109" i="5"/>
  <c r="O110" i="5"/>
  <c r="O111" i="5"/>
  <c r="O112" i="5"/>
  <c r="O113" i="5"/>
  <c r="O114" i="5"/>
  <c r="O115" i="5"/>
  <c r="O116" i="5"/>
  <c r="O117" i="5"/>
  <c r="O118" i="5"/>
  <c r="O19" i="5"/>
  <c r="O8" i="10" l="1"/>
  <c r="O7" i="10"/>
  <c r="O8" i="5"/>
  <c r="O7" i="5"/>
  <c r="B169" i="2"/>
  <c r="H56" i="1"/>
  <c r="B170" i="2"/>
  <c r="B259" i="2"/>
  <c r="AG8" i="10" l="1"/>
  <c r="AG7" i="10"/>
  <c r="B36" i="5"/>
  <c r="AI8" i="10" l="1"/>
  <c r="AH8" i="10"/>
  <c r="AH7" i="10"/>
  <c r="AI7" i="10"/>
  <c r="B238" i="2"/>
  <c r="B63" i="5" s="1"/>
  <c r="B33" i="5"/>
  <c r="B131" i="2" l="1"/>
  <c r="B151" i="2" s="1"/>
  <c r="B130" i="2"/>
  <c r="B150" i="2" s="1"/>
  <c r="B126" i="2"/>
  <c r="B115" i="2"/>
  <c r="B29" i="3"/>
  <c r="B27" i="3"/>
  <c r="B93" i="2"/>
  <c r="B34" i="10" l="1"/>
  <c r="B34" i="5"/>
  <c r="B48" i="10"/>
  <c r="B156" i="2"/>
  <c r="B19" i="5"/>
  <c r="B19" i="10"/>
  <c r="B48" i="5"/>
  <c r="B49" i="5" s="1"/>
  <c r="B76" i="2"/>
  <c r="AO2" i="4" s="1"/>
  <c r="B24" i="3"/>
  <c r="B74" i="2"/>
  <c r="B10" i="2"/>
  <c r="B16" i="3"/>
  <c r="B14" i="3"/>
  <c r="B12" i="3"/>
  <c r="B9" i="2"/>
  <c r="B12" i="10" s="1"/>
  <c r="B8" i="2"/>
  <c r="H59" i="1" s="1"/>
  <c r="B7" i="2"/>
  <c r="B10" i="10" s="1"/>
  <c r="B183" i="2" l="1"/>
  <c r="T7" i="5" s="1"/>
  <c r="V7" i="5" s="1"/>
  <c r="B18" i="5"/>
  <c r="B18" i="10"/>
  <c r="BV8" i="4"/>
  <c r="BV24" i="4"/>
  <c r="BV40" i="4"/>
  <c r="BV56" i="4"/>
  <c r="BV72" i="4"/>
  <c r="BV88" i="4"/>
  <c r="BV104" i="4"/>
  <c r="BV120" i="4"/>
  <c r="BV136" i="4"/>
  <c r="BV152" i="4"/>
  <c r="BV39" i="4"/>
  <c r="BV71" i="4"/>
  <c r="BV17" i="4"/>
  <c r="BV33" i="4"/>
  <c r="BV49" i="4"/>
  <c r="BV65" i="4"/>
  <c r="BV81" i="4"/>
  <c r="BV97" i="4"/>
  <c r="BV113" i="4"/>
  <c r="BV129" i="4"/>
  <c r="BV145" i="4"/>
  <c r="BV10" i="4"/>
  <c r="BV26" i="4"/>
  <c r="BV42" i="4"/>
  <c r="BV58" i="4"/>
  <c r="BV74" i="4"/>
  <c r="BV90" i="4"/>
  <c r="BV106" i="4"/>
  <c r="BV122" i="4"/>
  <c r="BV138" i="4"/>
  <c r="BV154" i="4"/>
  <c r="BV27" i="4"/>
  <c r="BV59" i="4"/>
  <c r="BV111" i="4"/>
  <c r="BV99" i="4"/>
  <c r="BV87" i="4"/>
  <c r="BV151" i="4"/>
  <c r="BV139" i="4"/>
  <c r="BV20" i="4"/>
  <c r="BV44" i="4"/>
  <c r="BV64" i="4"/>
  <c r="BV84" i="4"/>
  <c r="BV108" i="4"/>
  <c r="BV128" i="4"/>
  <c r="BV148" i="4"/>
  <c r="BV47" i="4"/>
  <c r="BV9" i="4"/>
  <c r="BV29" i="4"/>
  <c r="BV53" i="4"/>
  <c r="BV73" i="4"/>
  <c r="BV93" i="4"/>
  <c r="BV117" i="4"/>
  <c r="BV137" i="4"/>
  <c r="BV157" i="4"/>
  <c r="BV30" i="4"/>
  <c r="BV50" i="4"/>
  <c r="BV70" i="4"/>
  <c r="BV94" i="4"/>
  <c r="BV114" i="4"/>
  <c r="BV134" i="4"/>
  <c r="BV11" i="4"/>
  <c r="BV43" i="4"/>
  <c r="BV95" i="4"/>
  <c r="BV115" i="4"/>
  <c r="BV119" i="4"/>
  <c r="BV123" i="4"/>
  <c r="BV28" i="4"/>
  <c r="BV48" i="4"/>
  <c r="BV68" i="4"/>
  <c r="BV92" i="4"/>
  <c r="BV112" i="4"/>
  <c r="BV132" i="4"/>
  <c r="BV156" i="4"/>
  <c r="BV55" i="4"/>
  <c r="BV13" i="4"/>
  <c r="BV37" i="4"/>
  <c r="BV57" i="4"/>
  <c r="BV77" i="4"/>
  <c r="BV101" i="4"/>
  <c r="BV121" i="4"/>
  <c r="BV141" i="4"/>
  <c r="BV14" i="4"/>
  <c r="BV34" i="4"/>
  <c r="BV54" i="4"/>
  <c r="BV78" i="4"/>
  <c r="BV98" i="4"/>
  <c r="BV118" i="4"/>
  <c r="BV142" i="4"/>
  <c r="BV19" i="4"/>
  <c r="BV51" i="4"/>
  <c r="BV127" i="4"/>
  <c r="BV131" i="4"/>
  <c r="BV135" i="4"/>
  <c r="BV155" i="4"/>
  <c r="BV12" i="4"/>
  <c r="BV32" i="4"/>
  <c r="BV52" i="4"/>
  <c r="BV76" i="4"/>
  <c r="BV96" i="4"/>
  <c r="BV116" i="4"/>
  <c r="BV140" i="4"/>
  <c r="BV15" i="4"/>
  <c r="BV63" i="4"/>
  <c r="BV21" i="4"/>
  <c r="BV41" i="4"/>
  <c r="BV61" i="4"/>
  <c r="BV85" i="4"/>
  <c r="BV105" i="4"/>
  <c r="BV125" i="4"/>
  <c r="BV149" i="4"/>
  <c r="BV18" i="4"/>
  <c r="BV38" i="4"/>
  <c r="BV62" i="4"/>
  <c r="BV82" i="4"/>
  <c r="BV102" i="4"/>
  <c r="BV126" i="4"/>
  <c r="BV146" i="4"/>
  <c r="BV23" i="4"/>
  <c r="BV67" i="4"/>
  <c r="BV143" i="4"/>
  <c r="BV147" i="4"/>
  <c r="BV91" i="4"/>
  <c r="BV80" i="4"/>
  <c r="BV31" i="4"/>
  <c r="BV69" i="4"/>
  <c r="BV153" i="4"/>
  <c r="BV86" i="4"/>
  <c r="BV35" i="4"/>
  <c r="BV107" i="4"/>
  <c r="BV16" i="4"/>
  <c r="BV100" i="4"/>
  <c r="BV79" i="4"/>
  <c r="BV89" i="4"/>
  <c r="BV22" i="4"/>
  <c r="BV110" i="4"/>
  <c r="BV75" i="4"/>
  <c r="BV36" i="4"/>
  <c r="BV124" i="4"/>
  <c r="BV25" i="4"/>
  <c r="BV109" i="4"/>
  <c r="BV46" i="4"/>
  <c r="BV130" i="4"/>
  <c r="BV83" i="4"/>
  <c r="BV60" i="4"/>
  <c r="BV144" i="4"/>
  <c r="BV45" i="4"/>
  <c r="BV133" i="4"/>
  <c r="BV66" i="4"/>
  <c r="BV150" i="4"/>
  <c r="BV103" i="4"/>
  <c r="B29" i="10"/>
  <c r="B54" i="10"/>
  <c r="B13" i="10"/>
  <c r="T8" i="10"/>
  <c r="T7" i="10"/>
  <c r="B16" i="10"/>
  <c r="P15" i="10" s="1"/>
  <c r="B11" i="10"/>
  <c r="B40" i="10"/>
  <c r="AI537" i="10"/>
  <c r="AH537" i="10"/>
  <c r="AI502" i="10"/>
  <c r="AH502" i="10"/>
  <c r="AH385" i="10"/>
  <c r="AI385" i="10"/>
  <c r="AH336" i="10"/>
  <c r="AI336" i="10"/>
  <c r="AH305" i="10"/>
  <c r="AI305" i="10"/>
  <c r="AH269" i="10"/>
  <c r="AI269" i="10"/>
  <c r="AH245" i="10"/>
  <c r="AI245" i="10"/>
  <c r="AI226" i="10"/>
  <c r="AH226" i="10"/>
  <c r="AI155" i="10"/>
  <c r="AH155" i="10"/>
  <c r="AH118" i="10"/>
  <c r="AI118" i="10"/>
  <c r="AH200" i="10"/>
  <c r="AI200" i="10"/>
  <c r="AI22" i="10"/>
  <c r="AH22" i="10"/>
  <c r="AH558" i="10"/>
  <c r="AI558" i="10"/>
  <c r="AH497" i="10"/>
  <c r="AI497" i="10"/>
  <c r="AI490" i="10"/>
  <c r="AH490" i="10"/>
  <c r="AH429" i="10"/>
  <c r="AI429" i="10"/>
  <c r="AI396" i="10"/>
  <c r="AH396" i="10"/>
  <c r="AH348" i="10"/>
  <c r="AI348" i="10"/>
  <c r="AI193" i="10"/>
  <c r="AH193" i="10"/>
  <c r="AH276" i="10"/>
  <c r="AI276" i="10"/>
  <c r="AI238" i="10"/>
  <c r="AH238" i="10"/>
  <c r="AH208" i="10"/>
  <c r="AI208" i="10"/>
  <c r="AI174" i="10"/>
  <c r="AH174" i="10"/>
  <c r="AH130" i="10"/>
  <c r="AI130" i="10"/>
  <c r="AH42" i="10"/>
  <c r="AI42" i="10"/>
  <c r="AH40" i="10"/>
  <c r="AI40" i="10"/>
  <c r="AI535" i="10"/>
  <c r="AH535" i="10"/>
  <c r="AH471" i="10"/>
  <c r="AI471" i="10"/>
  <c r="AI400" i="10"/>
  <c r="AH400" i="10"/>
  <c r="AI321" i="10"/>
  <c r="AH321" i="10"/>
  <c r="AH281" i="10"/>
  <c r="AI281" i="10"/>
  <c r="AI519" i="10"/>
  <c r="AH519" i="10"/>
  <c r="AI506" i="10"/>
  <c r="AH506" i="10"/>
  <c r="AI456" i="10"/>
  <c r="AH456" i="10"/>
  <c r="AI426" i="10"/>
  <c r="AH426" i="10"/>
  <c r="AH393" i="10"/>
  <c r="AI393" i="10"/>
  <c r="AI392" i="10"/>
  <c r="AH392" i="10"/>
  <c r="AI349" i="10"/>
  <c r="AH349" i="10"/>
  <c r="AI317" i="10"/>
  <c r="AH317" i="10"/>
  <c r="AH312" i="10"/>
  <c r="AI312" i="10"/>
  <c r="AH387" i="10"/>
  <c r="AI387" i="10"/>
  <c r="AI218" i="10"/>
  <c r="AH218" i="10"/>
  <c r="AI117" i="10"/>
  <c r="AH117" i="10"/>
  <c r="AI101" i="10"/>
  <c r="AH101" i="10"/>
  <c r="AI147" i="10"/>
  <c r="AH147" i="10"/>
  <c r="AH142" i="10"/>
  <c r="AI142" i="10"/>
  <c r="AH78" i="10"/>
  <c r="AI78" i="10"/>
  <c r="AI64" i="10"/>
  <c r="AH64" i="10"/>
  <c r="AH30" i="10"/>
  <c r="AI30" i="10"/>
  <c r="AH530" i="10"/>
  <c r="AI530" i="10"/>
  <c r="AI329" i="10"/>
  <c r="AH329" i="10"/>
  <c r="AH261" i="10"/>
  <c r="AI261" i="10"/>
  <c r="AH538" i="10"/>
  <c r="AI538" i="10"/>
  <c r="AI514" i="10"/>
  <c r="AH514" i="10"/>
  <c r="AI494" i="10"/>
  <c r="AH494" i="10"/>
  <c r="AI451" i="10"/>
  <c r="AH451" i="10"/>
  <c r="AH444" i="10"/>
  <c r="AI444" i="10"/>
  <c r="AH405" i="10"/>
  <c r="AI405" i="10"/>
  <c r="AI388" i="10"/>
  <c r="AH388" i="10"/>
  <c r="AH356" i="10"/>
  <c r="AI356" i="10"/>
  <c r="AH241" i="10"/>
  <c r="AI241" i="10"/>
  <c r="AH373" i="10"/>
  <c r="AI373" i="10"/>
  <c r="AH288" i="10"/>
  <c r="AI288" i="10"/>
  <c r="AH256" i="10"/>
  <c r="AI256" i="10"/>
  <c r="AI85" i="10"/>
  <c r="AH85" i="10"/>
  <c r="AI194" i="10"/>
  <c r="AH194" i="10"/>
  <c r="AH154" i="10"/>
  <c r="AI154" i="10"/>
  <c r="AH98" i="10"/>
  <c r="AI98" i="10"/>
  <c r="AI19" i="10"/>
  <c r="AH19" i="10"/>
  <c r="AI39" i="10"/>
  <c r="AH39" i="10"/>
  <c r="AH88" i="10"/>
  <c r="AI88" i="10"/>
  <c r="AI44" i="10"/>
  <c r="AH44" i="10"/>
  <c r="AI55" i="10"/>
  <c r="AH55" i="10"/>
  <c r="AI104" i="10"/>
  <c r="AH104" i="10"/>
  <c r="AI120" i="10"/>
  <c r="AH120" i="10"/>
  <c r="AI136" i="10"/>
  <c r="AH136" i="10"/>
  <c r="AI152" i="10"/>
  <c r="AH152" i="10"/>
  <c r="AI48" i="10"/>
  <c r="AH48" i="10"/>
  <c r="AH76" i="10"/>
  <c r="AI76" i="10"/>
  <c r="AH164" i="10"/>
  <c r="AI164" i="10"/>
  <c r="AI206" i="10"/>
  <c r="AH206" i="10"/>
  <c r="AI202" i="10"/>
  <c r="AH202" i="10"/>
  <c r="AH172" i="10"/>
  <c r="AI172" i="10"/>
  <c r="AI26" i="10"/>
  <c r="AH26" i="10"/>
  <c r="AI149" i="10"/>
  <c r="AH149" i="10"/>
  <c r="AI247" i="10"/>
  <c r="AH247" i="10"/>
  <c r="AI263" i="10"/>
  <c r="AH263" i="10"/>
  <c r="AI279" i="10"/>
  <c r="AH279" i="10"/>
  <c r="AI295" i="10"/>
  <c r="AH295" i="10"/>
  <c r="AH224" i="10"/>
  <c r="AI224" i="10"/>
  <c r="AH240" i="10"/>
  <c r="AI240" i="10"/>
  <c r="AH254" i="10"/>
  <c r="AI254" i="10"/>
  <c r="AH270" i="10"/>
  <c r="AI270" i="10"/>
  <c r="AH286" i="10"/>
  <c r="AI286" i="10"/>
  <c r="AI67" i="10"/>
  <c r="AH67" i="10"/>
  <c r="AI87" i="10"/>
  <c r="AH87" i="10"/>
  <c r="AI103" i="10"/>
  <c r="AH103" i="10"/>
  <c r="AI119" i="10"/>
  <c r="AH119" i="10"/>
  <c r="AI171" i="10"/>
  <c r="AH171" i="10"/>
  <c r="AI187" i="10"/>
  <c r="AH187" i="10"/>
  <c r="AI318" i="10"/>
  <c r="AH318" i="10"/>
  <c r="AI334" i="10"/>
  <c r="AH334" i="10"/>
  <c r="AI350" i="10"/>
  <c r="AH350" i="10"/>
  <c r="AH302" i="10"/>
  <c r="AI302" i="10"/>
  <c r="AI203" i="10"/>
  <c r="AH203" i="10"/>
  <c r="AI219" i="10"/>
  <c r="AH219" i="10"/>
  <c r="AI235" i="10"/>
  <c r="AH235" i="10"/>
  <c r="AH367" i="10"/>
  <c r="AI367" i="10"/>
  <c r="AI315" i="10"/>
  <c r="AH315" i="10"/>
  <c r="AI331" i="10"/>
  <c r="AH331" i="10"/>
  <c r="AI347" i="10"/>
  <c r="AH347" i="10"/>
  <c r="AI362" i="10"/>
  <c r="AH362" i="10"/>
  <c r="AH436" i="10"/>
  <c r="AI436" i="10"/>
  <c r="AH379" i="10"/>
  <c r="AI379" i="10"/>
  <c r="AH399" i="10"/>
  <c r="AI399" i="10"/>
  <c r="AH415" i="10"/>
  <c r="AI415" i="10"/>
  <c r="AI370" i="10"/>
  <c r="AH370" i="10"/>
  <c r="AH455" i="10"/>
  <c r="AI455" i="10"/>
  <c r="AI450" i="10"/>
  <c r="AH450" i="10"/>
  <c r="AI398" i="10"/>
  <c r="AH398" i="10"/>
  <c r="AI414" i="10"/>
  <c r="AH414" i="10"/>
  <c r="AI481" i="10"/>
  <c r="AH481" i="10"/>
  <c r="AH467" i="10"/>
  <c r="AI467" i="10"/>
  <c r="AI445" i="10"/>
  <c r="AH445" i="10"/>
  <c r="AI458" i="10"/>
  <c r="AH458" i="10"/>
  <c r="AI488" i="10"/>
  <c r="AH488" i="10"/>
  <c r="AI478" i="10"/>
  <c r="AH478" i="10"/>
  <c r="AH495" i="10"/>
  <c r="AI495" i="10"/>
  <c r="AI528" i="10"/>
  <c r="AH528" i="10"/>
  <c r="AH518" i="10"/>
  <c r="AI518" i="10"/>
  <c r="AI521" i="10"/>
  <c r="AH521" i="10"/>
  <c r="AI540" i="10"/>
  <c r="AH540" i="10"/>
  <c r="AH544" i="10"/>
  <c r="AI544" i="10"/>
  <c r="AI545" i="10"/>
  <c r="AH545" i="10"/>
  <c r="AI533" i="10"/>
  <c r="AH533" i="10"/>
  <c r="AI461" i="10"/>
  <c r="AH461" i="10"/>
  <c r="AI353" i="10"/>
  <c r="AH353" i="10"/>
  <c r="AH320" i="10"/>
  <c r="AI320" i="10"/>
  <c r="AH297" i="10"/>
  <c r="AI297" i="10"/>
  <c r="AH257" i="10"/>
  <c r="AI257" i="10"/>
  <c r="AI181" i="10"/>
  <c r="AH181" i="10"/>
  <c r="AI210" i="10"/>
  <c r="AH210" i="10"/>
  <c r="AI139" i="10"/>
  <c r="AH139" i="10"/>
  <c r="AH102" i="10"/>
  <c r="AI102" i="10"/>
  <c r="AI66" i="10"/>
  <c r="AH66" i="10"/>
  <c r="AH34" i="10"/>
  <c r="AI34" i="10"/>
  <c r="AH553" i="10"/>
  <c r="AI553" i="10"/>
  <c r="AH487" i="10"/>
  <c r="AI487" i="10"/>
  <c r="AH483" i="10"/>
  <c r="AI483" i="10"/>
  <c r="AH413" i="10"/>
  <c r="AI413" i="10"/>
  <c r="AH380" i="10"/>
  <c r="AI380" i="10"/>
  <c r="AH332" i="10"/>
  <c r="AI332" i="10"/>
  <c r="AH217" i="10"/>
  <c r="AI217" i="10"/>
  <c r="AI177" i="10"/>
  <c r="AH177" i="10"/>
  <c r="AH268" i="10"/>
  <c r="AI268" i="10"/>
  <c r="AI222" i="10"/>
  <c r="AH222" i="10"/>
  <c r="AI151" i="10"/>
  <c r="AH151" i="10"/>
  <c r="AI62" i="10"/>
  <c r="AH62" i="10"/>
  <c r="AI166" i="10"/>
  <c r="AH166" i="10"/>
  <c r="AH114" i="10"/>
  <c r="AI114" i="10"/>
  <c r="AI35" i="10"/>
  <c r="AH35" i="10"/>
  <c r="AH69" i="10"/>
  <c r="AI69" i="10"/>
  <c r="AI520" i="10"/>
  <c r="AH520" i="10"/>
  <c r="AH440" i="10"/>
  <c r="AI440" i="10"/>
  <c r="AI384" i="10"/>
  <c r="AH384" i="10"/>
  <c r="AI205" i="10"/>
  <c r="AH205" i="10"/>
  <c r="AH265" i="10"/>
  <c r="AI265" i="10"/>
  <c r="AI527" i="10"/>
  <c r="AH527" i="10"/>
  <c r="AI498" i="10"/>
  <c r="AH498" i="10"/>
  <c r="AI480" i="10"/>
  <c r="AH480" i="10"/>
  <c r="AI422" i="10"/>
  <c r="AH422" i="10"/>
  <c r="AI465" i="10"/>
  <c r="AH465" i="10"/>
  <c r="AH376" i="10"/>
  <c r="AI376" i="10"/>
  <c r="AI341" i="10"/>
  <c r="AH341" i="10"/>
  <c r="AI309" i="10"/>
  <c r="AH309" i="10"/>
  <c r="AH229" i="10"/>
  <c r="AI229" i="10"/>
  <c r="AI189" i="10"/>
  <c r="AH189" i="10"/>
  <c r="AI129" i="10"/>
  <c r="AH129" i="10"/>
  <c r="AI113" i="10"/>
  <c r="AH113" i="10"/>
  <c r="AI97" i="10"/>
  <c r="AH97" i="10"/>
  <c r="AI131" i="10"/>
  <c r="AH131" i="10"/>
  <c r="AH126" i="10"/>
  <c r="AI126" i="10"/>
  <c r="AH56" i="10"/>
  <c r="AI56" i="10"/>
  <c r="AI52" i="10"/>
  <c r="AH52" i="10"/>
  <c r="AH57" i="10"/>
  <c r="AI57" i="10"/>
  <c r="AI510" i="10"/>
  <c r="AH510" i="10"/>
  <c r="AH301" i="10"/>
  <c r="AI301" i="10"/>
  <c r="AI550" i="10"/>
  <c r="AH550" i="10"/>
  <c r="AI515" i="10"/>
  <c r="AH515" i="10"/>
  <c r="AH509" i="10"/>
  <c r="AI509" i="10"/>
  <c r="AI468" i="10"/>
  <c r="AH468" i="10"/>
  <c r="AI447" i="10"/>
  <c r="AH447" i="10"/>
  <c r="AI430" i="10"/>
  <c r="AH430" i="10"/>
  <c r="AH389" i="10"/>
  <c r="AI389" i="10"/>
  <c r="AH372" i="10"/>
  <c r="AI372" i="10"/>
  <c r="AH340" i="10"/>
  <c r="AI340" i="10"/>
  <c r="AH225" i="10"/>
  <c r="AI225" i="10"/>
  <c r="AI185" i="10"/>
  <c r="AH185" i="10"/>
  <c r="AH280" i="10"/>
  <c r="AI280" i="10"/>
  <c r="AH248" i="10"/>
  <c r="AI248" i="10"/>
  <c r="AI159" i="10"/>
  <c r="AH159" i="10"/>
  <c r="AI186" i="10"/>
  <c r="AH186" i="10"/>
  <c r="AH138" i="10"/>
  <c r="AI138" i="10"/>
  <c r="AH82" i="10"/>
  <c r="AI82" i="10"/>
  <c r="AH23" i="10"/>
  <c r="AI23" i="10"/>
  <c r="AH168" i="10"/>
  <c r="AI168" i="10"/>
  <c r="AI46" i="10"/>
  <c r="AH46" i="10"/>
  <c r="AI59" i="10"/>
  <c r="AH59" i="10"/>
  <c r="AI108" i="10"/>
  <c r="AH108" i="10"/>
  <c r="AI124" i="10"/>
  <c r="AH124" i="10"/>
  <c r="AI140" i="10"/>
  <c r="AH140" i="10"/>
  <c r="AI156" i="10"/>
  <c r="AH156" i="10"/>
  <c r="AI63" i="10"/>
  <c r="AH63" i="10"/>
  <c r="AH80" i="10"/>
  <c r="AI80" i="10"/>
  <c r="AH180" i="10"/>
  <c r="AI180" i="10"/>
  <c r="AI20" i="10"/>
  <c r="AH20" i="10"/>
  <c r="AI58" i="10"/>
  <c r="AH58" i="10"/>
  <c r="AH176" i="10"/>
  <c r="AI176" i="10"/>
  <c r="AI137" i="10"/>
  <c r="AH137" i="10"/>
  <c r="AI153" i="10"/>
  <c r="AH153" i="10"/>
  <c r="AI251" i="10"/>
  <c r="AH251" i="10"/>
  <c r="AI267" i="10"/>
  <c r="AH267" i="10"/>
  <c r="AI283" i="10"/>
  <c r="AH283" i="10"/>
  <c r="AH212" i="10"/>
  <c r="AI212" i="10"/>
  <c r="AH228" i="10"/>
  <c r="AI228" i="10"/>
  <c r="AH244" i="10"/>
  <c r="AI244" i="10"/>
  <c r="AH258" i="10"/>
  <c r="AI258" i="10"/>
  <c r="AH274" i="10"/>
  <c r="AI274" i="10"/>
  <c r="AH290" i="10"/>
  <c r="AI290" i="10"/>
  <c r="AI75" i="10"/>
  <c r="AH75" i="10"/>
  <c r="AI91" i="10"/>
  <c r="AH91" i="10"/>
  <c r="AI107" i="10"/>
  <c r="AH107" i="10"/>
  <c r="AI123" i="10"/>
  <c r="AH123" i="10"/>
  <c r="AI175" i="10"/>
  <c r="AH175" i="10"/>
  <c r="AI191" i="10"/>
  <c r="AH191" i="10"/>
  <c r="AI322" i="10"/>
  <c r="AH322" i="10"/>
  <c r="AI338" i="10"/>
  <c r="AH338" i="10"/>
  <c r="AI354" i="10"/>
  <c r="AH354" i="10"/>
  <c r="AI303" i="10"/>
  <c r="AH303" i="10"/>
  <c r="AI207" i="10"/>
  <c r="AH207" i="10"/>
  <c r="AI223" i="10"/>
  <c r="AH223" i="10"/>
  <c r="AI239" i="10"/>
  <c r="AH239" i="10"/>
  <c r="AI306" i="10"/>
  <c r="AH306" i="10"/>
  <c r="AI319" i="10"/>
  <c r="AH319" i="10"/>
  <c r="AI335" i="10"/>
  <c r="AH335" i="10"/>
  <c r="AI351" i="10"/>
  <c r="AH351" i="10"/>
  <c r="AI366" i="10"/>
  <c r="AH366" i="10"/>
  <c r="AI437" i="10"/>
  <c r="AH437" i="10"/>
  <c r="AH383" i="10"/>
  <c r="AI383" i="10"/>
  <c r="AH403" i="10"/>
  <c r="AI403" i="10"/>
  <c r="AH419" i="10"/>
  <c r="AI419" i="10"/>
  <c r="AI374" i="10"/>
  <c r="AH374" i="10"/>
  <c r="AI438" i="10"/>
  <c r="AH438" i="10"/>
  <c r="AI386" i="10"/>
  <c r="AH386" i="10"/>
  <c r="AI402" i="10"/>
  <c r="AH402" i="10"/>
  <c r="AI418" i="10"/>
  <c r="AH418" i="10"/>
  <c r="AI485" i="10"/>
  <c r="AH485" i="10"/>
  <c r="AI428" i="10"/>
  <c r="AH428" i="10"/>
  <c r="AI449" i="10"/>
  <c r="AH449" i="10"/>
  <c r="AI462" i="10"/>
  <c r="AH462" i="10"/>
  <c r="AI492" i="10"/>
  <c r="AH492" i="10"/>
  <c r="AI482" i="10"/>
  <c r="AH482" i="10"/>
  <c r="AI511" i="10"/>
  <c r="AH511" i="10"/>
  <c r="AH499" i="10"/>
  <c r="AI499" i="10"/>
  <c r="AI508" i="10"/>
  <c r="AH508" i="10"/>
  <c r="AI525" i="10"/>
  <c r="AH525" i="10"/>
  <c r="AI548" i="10"/>
  <c r="AH548" i="10"/>
  <c r="AI555" i="10"/>
  <c r="AH555" i="10"/>
  <c r="AI549" i="10"/>
  <c r="AH549" i="10"/>
  <c r="AI77" i="10"/>
  <c r="AH77" i="10"/>
  <c r="AI551" i="10"/>
  <c r="AH551" i="10"/>
  <c r="AH417" i="10"/>
  <c r="AI417" i="10"/>
  <c r="AI313" i="10"/>
  <c r="AH313" i="10"/>
  <c r="AH237" i="10"/>
  <c r="AI237" i="10"/>
  <c r="AH285" i="10"/>
  <c r="AI285" i="10"/>
  <c r="AH253" i="10"/>
  <c r="AI253" i="10"/>
  <c r="AI165" i="10"/>
  <c r="AH165" i="10"/>
  <c r="AI89" i="10"/>
  <c r="AH89" i="10"/>
  <c r="AH150" i="10"/>
  <c r="AI150" i="10"/>
  <c r="AH86" i="10"/>
  <c r="AI86" i="10"/>
  <c r="AH45" i="10"/>
  <c r="AI45" i="10"/>
  <c r="AH21" i="10"/>
  <c r="AI21" i="10"/>
  <c r="AI543" i="10"/>
  <c r="AH543" i="10"/>
  <c r="AI460" i="10"/>
  <c r="AH460" i="10"/>
  <c r="AH452" i="10"/>
  <c r="AI452" i="10"/>
  <c r="AH397" i="10"/>
  <c r="AI397" i="10"/>
  <c r="AH365" i="10"/>
  <c r="AI365" i="10"/>
  <c r="AH316" i="10"/>
  <c r="AI316" i="10"/>
  <c r="AI201" i="10"/>
  <c r="AH201" i="10"/>
  <c r="AH292" i="10"/>
  <c r="AI292" i="10"/>
  <c r="AH260" i="10"/>
  <c r="AI260" i="10"/>
  <c r="AI133" i="10"/>
  <c r="AH133" i="10"/>
  <c r="AI135" i="10"/>
  <c r="AH135" i="10"/>
  <c r="AI190" i="10"/>
  <c r="AH190" i="10"/>
  <c r="AH162" i="10"/>
  <c r="AI162" i="10"/>
  <c r="AH90" i="10"/>
  <c r="AI90" i="10"/>
  <c r="AH32" i="10"/>
  <c r="AI32" i="10"/>
  <c r="AH557" i="10"/>
  <c r="AI557" i="10"/>
  <c r="AH493" i="10"/>
  <c r="AI493" i="10"/>
  <c r="AI457" i="10"/>
  <c r="AH457" i="10"/>
  <c r="AH361" i="10"/>
  <c r="AI361" i="10"/>
  <c r="AH381" i="10"/>
  <c r="AI381" i="10"/>
  <c r="AH542" i="10"/>
  <c r="AI542" i="10"/>
  <c r="AI516" i="10"/>
  <c r="AH516" i="10"/>
  <c r="AI486" i="10"/>
  <c r="AH486" i="10"/>
  <c r="AH479" i="10"/>
  <c r="AI479" i="10"/>
  <c r="AH425" i="10"/>
  <c r="AI425" i="10"/>
  <c r="AI424" i="10"/>
  <c r="AH424" i="10"/>
  <c r="AH369" i="10"/>
  <c r="AI369" i="10"/>
  <c r="AI333" i="10"/>
  <c r="AH333" i="10"/>
  <c r="AH344" i="10"/>
  <c r="AI344" i="10"/>
  <c r="AH213" i="10"/>
  <c r="AI213" i="10"/>
  <c r="AI173" i="10"/>
  <c r="AH173" i="10"/>
  <c r="AI125" i="10"/>
  <c r="AH125" i="10"/>
  <c r="AI109" i="10"/>
  <c r="AH109" i="10"/>
  <c r="AI81" i="10"/>
  <c r="AH81" i="10"/>
  <c r="AH204" i="10"/>
  <c r="AI204" i="10"/>
  <c r="AH110" i="10"/>
  <c r="AI110" i="10"/>
  <c r="AH49" i="10"/>
  <c r="AI49" i="10"/>
  <c r="AI28" i="10"/>
  <c r="AH28" i="10"/>
  <c r="AH50" i="10"/>
  <c r="AI50" i="10"/>
  <c r="AI435" i="10"/>
  <c r="AH435" i="10"/>
  <c r="AH289" i="10"/>
  <c r="AI289" i="10"/>
  <c r="AH546" i="10"/>
  <c r="AI546" i="10"/>
  <c r="AI523" i="10"/>
  <c r="AH523" i="10"/>
  <c r="AH501" i="10"/>
  <c r="AI501" i="10"/>
  <c r="AI476" i="10"/>
  <c r="AH476" i="10"/>
  <c r="AI443" i="10"/>
  <c r="AH443" i="10"/>
  <c r="AI431" i="10"/>
  <c r="AH431" i="10"/>
  <c r="AI420" i="10"/>
  <c r="AH420" i="10"/>
  <c r="AI368" i="10"/>
  <c r="AH368" i="10"/>
  <c r="AH324" i="10"/>
  <c r="AI324" i="10"/>
  <c r="AH209" i="10"/>
  <c r="AI209" i="10"/>
  <c r="AI169" i="10"/>
  <c r="AH169" i="10"/>
  <c r="AH272" i="10"/>
  <c r="AI272" i="10"/>
  <c r="AI230" i="10"/>
  <c r="AH230" i="10"/>
  <c r="AI143" i="10"/>
  <c r="AH143" i="10"/>
  <c r="AI178" i="10"/>
  <c r="AH178" i="10"/>
  <c r="AH122" i="10"/>
  <c r="AI122" i="10"/>
  <c r="AI25" i="10"/>
  <c r="AH25" i="10"/>
  <c r="AI31" i="10"/>
  <c r="AH31" i="10"/>
  <c r="AH41" i="10"/>
  <c r="AI41" i="10"/>
  <c r="AH192" i="10"/>
  <c r="AI192" i="10"/>
  <c r="AI51" i="10"/>
  <c r="AH51" i="10"/>
  <c r="AH61" i="10"/>
  <c r="AI61" i="10"/>
  <c r="AI112" i="10"/>
  <c r="AH112" i="10"/>
  <c r="AI128" i="10"/>
  <c r="AH128" i="10"/>
  <c r="AI144" i="10"/>
  <c r="AH144" i="10"/>
  <c r="AI160" i="10"/>
  <c r="AH160" i="10"/>
  <c r="AI65" i="10"/>
  <c r="AH65" i="10"/>
  <c r="AH92" i="10"/>
  <c r="AI92" i="10"/>
  <c r="AH184" i="10"/>
  <c r="AI184" i="10"/>
  <c r="AI29" i="10"/>
  <c r="AH29" i="10"/>
  <c r="AI60" i="10"/>
  <c r="AH60" i="10"/>
  <c r="AI141" i="10"/>
  <c r="AH141" i="10"/>
  <c r="AI157" i="10"/>
  <c r="AH157" i="10"/>
  <c r="AI255" i="10"/>
  <c r="AH255" i="10"/>
  <c r="AI271" i="10"/>
  <c r="AH271" i="10"/>
  <c r="AI287" i="10"/>
  <c r="AH287" i="10"/>
  <c r="AH216" i="10"/>
  <c r="AI216" i="10"/>
  <c r="AH232" i="10"/>
  <c r="AI232" i="10"/>
  <c r="AH246" i="10"/>
  <c r="AI246" i="10"/>
  <c r="AH262" i="10"/>
  <c r="AI262" i="10"/>
  <c r="AH278" i="10"/>
  <c r="AI278" i="10"/>
  <c r="AH294" i="10"/>
  <c r="AI294" i="10"/>
  <c r="AI79" i="10"/>
  <c r="AH79" i="10"/>
  <c r="AI95" i="10"/>
  <c r="AH95" i="10"/>
  <c r="AI111" i="10"/>
  <c r="AH111" i="10"/>
  <c r="AI127" i="10"/>
  <c r="AH127" i="10"/>
  <c r="AI179" i="10"/>
  <c r="AH179" i="10"/>
  <c r="AI310" i="10"/>
  <c r="AH310" i="10"/>
  <c r="AI326" i="10"/>
  <c r="AH326" i="10"/>
  <c r="AI342" i="10"/>
  <c r="AH342" i="10"/>
  <c r="AI358" i="10"/>
  <c r="AH358" i="10"/>
  <c r="AI195" i="10"/>
  <c r="AH195" i="10"/>
  <c r="AI211" i="10"/>
  <c r="AH211" i="10"/>
  <c r="AI227" i="10"/>
  <c r="AH227" i="10"/>
  <c r="AI243" i="10"/>
  <c r="AH243" i="10"/>
  <c r="AI307" i="10"/>
  <c r="AH307" i="10"/>
  <c r="AI323" i="10"/>
  <c r="AH323" i="10"/>
  <c r="AI339" i="10"/>
  <c r="AH339" i="10"/>
  <c r="AI355" i="10"/>
  <c r="AH355" i="10"/>
  <c r="AH432" i="10"/>
  <c r="AI432" i="10"/>
  <c r="AH371" i="10"/>
  <c r="AI371" i="10"/>
  <c r="AH391" i="10"/>
  <c r="AI391" i="10"/>
  <c r="AH407" i="10"/>
  <c r="AI407" i="10"/>
  <c r="AH423" i="10"/>
  <c r="AI423" i="10"/>
  <c r="AI378" i="10"/>
  <c r="AH378" i="10"/>
  <c r="AI442" i="10"/>
  <c r="AH442" i="10"/>
  <c r="AI390" i="10"/>
  <c r="AH390" i="10"/>
  <c r="AI406" i="10"/>
  <c r="AH406" i="10"/>
  <c r="AI473" i="10"/>
  <c r="AH473" i="10"/>
  <c r="AH459" i="10"/>
  <c r="AI459" i="10"/>
  <c r="AH434" i="10"/>
  <c r="AI434" i="10"/>
  <c r="AI453" i="10"/>
  <c r="AH453" i="10"/>
  <c r="AI466" i="10"/>
  <c r="AH466" i="10"/>
  <c r="AI496" i="10"/>
  <c r="AH496" i="10"/>
  <c r="AH489" i="10"/>
  <c r="AI489" i="10"/>
  <c r="AI504" i="10"/>
  <c r="AH504" i="10"/>
  <c r="AH503" i="10"/>
  <c r="AI503" i="10"/>
  <c r="AI512" i="10"/>
  <c r="AH512" i="10"/>
  <c r="AI529" i="10"/>
  <c r="AH529" i="10"/>
  <c r="AI531" i="10"/>
  <c r="AH531" i="10"/>
  <c r="AI556" i="10"/>
  <c r="AH556" i="10"/>
  <c r="AI552" i="10"/>
  <c r="AH552" i="10"/>
  <c r="AH233" i="10"/>
  <c r="AI233" i="10"/>
  <c r="AI472" i="10"/>
  <c r="AH472" i="10"/>
  <c r="AH401" i="10"/>
  <c r="AI401" i="10"/>
  <c r="AH352" i="10"/>
  <c r="AI352" i="10"/>
  <c r="AH221" i="10"/>
  <c r="AI221" i="10"/>
  <c r="AH277" i="10"/>
  <c r="AI277" i="10"/>
  <c r="AH249" i="10"/>
  <c r="AI249" i="10"/>
  <c r="AI242" i="10"/>
  <c r="AH242" i="10"/>
  <c r="AI73" i="10"/>
  <c r="AH73" i="10"/>
  <c r="AH134" i="10"/>
  <c r="AI134" i="10"/>
  <c r="AH70" i="10"/>
  <c r="AI70" i="10"/>
  <c r="AI38" i="10"/>
  <c r="AH38" i="10"/>
  <c r="AH554" i="10"/>
  <c r="AI554" i="10"/>
  <c r="AH526" i="10"/>
  <c r="AI526" i="10"/>
  <c r="AI484" i="10"/>
  <c r="AH484" i="10"/>
  <c r="AI469" i="10"/>
  <c r="AH469" i="10"/>
  <c r="AI412" i="10"/>
  <c r="AH412" i="10"/>
  <c r="AI364" i="10"/>
  <c r="AH364" i="10"/>
  <c r="AH377" i="10"/>
  <c r="AI377" i="10"/>
  <c r="AH304" i="10"/>
  <c r="AI304" i="10"/>
  <c r="AH284" i="10"/>
  <c r="AI284" i="10"/>
  <c r="AH252" i="10"/>
  <c r="AI252" i="10"/>
  <c r="AI93" i="10"/>
  <c r="AH93" i="10"/>
  <c r="AH71" i="10"/>
  <c r="AI71" i="10"/>
  <c r="AI182" i="10"/>
  <c r="AH182" i="10"/>
  <c r="AH146" i="10"/>
  <c r="AI146" i="10"/>
  <c r="AH74" i="10"/>
  <c r="AI74" i="10"/>
  <c r="AH27" i="10"/>
  <c r="AI27" i="10"/>
  <c r="AI547" i="10"/>
  <c r="AH547" i="10"/>
  <c r="AI464" i="10"/>
  <c r="AH464" i="10"/>
  <c r="AI416" i="10"/>
  <c r="AH416" i="10"/>
  <c r="AI345" i="10"/>
  <c r="AH345" i="10"/>
  <c r="AH293" i="10"/>
  <c r="AI293" i="10"/>
  <c r="AI539" i="10"/>
  <c r="AH539" i="10"/>
  <c r="AH513" i="10"/>
  <c r="AI513" i="10"/>
  <c r="AH491" i="10"/>
  <c r="AI491" i="10"/>
  <c r="AH448" i="10"/>
  <c r="AI448" i="10"/>
  <c r="AH409" i="10"/>
  <c r="AI409" i="10"/>
  <c r="AI408" i="10"/>
  <c r="AH408" i="10"/>
  <c r="AI357" i="10"/>
  <c r="AH357" i="10"/>
  <c r="AI325" i="10"/>
  <c r="AH325" i="10"/>
  <c r="AH328" i="10"/>
  <c r="AI328" i="10"/>
  <c r="AI197" i="10"/>
  <c r="AH197" i="10"/>
  <c r="AI234" i="10"/>
  <c r="AH234" i="10"/>
  <c r="AI121" i="10"/>
  <c r="AH121" i="10"/>
  <c r="AI105" i="10"/>
  <c r="AH105" i="10"/>
  <c r="AI163" i="10"/>
  <c r="AH163" i="10"/>
  <c r="AH158" i="10"/>
  <c r="AI158" i="10"/>
  <c r="AH94" i="10"/>
  <c r="AI94" i="10"/>
  <c r="AH47" i="10"/>
  <c r="AI47" i="10"/>
  <c r="AH37" i="10"/>
  <c r="AI37" i="10"/>
  <c r="AH534" i="10"/>
  <c r="AI534" i="10"/>
  <c r="AI337" i="10"/>
  <c r="AH337" i="10"/>
  <c r="AH273" i="10"/>
  <c r="AI273" i="10"/>
  <c r="AH532" i="10"/>
  <c r="AI532" i="10"/>
  <c r="AH522" i="10"/>
  <c r="AI522" i="10"/>
  <c r="AH505" i="10"/>
  <c r="AI505" i="10"/>
  <c r="AH475" i="10"/>
  <c r="AI475" i="10"/>
  <c r="AI439" i="10"/>
  <c r="AH439" i="10"/>
  <c r="AH421" i="10"/>
  <c r="AI421" i="10"/>
  <c r="AI404" i="10"/>
  <c r="AH404" i="10"/>
  <c r="AI360" i="10"/>
  <c r="AH360" i="10"/>
  <c r="AH308" i="10"/>
  <c r="AI308" i="10"/>
  <c r="AH300" i="10"/>
  <c r="AI300" i="10"/>
  <c r="AH296" i="10"/>
  <c r="AI296" i="10"/>
  <c r="AH264" i="10"/>
  <c r="AI264" i="10"/>
  <c r="AI214" i="10"/>
  <c r="AH214" i="10"/>
  <c r="AH196" i="10"/>
  <c r="AI196" i="10"/>
  <c r="AI170" i="10"/>
  <c r="AH170" i="10"/>
  <c r="AH106" i="10"/>
  <c r="AI106" i="10"/>
  <c r="AH54" i="10"/>
  <c r="AI54" i="10"/>
  <c r="AI33" i="10"/>
  <c r="AH33" i="10"/>
  <c r="AH84" i="10"/>
  <c r="AI84" i="10"/>
  <c r="AI198" i="10"/>
  <c r="AH198" i="10"/>
  <c r="AI53" i="10"/>
  <c r="AH53" i="10"/>
  <c r="AI100" i="10"/>
  <c r="AH100" i="10"/>
  <c r="AI116" i="10"/>
  <c r="AH116" i="10"/>
  <c r="AI132" i="10"/>
  <c r="AH132" i="10"/>
  <c r="AI148" i="10"/>
  <c r="AH148" i="10"/>
  <c r="AI43" i="10"/>
  <c r="AH43" i="10"/>
  <c r="AH72" i="10"/>
  <c r="AI72" i="10"/>
  <c r="AH96" i="10"/>
  <c r="AI96" i="10"/>
  <c r="AH188" i="10"/>
  <c r="AI188" i="10"/>
  <c r="AI36" i="10"/>
  <c r="AH36" i="10"/>
  <c r="AH68" i="10"/>
  <c r="AI68" i="10"/>
  <c r="AI24" i="10"/>
  <c r="AH24" i="10"/>
  <c r="AI145" i="10"/>
  <c r="AH145" i="10"/>
  <c r="AI161" i="10"/>
  <c r="AH161" i="10"/>
  <c r="AI259" i="10"/>
  <c r="AH259" i="10"/>
  <c r="AI275" i="10"/>
  <c r="AH275" i="10"/>
  <c r="AI291" i="10"/>
  <c r="AH291" i="10"/>
  <c r="AH220" i="10"/>
  <c r="AI220" i="10"/>
  <c r="AH236" i="10"/>
  <c r="AI236" i="10"/>
  <c r="AH250" i="10"/>
  <c r="AI250" i="10"/>
  <c r="AH266" i="10"/>
  <c r="AI266" i="10"/>
  <c r="AH282" i="10"/>
  <c r="AI282" i="10"/>
  <c r="AH298" i="10"/>
  <c r="AI298" i="10"/>
  <c r="AI83" i="10"/>
  <c r="AH83" i="10"/>
  <c r="AI99" i="10"/>
  <c r="AH99" i="10"/>
  <c r="AI115" i="10"/>
  <c r="AH115" i="10"/>
  <c r="AI167" i="10"/>
  <c r="AH167" i="10"/>
  <c r="AI183" i="10"/>
  <c r="AH183" i="10"/>
  <c r="AI314" i="10"/>
  <c r="AH314" i="10"/>
  <c r="AI330" i="10"/>
  <c r="AH330" i="10"/>
  <c r="AI346" i="10"/>
  <c r="AH346" i="10"/>
  <c r="AI299" i="10"/>
  <c r="AH299" i="10"/>
  <c r="AI199" i="10"/>
  <c r="AH199" i="10"/>
  <c r="AI215" i="10"/>
  <c r="AH215" i="10"/>
  <c r="AI231" i="10"/>
  <c r="AH231" i="10"/>
  <c r="AH363" i="10"/>
  <c r="AI363" i="10"/>
  <c r="AI311" i="10"/>
  <c r="AH311" i="10"/>
  <c r="AI327" i="10"/>
  <c r="AH327" i="10"/>
  <c r="AI343" i="10"/>
  <c r="AH343" i="10"/>
  <c r="AI359" i="10"/>
  <c r="AH359" i="10"/>
  <c r="AI433" i="10"/>
  <c r="AH433" i="10"/>
  <c r="AH375" i="10"/>
  <c r="AI375" i="10"/>
  <c r="AH395" i="10"/>
  <c r="AI395" i="10"/>
  <c r="AH411" i="10"/>
  <c r="AI411" i="10"/>
  <c r="AH427" i="10"/>
  <c r="AI427" i="10"/>
  <c r="AI382" i="10"/>
  <c r="AH382" i="10"/>
  <c r="AI446" i="10"/>
  <c r="AH446" i="10"/>
  <c r="AI394" i="10"/>
  <c r="AH394" i="10"/>
  <c r="AI410" i="10"/>
  <c r="AH410" i="10"/>
  <c r="AI477" i="10"/>
  <c r="AH477" i="10"/>
  <c r="AH463" i="10"/>
  <c r="AI463" i="10"/>
  <c r="AI441" i="10"/>
  <c r="AH441" i="10"/>
  <c r="AI454" i="10"/>
  <c r="AH454" i="10"/>
  <c r="AI470" i="10"/>
  <c r="AH470" i="10"/>
  <c r="AI474" i="10"/>
  <c r="AH474" i="10"/>
  <c r="AI500" i="10"/>
  <c r="AH500" i="10"/>
  <c r="AI524" i="10"/>
  <c r="AH524" i="10"/>
  <c r="AI507" i="10"/>
  <c r="AH507" i="10"/>
  <c r="AI517" i="10"/>
  <c r="AH517" i="10"/>
  <c r="AI536" i="10"/>
  <c r="AH536" i="10"/>
  <c r="AI541" i="10"/>
  <c r="AH541" i="10"/>
  <c r="AI560" i="10"/>
  <c r="AH560" i="10"/>
  <c r="AI559" i="10"/>
  <c r="AH559" i="10"/>
  <c r="T560" i="10"/>
  <c r="T556" i="10"/>
  <c r="T552" i="10"/>
  <c r="T557" i="10"/>
  <c r="T547" i="10"/>
  <c r="T553" i="10"/>
  <c r="T549" i="10"/>
  <c r="T545" i="10"/>
  <c r="T537" i="10"/>
  <c r="T533" i="10"/>
  <c r="T527" i="10"/>
  <c r="T541" i="10"/>
  <c r="T535" i="10"/>
  <c r="T531" i="10"/>
  <c r="T529" i="10"/>
  <c r="T525" i="10"/>
  <c r="T521" i="10"/>
  <c r="T517" i="10"/>
  <c r="T512" i="10"/>
  <c r="T508" i="10"/>
  <c r="T504" i="10"/>
  <c r="T500" i="10"/>
  <c r="T496" i="10"/>
  <c r="T492" i="10"/>
  <c r="T488" i="10"/>
  <c r="T523" i="10"/>
  <c r="T498" i="10"/>
  <c r="T493" i="10"/>
  <c r="T450" i="10"/>
  <c r="T446" i="10"/>
  <c r="T442" i="10"/>
  <c r="T486" i="10"/>
  <c r="T482" i="10"/>
  <c r="T478" i="10"/>
  <c r="T474" i="10"/>
  <c r="T453" i="10"/>
  <c r="T449" i="10"/>
  <c r="T445" i="10"/>
  <c r="T441" i="10"/>
  <c r="T466" i="10"/>
  <c r="T462" i="10"/>
  <c r="T458" i="10"/>
  <c r="T454" i="10"/>
  <c r="T438" i="10"/>
  <c r="T428" i="10"/>
  <c r="T424" i="10"/>
  <c r="T420" i="10"/>
  <c r="T416" i="10"/>
  <c r="T412" i="10"/>
  <c r="T408" i="10"/>
  <c r="T404" i="10"/>
  <c r="T400" i="10"/>
  <c r="T396" i="10"/>
  <c r="T392" i="10"/>
  <c r="T388" i="10"/>
  <c r="T382" i="10"/>
  <c r="T378" i="10"/>
  <c r="T374" i="10"/>
  <c r="T370" i="10"/>
  <c r="T470" i="10"/>
  <c r="T386" i="10"/>
  <c r="T451" i="10"/>
  <c r="T447" i="10"/>
  <c r="T443" i="10"/>
  <c r="T439" i="10"/>
  <c r="T430" i="10"/>
  <c r="T426" i="10"/>
  <c r="T422" i="10"/>
  <c r="T418" i="10"/>
  <c r="T414" i="10"/>
  <c r="T410" i="10"/>
  <c r="T406" i="10"/>
  <c r="T402" i="10"/>
  <c r="T398" i="10"/>
  <c r="T394" i="10"/>
  <c r="T390" i="10"/>
  <c r="T383" i="10"/>
  <c r="T379" i="10"/>
  <c r="T375" i="10"/>
  <c r="T371" i="10"/>
  <c r="T366" i="10"/>
  <c r="T362" i="10"/>
  <c r="T307" i="10"/>
  <c r="T437" i="10"/>
  <c r="T433" i="10"/>
  <c r="T376" i="10"/>
  <c r="T368" i="10"/>
  <c r="T364" i="10"/>
  <c r="T360" i="10"/>
  <c r="T384" i="10"/>
  <c r="T359" i="10"/>
  <c r="T355" i="10"/>
  <c r="T351" i="10"/>
  <c r="T347" i="10"/>
  <c r="T343" i="10"/>
  <c r="T339" i="10"/>
  <c r="T335" i="10"/>
  <c r="T331" i="10"/>
  <c r="T327" i="10"/>
  <c r="T323" i="10"/>
  <c r="T319" i="10"/>
  <c r="T315" i="10"/>
  <c r="T311" i="10"/>
  <c r="T303" i="10"/>
  <c r="T299" i="10"/>
  <c r="T380" i="10"/>
  <c r="T372" i="10"/>
  <c r="T243" i="10"/>
  <c r="T239" i="10"/>
  <c r="T235" i="10"/>
  <c r="T231" i="10"/>
  <c r="T227" i="10"/>
  <c r="T223" i="10"/>
  <c r="T219" i="10"/>
  <c r="T215" i="10"/>
  <c r="T211" i="10"/>
  <c r="T163" i="10"/>
  <c r="T159" i="10"/>
  <c r="T155" i="10"/>
  <c r="T151" i="10"/>
  <c r="T147" i="10"/>
  <c r="T143" i="10"/>
  <c r="T139" i="10"/>
  <c r="T135" i="10"/>
  <c r="T131" i="10"/>
  <c r="T127" i="10"/>
  <c r="T123" i="10"/>
  <c r="T119" i="10"/>
  <c r="T115" i="10"/>
  <c r="T111" i="10"/>
  <c r="T107" i="10"/>
  <c r="T103" i="10"/>
  <c r="T356" i="10"/>
  <c r="T352" i="10"/>
  <c r="T348" i="10"/>
  <c r="T344" i="10"/>
  <c r="T340" i="10"/>
  <c r="T336" i="10"/>
  <c r="T332" i="10"/>
  <c r="T328" i="10"/>
  <c r="T324" i="10"/>
  <c r="T320" i="10"/>
  <c r="T316" i="10"/>
  <c r="T312" i="10"/>
  <c r="T308" i="10"/>
  <c r="T297" i="10"/>
  <c r="T295" i="10"/>
  <c r="T293" i="10"/>
  <c r="T291" i="10"/>
  <c r="T289" i="10"/>
  <c r="T287" i="10"/>
  <c r="T285" i="10"/>
  <c r="T283" i="10"/>
  <c r="T281" i="10"/>
  <c r="T279" i="10"/>
  <c r="T277" i="10"/>
  <c r="T275" i="10"/>
  <c r="T273" i="10"/>
  <c r="T271" i="10"/>
  <c r="T269" i="10"/>
  <c r="T267" i="10"/>
  <c r="T265" i="10"/>
  <c r="T263" i="10"/>
  <c r="T261" i="10"/>
  <c r="T259" i="10"/>
  <c r="T257" i="10"/>
  <c r="T255" i="10"/>
  <c r="T253" i="10"/>
  <c r="T251" i="10"/>
  <c r="T249" i="10"/>
  <c r="T247" i="10"/>
  <c r="T245" i="10"/>
  <c r="T244" i="10"/>
  <c r="T240" i="10"/>
  <c r="T236" i="10"/>
  <c r="T232" i="10"/>
  <c r="T228" i="10"/>
  <c r="T224" i="10"/>
  <c r="T220" i="10"/>
  <c r="T216" i="10"/>
  <c r="T212" i="10"/>
  <c r="T191" i="10"/>
  <c r="T187" i="10"/>
  <c r="T183" i="10"/>
  <c r="T179" i="10"/>
  <c r="T175" i="10"/>
  <c r="T171" i="10"/>
  <c r="T167" i="10"/>
  <c r="T301" i="10"/>
  <c r="T161" i="10"/>
  <c r="T157" i="10"/>
  <c r="T153" i="10"/>
  <c r="T149" i="10"/>
  <c r="T145" i="10"/>
  <c r="T141" i="10"/>
  <c r="T137" i="10"/>
  <c r="T133" i="10"/>
  <c r="T129" i="10"/>
  <c r="T125" i="10"/>
  <c r="T121" i="10"/>
  <c r="T117" i="10"/>
  <c r="T113" i="10"/>
  <c r="T109" i="10"/>
  <c r="T105" i="10"/>
  <c r="T101" i="10"/>
  <c r="T97" i="10"/>
  <c r="T93" i="10"/>
  <c r="T89" i="10"/>
  <c r="T85" i="10"/>
  <c r="T81" i="10"/>
  <c r="T77" i="10"/>
  <c r="T73" i="10"/>
  <c r="B49" i="10"/>
  <c r="T199" i="10"/>
  <c r="T51" i="10"/>
  <c r="T203" i="10"/>
  <c r="T195" i="10"/>
  <c r="T65" i="10"/>
  <c r="T63" i="10"/>
  <c r="T60" i="10"/>
  <c r="O10" i="10"/>
  <c r="T59" i="10"/>
  <c r="T53" i="10"/>
  <c r="T99" i="10"/>
  <c r="T95" i="10"/>
  <c r="T91" i="10"/>
  <c r="T87" i="10"/>
  <c r="T83" i="10"/>
  <c r="T79" i="10"/>
  <c r="T75" i="10"/>
  <c r="T67" i="10"/>
  <c r="T207" i="10"/>
  <c r="T55" i="10"/>
  <c r="T46" i="10"/>
  <c r="T44" i="10"/>
  <c r="T36" i="10"/>
  <c r="T29" i="10"/>
  <c r="T26" i="10"/>
  <c r="T24" i="10"/>
  <c r="T20" i="10"/>
  <c r="T32" i="10"/>
  <c r="T37" i="10"/>
  <c r="T78" i="10"/>
  <c r="T94" i="10"/>
  <c r="T52" i="10"/>
  <c r="T110" i="10"/>
  <c r="T126" i="10"/>
  <c r="T142" i="10"/>
  <c r="T158" i="10"/>
  <c r="T204" i="10"/>
  <c r="T64" i="10"/>
  <c r="T23" i="10"/>
  <c r="T41" i="10"/>
  <c r="T61" i="10"/>
  <c r="T72" i="10"/>
  <c r="T88" i="10"/>
  <c r="T218" i="10"/>
  <c r="T234" i="10"/>
  <c r="T300" i="10"/>
  <c r="T172" i="10"/>
  <c r="T188" i="10"/>
  <c r="T202" i="10"/>
  <c r="T144" i="10"/>
  <c r="T160" i="10"/>
  <c r="T177" i="10"/>
  <c r="T193" i="10"/>
  <c r="T201" i="10"/>
  <c r="T217" i="10"/>
  <c r="T233" i="10"/>
  <c r="T246" i="10"/>
  <c r="T262" i="10"/>
  <c r="T278" i="10"/>
  <c r="T294" i="10"/>
  <c r="T309" i="10"/>
  <c r="T317" i="10"/>
  <c r="T325" i="10"/>
  <c r="T333" i="10"/>
  <c r="T341" i="10"/>
  <c r="T349" i="10"/>
  <c r="T357" i="10"/>
  <c r="T361" i="10"/>
  <c r="T310" i="10"/>
  <c r="T318" i="10"/>
  <c r="T326" i="10"/>
  <c r="T334" i="10"/>
  <c r="T342" i="10"/>
  <c r="T350" i="10"/>
  <c r="T358" i="10"/>
  <c r="T397" i="10"/>
  <c r="T413" i="10"/>
  <c r="T429" i="10"/>
  <c r="T461" i="10"/>
  <c r="T391" i="10"/>
  <c r="T407" i="10"/>
  <c r="T423" i="10"/>
  <c r="T457" i="10"/>
  <c r="T448" i="10"/>
  <c r="T432" i="10"/>
  <c r="T479" i="10"/>
  <c r="T502" i="10"/>
  <c r="T467" i="10"/>
  <c r="T460" i="10"/>
  <c r="T487" i="10"/>
  <c r="T485" i="10"/>
  <c r="T499" i="10"/>
  <c r="T506" i="10"/>
  <c r="T513" i="10"/>
  <c r="T520" i="10"/>
  <c r="T501" i="10"/>
  <c r="T510" i="10"/>
  <c r="T514" i="10"/>
  <c r="T543" i="10"/>
  <c r="T544" i="10"/>
  <c r="T548" i="10"/>
  <c r="T555" i="10"/>
  <c r="T148" i="10"/>
  <c r="T189" i="10"/>
  <c r="T213" i="10"/>
  <c r="T305" i="10"/>
  <c r="T266" i="10"/>
  <c r="T298" i="10"/>
  <c r="T363" i="10"/>
  <c r="T434" i="10"/>
  <c r="T456" i="10"/>
  <c r="T538" i="10"/>
  <c r="T546" i="10"/>
  <c r="T27" i="10"/>
  <c r="T34" i="10"/>
  <c r="T47" i="10"/>
  <c r="T70" i="10"/>
  <c r="T82" i="10"/>
  <c r="T98" i="10"/>
  <c r="T25" i="10"/>
  <c r="T114" i="10"/>
  <c r="T130" i="10"/>
  <c r="T146" i="10"/>
  <c r="T162" i="10"/>
  <c r="T170" i="10"/>
  <c r="T178" i="10"/>
  <c r="T186" i="10"/>
  <c r="T194" i="10"/>
  <c r="T208" i="10"/>
  <c r="T19" i="10"/>
  <c r="T43" i="10"/>
  <c r="T48" i="10"/>
  <c r="T58" i="10"/>
  <c r="T68" i="10"/>
  <c r="T76" i="10"/>
  <c r="T92" i="10"/>
  <c r="T222" i="10"/>
  <c r="T238" i="10"/>
  <c r="T252" i="10"/>
  <c r="T260" i="10"/>
  <c r="T268" i="10"/>
  <c r="T276" i="10"/>
  <c r="T284" i="10"/>
  <c r="T292" i="10"/>
  <c r="T168" i="10"/>
  <c r="T184" i="10"/>
  <c r="T104" i="10"/>
  <c r="T112" i="10"/>
  <c r="T120" i="10"/>
  <c r="T128" i="10"/>
  <c r="T140" i="10"/>
  <c r="T156" i="10"/>
  <c r="T165" i="10"/>
  <c r="T181" i="10"/>
  <c r="T304" i="10"/>
  <c r="T205" i="10"/>
  <c r="T221" i="10"/>
  <c r="T237" i="10"/>
  <c r="T377" i="10"/>
  <c r="T258" i="10"/>
  <c r="T274" i="10"/>
  <c r="T290" i="10"/>
  <c r="T306" i="10"/>
  <c r="T385" i="10"/>
  <c r="T401" i="10"/>
  <c r="T417" i="10"/>
  <c r="T471" i="10"/>
  <c r="T395" i="10"/>
  <c r="T411" i="10"/>
  <c r="T427" i="10"/>
  <c r="T431" i="10"/>
  <c r="T452" i="10"/>
  <c r="T483" i="10"/>
  <c r="T463" i="10"/>
  <c r="T464" i="10"/>
  <c r="T472" i="10"/>
  <c r="T476" i="10"/>
  <c r="T480" i="10"/>
  <c r="T484" i="10"/>
  <c r="T481" i="10"/>
  <c r="T489" i="10"/>
  <c r="T497" i="10"/>
  <c r="T526" i="10"/>
  <c r="T511" i="10"/>
  <c r="T528" i="10"/>
  <c r="T542" i="10"/>
  <c r="T550" i="10"/>
  <c r="T540" i="10"/>
  <c r="T558" i="10"/>
  <c r="T554" i="10"/>
  <c r="T176" i="10"/>
  <c r="T173" i="10"/>
  <c r="T250" i="10"/>
  <c r="T282" i="10"/>
  <c r="T365" i="10"/>
  <c r="T469" i="10"/>
  <c r="T444" i="10"/>
  <c r="T475" i="10"/>
  <c r="T490" i="10"/>
  <c r="T473" i="10"/>
  <c r="T522" i="10"/>
  <c r="T518" i="10"/>
  <c r="T519" i="10"/>
  <c r="T551" i="10"/>
  <c r="T21" i="10"/>
  <c r="T86" i="10"/>
  <c r="T62" i="10"/>
  <c r="T200" i="10"/>
  <c r="T38" i="10"/>
  <c r="T45" i="10"/>
  <c r="T50" i="10"/>
  <c r="T54" i="10"/>
  <c r="T57" i="10"/>
  <c r="T71" i="10"/>
  <c r="T102" i="10"/>
  <c r="T118" i="10"/>
  <c r="T134" i="10"/>
  <c r="T150" i="10"/>
  <c r="T28" i="10"/>
  <c r="T35" i="10"/>
  <c r="T31" i="10"/>
  <c r="T66" i="10"/>
  <c r="T80" i="10"/>
  <c r="T96" i="10"/>
  <c r="T210" i="10"/>
  <c r="T226" i="10"/>
  <c r="T242" i="10"/>
  <c r="T164" i="10"/>
  <c r="T180" i="10"/>
  <c r="T198" i="10"/>
  <c r="T206" i="10"/>
  <c r="T136" i="10"/>
  <c r="T152" i="10"/>
  <c r="T169" i="10"/>
  <c r="T185" i="10"/>
  <c r="T381" i="10"/>
  <c r="T387" i="10"/>
  <c r="T209" i="10"/>
  <c r="T225" i="10"/>
  <c r="T241" i="10"/>
  <c r="T254" i="10"/>
  <c r="T270" i="10"/>
  <c r="T286" i="10"/>
  <c r="T302" i="10"/>
  <c r="T313" i="10"/>
  <c r="T321" i="10"/>
  <c r="T329" i="10"/>
  <c r="T337" i="10"/>
  <c r="T345" i="10"/>
  <c r="T353" i="10"/>
  <c r="T369" i="10"/>
  <c r="T435" i="10"/>
  <c r="T465" i="10"/>
  <c r="T314" i="10"/>
  <c r="T322" i="10"/>
  <c r="T330" i="10"/>
  <c r="T338" i="10"/>
  <c r="T346" i="10"/>
  <c r="T354" i="10"/>
  <c r="T367" i="10"/>
  <c r="T389" i="10"/>
  <c r="T405" i="10"/>
  <c r="T421" i="10"/>
  <c r="T399" i="10"/>
  <c r="T415" i="10"/>
  <c r="T440" i="10"/>
  <c r="T459" i="10"/>
  <c r="T468" i="10"/>
  <c r="T494" i="10"/>
  <c r="T477" i="10"/>
  <c r="T495" i="10"/>
  <c r="T503" i="10"/>
  <c r="T516" i="10"/>
  <c r="T530" i="10"/>
  <c r="T534" i="10"/>
  <c r="T507" i="10"/>
  <c r="T515" i="10"/>
  <c r="T532" i="10"/>
  <c r="T524" i="10"/>
  <c r="T536" i="10"/>
  <c r="T559" i="10"/>
  <c r="T40" i="10"/>
  <c r="T30" i="10"/>
  <c r="T42" i="10"/>
  <c r="T49" i="10"/>
  <c r="T56" i="10"/>
  <c r="T74" i="10"/>
  <c r="T90" i="10"/>
  <c r="T106" i="10"/>
  <c r="T122" i="10"/>
  <c r="T138" i="10"/>
  <c r="T154" i="10"/>
  <c r="T166" i="10"/>
  <c r="T174" i="10"/>
  <c r="T182" i="10"/>
  <c r="T190" i="10"/>
  <c r="T196" i="10"/>
  <c r="T69" i="10"/>
  <c r="T22" i="10"/>
  <c r="T33" i="10"/>
  <c r="T39" i="10"/>
  <c r="T84" i="10"/>
  <c r="T214" i="10"/>
  <c r="T230" i="10"/>
  <c r="T248" i="10"/>
  <c r="T256" i="10"/>
  <c r="T264" i="10"/>
  <c r="T272" i="10"/>
  <c r="T280" i="10"/>
  <c r="T288" i="10"/>
  <c r="T296" i="10"/>
  <c r="T192" i="10"/>
  <c r="T100" i="10"/>
  <c r="T108" i="10"/>
  <c r="T116" i="10"/>
  <c r="T124" i="10"/>
  <c r="T132" i="10"/>
  <c r="T373" i="10"/>
  <c r="T197" i="10"/>
  <c r="T229" i="10"/>
  <c r="T393" i="10"/>
  <c r="T409" i="10"/>
  <c r="T425" i="10"/>
  <c r="T403" i="10"/>
  <c r="T419" i="10"/>
  <c r="T436" i="10"/>
  <c r="T455" i="10"/>
  <c r="T491" i="10"/>
  <c r="T505" i="10"/>
  <c r="T509" i="10"/>
  <c r="T539" i="10"/>
  <c r="B40" i="5"/>
  <c r="B98" i="2"/>
  <c r="B59" i="2"/>
  <c r="E231" i="2" s="1"/>
  <c r="B174" i="2"/>
  <c r="B58" i="2"/>
  <c r="B53" i="2"/>
  <c r="N9" i="1" s="1"/>
  <c r="B57" i="2"/>
  <c r="G196" i="2" s="1"/>
  <c r="B194" i="2"/>
  <c r="K8" i="2"/>
  <c r="B3" i="8"/>
  <c r="B12" i="5"/>
  <c r="B5" i="8"/>
  <c r="B11" i="5"/>
  <c r="B4" i="8"/>
  <c r="B289" i="2"/>
  <c r="B290" i="2" s="1"/>
  <c r="M8" i="4"/>
  <c r="BV7" i="4"/>
  <c r="AL15" i="4"/>
  <c r="AL17" i="4"/>
  <c r="AL19" i="4"/>
  <c r="AL21" i="4"/>
  <c r="AL23" i="4"/>
  <c r="AL25" i="4"/>
  <c r="AL27" i="4"/>
  <c r="AL29" i="4"/>
  <c r="AL31" i="4"/>
  <c r="AL33" i="4"/>
  <c r="AL35" i="4"/>
  <c r="AL37" i="4"/>
  <c r="AL39" i="4"/>
  <c r="AL41" i="4"/>
  <c r="AL20" i="4"/>
  <c r="AL28" i="4"/>
  <c r="AL36" i="4"/>
  <c r="AL16" i="4"/>
  <c r="AL30" i="4"/>
  <c r="AL34" i="4"/>
  <c r="AL44" i="4"/>
  <c r="AL49" i="4"/>
  <c r="AL52" i="4"/>
  <c r="AL57" i="4"/>
  <c r="AL60" i="4"/>
  <c r="AL65" i="4"/>
  <c r="AL68" i="4"/>
  <c r="AL73" i="4"/>
  <c r="AL76" i="4"/>
  <c r="AL81" i="4"/>
  <c r="AL84" i="4"/>
  <c r="AL89" i="4"/>
  <c r="AL92" i="4"/>
  <c r="AL97" i="4"/>
  <c r="AL100" i="4"/>
  <c r="AL105" i="4"/>
  <c r="AL108" i="4"/>
  <c r="AL113" i="4"/>
  <c r="AL116" i="4"/>
  <c r="AL121" i="4"/>
  <c r="AL124" i="4"/>
  <c r="AL129" i="4"/>
  <c r="AL132" i="4"/>
  <c r="AL137" i="4"/>
  <c r="AL140" i="4"/>
  <c r="AL145" i="4"/>
  <c r="AL148" i="4"/>
  <c r="AL153" i="4"/>
  <c r="AL156" i="4"/>
  <c r="AL11" i="4"/>
  <c r="AL14" i="4"/>
  <c r="AL24" i="4"/>
  <c r="AL38" i="4"/>
  <c r="AL42" i="4"/>
  <c r="AL47" i="4"/>
  <c r="AL50" i="4"/>
  <c r="AL55" i="4"/>
  <c r="AL58" i="4"/>
  <c r="AL63" i="4"/>
  <c r="AL66" i="4"/>
  <c r="AL71" i="4"/>
  <c r="AL74" i="4"/>
  <c r="AL79" i="4"/>
  <c r="AL82" i="4"/>
  <c r="AL87" i="4"/>
  <c r="AL90" i="4"/>
  <c r="AL95" i="4"/>
  <c r="AL98" i="4"/>
  <c r="AL103" i="4"/>
  <c r="AL106" i="4"/>
  <c r="AL111" i="4"/>
  <c r="AL114" i="4"/>
  <c r="AL119" i="4"/>
  <c r="AL122" i="4"/>
  <c r="AL127" i="4"/>
  <c r="AL130" i="4"/>
  <c r="AL135" i="4"/>
  <c r="AL138" i="4"/>
  <c r="AL143" i="4"/>
  <c r="AL146" i="4"/>
  <c r="AL151" i="4"/>
  <c r="AL154" i="4"/>
  <c r="AL9" i="4"/>
  <c r="AL12" i="4"/>
  <c r="AL18" i="4"/>
  <c r="AL32" i="4"/>
  <c r="AL45" i="4"/>
  <c r="AL48" i="4"/>
  <c r="AL53" i="4"/>
  <c r="AL56" i="4"/>
  <c r="AL61" i="4"/>
  <c r="AL64" i="4"/>
  <c r="AL69" i="4"/>
  <c r="AL72" i="4"/>
  <c r="AL77" i="4"/>
  <c r="AL80" i="4"/>
  <c r="AL85" i="4"/>
  <c r="AL88" i="4"/>
  <c r="AL93" i="4"/>
  <c r="AL96" i="4"/>
  <c r="AL101" i="4"/>
  <c r="AL104" i="4"/>
  <c r="AL109" i="4"/>
  <c r="AL112" i="4"/>
  <c r="AL117" i="4"/>
  <c r="AL120" i="4"/>
  <c r="AL125" i="4"/>
  <c r="AL128" i="4"/>
  <c r="AL133" i="4"/>
  <c r="AL136" i="4"/>
  <c r="AL141" i="4"/>
  <c r="AL144" i="4"/>
  <c r="AL149" i="4"/>
  <c r="AL152" i="4"/>
  <c r="AL157" i="4"/>
  <c r="AL10" i="4"/>
  <c r="AL22" i="4"/>
  <c r="AL26" i="4"/>
  <c r="AL40" i="4"/>
  <c r="AL43" i="4"/>
  <c r="AL46" i="4"/>
  <c r="AL51" i="4"/>
  <c r="AL54" i="4"/>
  <c r="AL59" i="4"/>
  <c r="AL62" i="4"/>
  <c r="AL67" i="4"/>
  <c r="AL70" i="4"/>
  <c r="AL75" i="4"/>
  <c r="AL78" i="4"/>
  <c r="AL83" i="4"/>
  <c r="AL86" i="4"/>
  <c r="AL91" i="4"/>
  <c r="AL94" i="4"/>
  <c r="AL99" i="4"/>
  <c r="AL102" i="4"/>
  <c r="AL107" i="4"/>
  <c r="AL110" i="4"/>
  <c r="AL115" i="4"/>
  <c r="AL118" i="4"/>
  <c r="AL123" i="4"/>
  <c r="AL126" i="4"/>
  <c r="AL131" i="4"/>
  <c r="AL134" i="4"/>
  <c r="AL139" i="4"/>
  <c r="AL142" i="4"/>
  <c r="AL147" i="4"/>
  <c r="AL150" i="4"/>
  <c r="AL155" i="4"/>
  <c r="AL8" i="4"/>
  <c r="AL13" i="4"/>
  <c r="B29" i="5"/>
  <c r="O15" i="4"/>
  <c r="H47" i="1"/>
  <c r="AL7" i="4"/>
  <c r="E120" i="2"/>
  <c r="H49" i="1"/>
  <c r="O12" i="4"/>
  <c r="T8" i="5"/>
  <c r="U8" i="5" s="1"/>
  <c r="O10" i="5"/>
  <c r="B54" i="5"/>
  <c r="B188" i="2"/>
  <c r="B239" i="2"/>
  <c r="H64" i="1" s="1"/>
  <c r="B10" i="5"/>
  <c r="T28" i="5"/>
  <c r="T29" i="5"/>
  <c r="T38" i="5"/>
  <c r="T44" i="5"/>
  <c r="T46" i="5"/>
  <c r="T21" i="5"/>
  <c r="T24" i="5"/>
  <c r="T26" i="5"/>
  <c r="T27" i="5"/>
  <c r="T31" i="5"/>
  <c r="T32" i="5"/>
  <c r="T39" i="5"/>
  <c r="T42" i="5"/>
  <c r="T45" i="5"/>
  <c r="T22" i="5"/>
  <c r="T34" i="5"/>
  <c r="T36" i="5"/>
  <c r="T40" i="5"/>
  <c r="T43" i="5"/>
  <c r="T47" i="5"/>
  <c r="T48" i="5"/>
  <c r="T49" i="5"/>
  <c r="T41" i="5"/>
  <c r="T52" i="5"/>
  <c r="T53" i="5"/>
  <c r="T54" i="5"/>
  <c r="T64" i="5"/>
  <c r="T70" i="5"/>
  <c r="T20" i="5"/>
  <c r="T23" i="5"/>
  <c r="T30" i="5"/>
  <c r="T33" i="5"/>
  <c r="T50" i="5"/>
  <c r="T51" i="5"/>
  <c r="T56" i="5"/>
  <c r="T59" i="5"/>
  <c r="T62" i="5"/>
  <c r="T65" i="5"/>
  <c r="T67" i="5"/>
  <c r="T35" i="5"/>
  <c r="T55" i="5"/>
  <c r="T58" i="5"/>
  <c r="T63" i="5"/>
  <c r="T66" i="5"/>
  <c r="T68" i="5"/>
  <c r="T71" i="5"/>
  <c r="T76" i="5"/>
  <c r="T80" i="5"/>
  <c r="T74" i="5"/>
  <c r="T77" i="5"/>
  <c r="T57" i="5"/>
  <c r="T61" i="5"/>
  <c r="T73" i="5"/>
  <c r="T78" i="5"/>
  <c r="T89" i="5"/>
  <c r="T92" i="5"/>
  <c r="T25" i="5"/>
  <c r="T81" i="5"/>
  <c r="T82" i="5"/>
  <c r="T94" i="5"/>
  <c r="T96" i="5"/>
  <c r="T97" i="5"/>
  <c r="T98" i="5"/>
  <c r="T69" i="5"/>
  <c r="T95" i="5"/>
  <c r="T102" i="5"/>
  <c r="T105" i="5"/>
  <c r="T107" i="5"/>
  <c r="T60" i="5"/>
  <c r="T72" i="5"/>
  <c r="T83" i="5"/>
  <c r="T85" i="5"/>
  <c r="T88" i="5"/>
  <c r="T90" i="5"/>
  <c r="T91" i="5"/>
  <c r="T101" i="5"/>
  <c r="T108" i="5"/>
  <c r="T110" i="5"/>
  <c r="T37" i="5"/>
  <c r="T87" i="5"/>
  <c r="T93" i="5"/>
  <c r="T113" i="5"/>
  <c r="T121" i="5"/>
  <c r="T126" i="5"/>
  <c r="T127" i="5"/>
  <c r="T132" i="5"/>
  <c r="T136" i="5"/>
  <c r="T139" i="5"/>
  <c r="T141" i="5"/>
  <c r="T147" i="5"/>
  <c r="T155" i="5"/>
  <c r="T84" i="5"/>
  <c r="T99" i="5"/>
  <c r="T103" i="5"/>
  <c r="T106" i="5"/>
  <c r="T109" i="5"/>
  <c r="T112" i="5"/>
  <c r="T116" i="5"/>
  <c r="T117" i="5"/>
  <c r="T123" i="5"/>
  <c r="T124" i="5"/>
  <c r="T129" i="5"/>
  <c r="T131" i="5"/>
  <c r="T137" i="5"/>
  <c r="T142" i="5"/>
  <c r="T148" i="5"/>
  <c r="T151" i="5"/>
  <c r="T156" i="5"/>
  <c r="T75" i="5"/>
  <c r="T104" i="5"/>
  <c r="T114" i="5"/>
  <c r="T115" i="5"/>
  <c r="T119" i="5"/>
  <c r="T122" i="5"/>
  <c r="T130" i="5"/>
  <c r="T138" i="5"/>
  <c r="T143" i="5"/>
  <c r="T145" i="5"/>
  <c r="T146" i="5"/>
  <c r="T152" i="5"/>
  <c r="T125" i="5"/>
  <c r="T128" i="5"/>
  <c r="T134" i="5"/>
  <c r="T149" i="5"/>
  <c r="T165" i="5"/>
  <c r="T167" i="5"/>
  <c r="T171" i="5"/>
  <c r="T173" i="5"/>
  <c r="T177" i="5"/>
  <c r="T178" i="5"/>
  <c r="T181" i="5"/>
  <c r="T187" i="5"/>
  <c r="T86" i="5"/>
  <c r="T111" i="5"/>
  <c r="T118" i="5"/>
  <c r="T133" i="5"/>
  <c r="T140" i="5"/>
  <c r="T163" i="5"/>
  <c r="T169" i="5"/>
  <c r="T170" i="5"/>
  <c r="T182" i="5"/>
  <c r="T184" i="5"/>
  <c r="T79" i="5"/>
  <c r="T100" i="5"/>
  <c r="T154" i="5"/>
  <c r="T158" i="5"/>
  <c r="T161" i="5"/>
  <c r="T172" i="5"/>
  <c r="T175" i="5"/>
  <c r="T179" i="5"/>
  <c r="T183" i="5"/>
  <c r="T185" i="5"/>
  <c r="T186" i="5"/>
  <c r="T189" i="5"/>
  <c r="T190" i="5"/>
  <c r="T194" i="5"/>
  <c r="T197" i="5"/>
  <c r="T198" i="5"/>
  <c r="T201" i="5"/>
  <c r="T204" i="5"/>
  <c r="T206" i="5"/>
  <c r="T164" i="5"/>
  <c r="T188" i="5"/>
  <c r="T196" i="5"/>
  <c r="T200" i="5"/>
  <c r="T202" i="5"/>
  <c r="T203" i="5"/>
  <c r="T205" i="5"/>
  <c r="T208" i="5"/>
  <c r="T209" i="5"/>
  <c r="T211" i="5"/>
  <c r="T215" i="5"/>
  <c r="T218" i="5"/>
  <c r="T220" i="5"/>
  <c r="T223" i="5"/>
  <c r="T224" i="5"/>
  <c r="T227" i="5"/>
  <c r="T234" i="5"/>
  <c r="T239" i="5"/>
  <c r="T245" i="5"/>
  <c r="T120" i="5"/>
  <c r="T144" i="5"/>
  <c r="T150" i="5"/>
  <c r="T159" i="5"/>
  <c r="T166" i="5"/>
  <c r="T193" i="5"/>
  <c r="T199" i="5"/>
  <c r="T212" i="5"/>
  <c r="T216" i="5"/>
  <c r="T217" i="5"/>
  <c r="T222" i="5"/>
  <c r="T229" i="5"/>
  <c r="T232" i="5"/>
  <c r="T238" i="5"/>
  <c r="T242" i="5"/>
  <c r="T243" i="5"/>
  <c r="T157" i="5"/>
  <c r="T168" i="5"/>
  <c r="T174" i="5"/>
  <c r="T180" i="5"/>
  <c r="T191" i="5"/>
  <c r="T192" i="5"/>
  <c r="T207" i="5"/>
  <c r="T210" i="5"/>
  <c r="T213" i="5"/>
  <c r="T219" i="5"/>
  <c r="T221" i="5"/>
  <c r="T225" i="5"/>
  <c r="T230" i="5"/>
  <c r="T233" i="5"/>
  <c r="T235" i="5"/>
  <c r="T236" i="5"/>
  <c r="T240" i="5"/>
  <c r="T153" i="5"/>
  <c r="T176" i="5"/>
  <c r="T241" i="5"/>
  <c r="T248" i="5"/>
  <c r="T249" i="5"/>
  <c r="T252" i="5"/>
  <c r="T254" i="5"/>
  <c r="T255" i="5"/>
  <c r="T257" i="5"/>
  <c r="T260" i="5"/>
  <c r="T263" i="5"/>
  <c r="T265" i="5"/>
  <c r="T270" i="5"/>
  <c r="T273" i="5"/>
  <c r="T274" i="5"/>
  <c r="T277" i="5"/>
  <c r="T278" i="5"/>
  <c r="T279" i="5"/>
  <c r="T282" i="5"/>
  <c r="T289" i="5"/>
  <c r="T295" i="5"/>
  <c r="T301" i="5"/>
  <c r="T306" i="5"/>
  <c r="T308" i="5"/>
  <c r="T314" i="5"/>
  <c r="T318" i="5"/>
  <c r="T322" i="5"/>
  <c r="T327" i="5"/>
  <c r="T332" i="5"/>
  <c r="T334" i="5"/>
  <c r="T135" i="5"/>
  <c r="T237" i="5"/>
  <c r="T244" i="5"/>
  <c r="T250" i="5"/>
  <c r="T251" i="5"/>
  <c r="T258" i="5"/>
  <c r="T266" i="5"/>
  <c r="T276" i="5"/>
  <c r="T284" i="5"/>
  <c r="T288" i="5"/>
  <c r="T291" i="5"/>
  <c r="T292" i="5"/>
  <c r="T299" i="5"/>
  <c r="T302" i="5"/>
  <c r="T311" i="5"/>
  <c r="T313" i="5"/>
  <c r="T316" i="5"/>
  <c r="T323" i="5"/>
  <c r="T325" i="5"/>
  <c r="T328" i="5"/>
  <c r="T331" i="5"/>
  <c r="T160" i="5"/>
  <c r="T226" i="5"/>
  <c r="T231" i="5"/>
  <c r="T246" i="5"/>
  <c r="T253" i="5"/>
  <c r="T256" i="5"/>
  <c r="T259" i="5"/>
  <c r="T261" i="5"/>
  <c r="T264" i="5"/>
  <c r="T268" i="5"/>
  <c r="T269" i="5"/>
  <c r="T271" i="5"/>
  <c r="T281" i="5"/>
  <c r="T285" i="5"/>
  <c r="T290" i="5"/>
  <c r="T293" i="5"/>
  <c r="T296" i="5"/>
  <c r="T298" i="5"/>
  <c r="T300" i="5"/>
  <c r="T303" i="5"/>
  <c r="T305" i="5"/>
  <c r="T307" i="5"/>
  <c r="T310" i="5"/>
  <c r="T320" i="5"/>
  <c r="T321" i="5"/>
  <c r="T326" i="5"/>
  <c r="T330" i="5"/>
  <c r="T335" i="5"/>
  <c r="T343" i="5"/>
  <c r="T349" i="5"/>
  <c r="T354" i="5"/>
  <c r="T356" i="5"/>
  <c r="T262" i="5"/>
  <c r="T267" i="5"/>
  <c r="T280" i="5"/>
  <c r="T283" i="5"/>
  <c r="T286" i="5"/>
  <c r="T309" i="5"/>
  <c r="T312" i="5"/>
  <c r="T315" i="5"/>
  <c r="T329" i="5"/>
  <c r="T337" i="5"/>
  <c r="T342" i="5"/>
  <c r="T345" i="5"/>
  <c r="T350" i="5"/>
  <c r="T359" i="5"/>
  <c r="T362" i="5"/>
  <c r="T364" i="5"/>
  <c r="T366" i="5"/>
  <c r="T367" i="5"/>
  <c r="T378" i="5"/>
  <c r="T381" i="5"/>
  <c r="T387" i="5"/>
  <c r="T390" i="5"/>
  <c r="T393" i="5"/>
  <c r="T400" i="5"/>
  <c r="T403" i="5"/>
  <c r="T405" i="5"/>
  <c r="T410" i="5"/>
  <c r="T415" i="5"/>
  <c r="T420" i="5"/>
  <c r="T421" i="5"/>
  <c r="T424" i="5"/>
  <c r="T429" i="5"/>
  <c r="T433" i="5"/>
  <c r="T436" i="5"/>
  <c r="T437" i="5"/>
  <c r="T214" i="5"/>
  <c r="T247" i="5"/>
  <c r="T297" i="5"/>
  <c r="T317" i="5"/>
  <c r="T341" i="5"/>
  <c r="T369" i="5"/>
  <c r="T371" i="5"/>
  <c r="T372" i="5"/>
  <c r="T375" i="5"/>
  <c r="T376" i="5"/>
  <c r="T380" i="5"/>
  <c r="T385" i="5"/>
  <c r="T386" i="5"/>
  <c r="T389" i="5"/>
  <c r="T391" i="5"/>
  <c r="T396" i="5"/>
  <c r="T407" i="5"/>
  <c r="T409" i="5"/>
  <c r="T418" i="5"/>
  <c r="T162" i="5"/>
  <c r="T195" i="5"/>
  <c r="T228" i="5"/>
  <c r="T272" i="5"/>
  <c r="T275" i="5"/>
  <c r="T294" i="5"/>
  <c r="T319" i="5"/>
  <c r="T336" i="5"/>
  <c r="T340" i="5"/>
  <c r="T348" i="5"/>
  <c r="T353" i="5"/>
  <c r="T355" i="5"/>
  <c r="T361" i="5"/>
  <c r="T363" i="5"/>
  <c r="T365" i="5"/>
  <c r="T373" i="5"/>
  <c r="T379" i="5"/>
  <c r="T382" i="5"/>
  <c r="T383" i="5"/>
  <c r="T388" i="5"/>
  <c r="T392" i="5"/>
  <c r="T399" i="5"/>
  <c r="T402" i="5"/>
  <c r="T404" i="5"/>
  <c r="T408" i="5"/>
  <c r="T411" i="5"/>
  <c r="T414" i="5"/>
  <c r="T417" i="5"/>
  <c r="T287" i="5"/>
  <c r="T324" i="5"/>
  <c r="T357" i="5"/>
  <c r="T370" i="5"/>
  <c r="T384" i="5"/>
  <c r="T428" i="5"/>
  <c r="T430" i="5"/>
  <c r="T432" i="5"/>
  <c r="T441" i="5"/>
  <c r="T443" i="5"/>
  <c r="T447" i="5"/>
  <c r="T448" i="5"/>
  <c r="T451" i="5"/>
  <c r="T458" i="5"/>
  <c r="T460" i="5"/>
  <c r="T466" i="5"/>
  <c r="T472" i="5"/>
  <c r="T478" i="5"/>
  <c r="T481" i="5"/>
  <c r="T491" i="5"/>
  <c r="T494" i="5"/>
  <c r="T499" i="5"/>
  <c r="T505" i="5"/>
  <c r="T507" i="5"/>
  <c r="T508" i="5"/>
  <c r="T513" i="5"/>
  <c r="T515" i="5"/>
  <c r="T516" i="5"/>
  <c r="T525" i="5"/>
  <c r="T532" i="5"/>
  <c r="T533" i="5"/>
  <c r="T537" i="5"/>
  <c r="T339" i="5"/>
  <c r="T347" i="5"/>
  <c r="T351" i="5"/>
  <c r="T427" i="5"/>
  <c r="T431" i="5"/>
  <c r="T438" i="5"/>
  <c r="T442" i="5"/>
  <c r="T453" i="5"/>
  <c r="T454" i="5"/>
  <c r="T456" i="5"/>
  <c r="T459" i="5"/>
  <c r="T462" i="5"/>
  <c r="T464" i="5"/>
  <c r="T468" i="5"/>
  <c r="T471" i="5"/>
  <c r="T474" i="5"/>
  <c r="T475" i="5"/>
  <c r="T480" i="5"/>
  <c r="T483" i="5"/>
  <c r="T485" i="5"/>
  <c r="T496" i="5"/>
  <c r="T498" i="5"/>
  <c r="T500" i="5"/>
  <c r="T501" i="5"/>
  <c r="T503" i="5"/>
  <c r="T504" i="5"/>
  <c r="T511" i="5"/>
  <c r="T512" i="5"/>
  <c r="T517" i="5"/>
  <c r="T519" i="5"/>
  <c r="T521" i="5"/>
  <c r="T522" i="5"/>
  <c r="T333" i="5"/>
  <c r="T358" i="5"/>
  <c r="T360" i="5"/>
  <c r="T368" i="5"/>
  <c r="T374" i="5"/>
  <c r="T377" i="5"/>
  <c r="T395" i="5"/>
  <c r="T398" i="5"/>
  <c r="T401" i="5"/>
  <c r="T413" i="5"/>
  <c r="T416" i="5"/>
  <c r="T422" i="5"/>
  <c r="T425" i="5"/>
  <c r="T434" i="5"/>
  <c r="T435" i="5"/>
  <c r="T439" i="5"/>
  <c r="T446" i="5"/>
  <c r="T452" i="5"/>
  <c r="T455" i="5"/>
  <c r="T457" i="5"/>
  <c r="T461" i="5"/>
  <c r="T463" i="5"/>
  <c r="T467" i="5"/>
  <c r="T470" i="5"/>
  <c r="T473" i="5"/>
  <c r="T477" i="5"/>
  <c r="T482" i="5"/>
  <c r="T486" i="5"/>
  <c r="T487" i="5"/>
  <c r="T489" i="5"/>
  <c r="T492" i="5"/>
  <c r="T493" i="5"/>
  <c r="T495" i="5"/>
  <c r="T506" i="5"/>
  <c r="T510" i="5"/>
  <c r="T526" i="5"/>
  <c r="T531" i="5"/>
  <c r="T538" i="5"/>
  <c r="T556" i="5"/>
  <c r="T557" i="5"/>
  <c r="T560" i="5"/>
  <c r="T304" i="5"/>
  <c r="T338" i="5"/>
  <c r="T344" i="5"/>
  <c r="T346" i="5"/>
  <c r="T352" i="5"/>
  <c r="T444" i="5"/>
  <c r="T465" i="5"/>
  <c r="T484" i="5"/>
  <c r="T529" i="5"/>
  <c r="T534" i="5"/>
  <c r="T536" i="5"/>
  <c r="T539" i="5"/>
  <c r="T540" i="5"/>
  <c r="T542" i="5"/>
  <c r="T545" i="5"/>
  <c r="T546" i="5"/>
  <c r="T548" i="5"/>
  <c r="T550" i="5"/>
  <c r="T554" i="5"/>
  <c r="T541" i="5"/>
  <c r="T544" i="5"/>
  <c r="T394" i="5"/>
  <c r="T406" i="5"/>
  <c r="T412" i="5"/>
  <c r="T426" i="5"/>
  <c r="T450" i="5"/>
  <c r="T490" i="5"/>
  <c r="T497" i="5"/>
  <c r="T514" i="5"/>
  <c r="T518" i="5"/>
  <c r="T524" i="5"/>
  <c r="T527" i="5"/>
  <c r="T543" i="5"/>
  <c r="T551" i="5"/>
  <c r="T552" i="5"/>
  <c r="T553" i="5"/>
  <c r="T555" i="5"/>
  <c r="T419" i="5"/>
  <c r="T440" i="5"/>
  <c r="T449" i="5"/>
  <c r="T528" i="5"/>
  <c r="T530" i="5"/>
  <c r="T535" i="5"/>
  <c r="T547" i="5"/>
  <c r="T549" i="5"/>
  <c r="T558" i="5"/>
  <c r="T559" i="5"/>
  <c r="T397" i="5"/>
  <c r="T423" i="5"/>
  <c r="T445" i="5"/>
  <c r="T469" i="5"/>
  <c r="T476" i="5"/>
  <c r="T479" i="5"/>
  <c r="T488" i="5"/>
  <c r="T502" i="5"/>
  <c r="T509" i="5"/>
  <c r="T520" i="5"/>
  <c r="T523" i="5"/>
  <c r="T19" i="5"/>
  <c r="B25" i="5"/>
  <c r="B26" i="5"/>
  <c r="B13" i="5"/>
  <c r="B21" i="3"/>
  <c r="B22" i="3" s="1"/>
  <c r="B11" i="2"/>
  <c r="H15" i="1" s="1"/>
  <c r="B18" i="2"/>
  <c r="B40" i="2" s="1"/>
  <c r="B17" i="2"/>
  <c r="B207" i="2" l="1"/>
  <c r="B64" i="10" s="1"/>
  <c r="B240" i="2"/>
  <c r="B184" i="2"/>
  <c r="AM134" i="4"/>
  <c r="AM118" i="4"/>
  <c r="AM70" i="4"/>
  <c r="AM54" i="4"/>
  <c r="AM141" i="4"/>
  <c r="AM125" i="4"/>
  <c r="AM77" i="4"/>
  <c r="AM61" i="4"/>
  <c r="AM143" i="4"/>
  <c r="AM127" i="4"/>
  <c r="AM79" i="4"/>
  <c r="AM63" i="4"/>
  <c r="AM148" i="4"/>
  <c r="AM116" i="4"/>
  <c r="AM84" i="4"/>
  <c r="AM52" i="4"/>
  <c r="AM20" i="4"/>
  <c r="AM27" i="4"/>
  <c r="AM155" i="4"/>
  <c r="AM139" i="4"/>
  <c r="AM123" i="4"/>
  <c r="AM107" i="4"/>
  <c r="AM91" i="4"/>
  <c r="AM75" i="4"/>
  <c r="AM59" i="4"/>
  <c r="AM43" i="4"/>
  <c r="AM10" i="4"/>
  <c r="AM144" i="4"/>
  <c r="AM128" i="4"/>
  <c r="AM112" i="4"/>
  <c r="AM96" i="4"/>
  <c r="AM80" i="4"/>
  <c r="AM64" i="4"/>
  <c r="AM48" i="4"/>
  <c r="AM12" i="4"/>
  <c r="AM146" i="4"/>
  <c r="AM130" i="4"/>
  <c r="AM114" i="4"/>
  <c r="AM98" i="4"/>
  <c r="AM82" i="4"/>
  <c r="AM66" i="4"/>
  <c r="AM50" i="4"/>
  <c r="AM24" i="4"/>
  <c r="AM153" i="4"/>
  <c r="AM137" i="4"/>
  <c r="AM121" i="4"/>
  <c r="AM105" i="4"/>
  <c r="AM89" i="4"/>
  <c r="AM73" i="4"/>
  <c r="AM57" i="4"/>
  <c r="AM34" i="4"/>
  <c r="AM28" i="4"/>
  <c r="AM37" i="4"/>
  <c r="AM29" i="4"/>
  <c r="AM21" i="4"/>
  <c r="AM102" i="4"/>
  <c r="AM40" i="4"/>
  <c r="AM109" i="4"/>
  <c r="AM45" i="4"/>
  <c r="AM111" i="4"/>
  <c r="AM47" i="4"/>
  <c r="AM132" i="4"/>
  <c r="AM68" i="4"/>
  <c r="AM35" i="4"/>
  <c r="AM19" i="4"/>
  <c r="AM7" i="4"/>
  <c r="AM13" i="4"/>
  <c r="AM147" i="4"/>
  <c r="AM131" i="4"/>
  <c r="AM115" i="4"/>
  <c r="AM99" i="4"/>
  <c r="AM83" i="4"/>
  <c r="AM67" i="4"/>
  <c r="AM51" i="4"/>
  <c r="AM26" i="4"/>
  <c r="AM152" i="4"/>
  <c r="AM136" i="4"/>
  <c r="AM120" i="4"/>
  <c r="AM104" i="4"/>
  <c r="AM88" i="4"/>
  <c r="AM72" i="4"/>
  <c r="AM56" i="4"/>
  <c r="AM32" i="4"/>
  <c r="AM154" i="4"/>
  <c r="AM138" i="4"/>
  <c r="AM122" i="4"/>
  <c r="AM106" i="4"/>
  <c r="AM90" i="4"/>
  <c r="AM74" i="4"/>
  <c r="AM58" i="4"/>
  <c r="AM42" i="4"/>
  <c r="AM11" i="4"/>
  <c r="AM145" i="4"/>
  <c r="AM129" i="4"/>
  <c r="AM113" i="4"/>
  <c r="AM97" i="4"/>
  <c r="AM81" i="4"/>
  <c r="AM65" i="4"/>
  <c r="AM49" i="4"/>
  <c r="AM16" i="4"/>
  <c r="AM41" i="4"/>
  <c r="AM33" i="4"/>
  <c r="AM25" i="4"/>
  <c r="AM17" i="4"/>
  <c r="AM150" i="4"/>
  <c r="AM86" i="4"/>
  <c r="AM157" i="4"/>
  <c r="AM93" i="4"/>
  <c r="AM9" i="4"/>
  <c r="AM95" i="4"/>
  <c r="AM14" i="4"/>
  <c r="AM100" i="4"/>
  <c r="AM30" i="4"/>
  <c r="AM8" i="4"/>
  <c r="AM142" i="4"/>
  <c r="AM126" i="4"/>
  <c r="AM110" i="4"/>
  <c r="AM94" i="4"/>
  <c r="AM78" i="4"/>
  <c r="AM62" i="4"/>
  <c r="AM46" i="4"/>
  <c r="AM22" i="4"/>
  <c r="AM149" i="4"/>
  <c r="AM133" i="4"/>
  <c r="AM117" i="4"/>
  <c r="AM101" i="4"/>
  <c r="AM85" i="4"/>
  <c r="AM69" i="4"/>
  <c r="AM53" i="4"/>
  <c r="AM18" i="4"/>
  <c r="AM151" i="4"/>
  <c r="AM135" i="4"/>
  <c r="AM119" i="4"/>
  <c r="AM103" i="4"/>
  <c r="AM87" i="4"/>
  <c r="AM71" i="4"/>
  <c r="AM55" i="4"/>
  <c r="AM38" i="4"/>
  <c r="AM156" i="4"/>
  <c r="AM140" i="4"/>
  <c r="AM124" i="4"/>
  <c r="AM108" i="4"/>
  <c r="AM92" i="4"/>
  <c r="AM76" i="4"/>
  <c r="AM60" i="4"/>
  <c r="AM44" i="4"/>
  <c r="AM36" i="4"/>
  <c r="AM39" i="4"/>
  <c r="AM31" i="4"/>
  <c r="AM23" i="4"/>
  <c r="AM15" i="4"/>
  <c r="AG10" i="10"/>
  <c r="T10" i="10"/>
  <c r="V7" i="10"/>
  <c r="U7" i="10"/>
  <c r="B17" i="10"/>
  <c r="B45" i="10" s="1"/>
  <c r="V8" i="10"/>
  <c r="U8" i="10"/>
  <c r="U436" i="10"/>
  <c r="V436" i="10"/>
  <c r="V256" i="10"/>
  <c r="U256" i="10"/>
  <c r="V69" i="10"/>
  <c r="U69" i="10"/>
  <c r="V40" i="10"/>
  <c r="U40" i="10"/>
  <c r="V405" i="10"/>
  <c r="U405" i="10"/>
  <c r="U353" i="10"/>
  <c r="V353" i="10"/>
  <c r="U169" i="10"/>
  <c r="V169" i="10"/>
  <c r="V150" i="10"/>
  <c r="U150" i="10"/>
  <c r="U45" i="10"/>
  <c r="V45" i="10"/>
  <c r="U282" i="10"/>
  <c r="V282" i="10"/>
  <c r="U480" i="10"/>
  <c r="V480" i="10"/>
  <c r="U290" i="10"/>
  <c r="V290" i="10"/>
  <c r="V128" i="10"/>
  <c r="U128" i="10"/>
  <c r="V68" i="10"/>
  <c r="U68" i="10"/>
  <c r="V130" i="10"/>
  <c r="U130" i="10"/>
  <c r="U305" i="10"/>
  <c r="V305" i="10"/>
  <c r="V513" i="10"/>
  <c r="U513" i="10"/>
  <c r="U350" i="10"/>
  <c r="V350" i="10"/>
  <c r="U262" i="10"/>
  <c r="V262" i="10"/>
  <c r="V300" i="10"/>
  <c r="U300" i="10"/>
  <c r="V126" i="10"/>
  <c r="U126" i="10"/>
  <c r="U83" i="10"/>
  <c r="V83" i="10"/>
  <c r="V203" i="10"/>
  <c r="U203" i="10"/>
  <c r="V121" i="10"/>
  <c r="U121" i="10"/>
  <c r="V183" i="10"/>
  <c r="U183" i="10"/>
  <c r="U253" i="10"/>
  <c r="V253" i="10"/>
  <c r="U277" i="10"/>
  <c r="V277" i="10"/>
  <c r="V312" i="10"/>
  <c r="U312" i="10"/>
  <c r="U119" i="10"/>
  <c r="V119" i="10"/>
  <c r="V211" i="10"/>
  <c r="U211" i="10"/>
  <c r="V323" i="10"/>
  <c r="U323" i="10"/>
  <c r="V371" i="10"/>
  <c r="U371" i="10"/>
  <c r="U406" i="10"/>
  <c r="V406" i="10"/>
  <c r="U382" i="10"/>
  <c r="V382" i="10"/>
  <c r="V466" i="10"/>
  <c r="U466" i="10"/>
  <c r="V508" i="10"/>
  <c r="U508" i="10"/>
  <c r="V541" i="10"/>
  <c r="U541" i="10"/>
  <c r="V505" i="10"/>
  <c r="U505" i="10"/>
  <c r="V419" i="10"/>
  <c r="U419" i="10"/>
  <c r="V393" i="10"/>
  <c r="U393" i="10"/>
  <c r="V132" i="10"/>
  <c r="U132" i="10"/>
  <c r="V100" i="10"/>
  <c r="U100" i="10"/>
  <c r="V280" i="10"/>
  <c r="U280" i="10"/>
  <c r="V248" i="10"/>
  <c r="U248" i="10"/>
  <c r="V39" i="10"/>
  <c r="U39" i="10"/>
  <c r="V196" i="10"/>
  <c r="U196" i="10"/>
  <c r="V166" i="10"/>
  <c r="U166" i="10"/>
  <c r="V106" i="10"/>
  <c r="U106" i="10"/>
  <c r="V49" i="10"/>
  <c r="U49" i="10"/>
  <c r="U559" i="10"/>
  <c r="V559" i="10"/>
  <c r="U515" i="10"/>
  <c r="V515" i="10"/>
  <c r="V516" i="10"/>
  <c r="U516" i="10"/>
  <c r="U494" i="10"/>
  <c r="V494" i="10"/>
  <c r="V415" i="10"/>
  <c r="U415" i="10"/>
  <c r="V389" i="10"/>
  <c r="U389" i="10"/>
  <c r="U338" i="10"/>
  <c r="V338" i="10"/>
  <c r="V465" i="10"/>
  <c r="U465" i="10"/>
  <c r="U345" i="10"/>
  <c r="V345" i="10"/>
  <c r="U313" i="10"/>
  <c r="V313" i="10"/>
  <c r="U254" i="10"/>
  <c r="V254" i="10"/>
  <c r="V387" i="10"/>
  <c r="U387" i="10"/>
  <c r="V152" i="10"/>
  <c r="U152" i="10"/>
  <c r="V180" i="10"/>
  <c r="U180" i="10"/>
  <c r="V210" i="10"/>
  <c r="U210" i="10"/>
  <c r="V31" i="10"/>
  <c r="U31" i="10"/>
  <c r="V134" i="10"/>
  <c r="U134" i="10"/>
  <c r="U57" i="10"/>
  <c r="V57" i="10"/>
  <c r="U38" i="10"/>
  <c r="V38" i="10"/>
  <c r="V21" i="10"/>
  <c r="U21" i="10"/>
  <c r="V522" i="10"/>
  <c r="U522" i="10"/>
  <c r="V444" i="10"/>
  <c r="U444" i="10"/>
  <c r="U250" i="10"/>
  <c r="V250" i="10"/>
  <c r="U558" i="10"/>
  <c r="V558" i="10"/>
  <c r="V528" i="10"/>
  <c r="U528" i="10"/>
  <c r="V489" i="10"/>
  <c r="U489" i="10"/>
  <c r="U476" i="10"/>
  <c r="V476" i="10"/>
  <c r="V483" i="10"/>
  <c r="U483" i="10"/>
  <c r="V411" i="10"/>
  <c r="U411" i="10"/>
  <c r="V401" i="10"/>
  <c r="U401" i="10"/>
  <c r="U274" i="10"/>
  <c r="V274" i="10"/>
  <c r="U221" i="10"/>
  <c r="V221" i="10"/>
  <c r="U165" i="10"/>
  <c r="V165" i="10"/>
  <c r="V120" i="10"/>
  <c r="U120" i="10"/>
  <c r="V168" i="10"/>
  <c r="U168" i="10"/>
  <c r="V268" i="10"/>
  <c r="U268" i="10"/>
  <c r="V222" i="10"/>
  <c r="U222" i="10"/>
  <c r="U58" i="10"/>
  <c r="V58" i="10"/>
  <c r="V208" i="10"/>
  <c r="U208" i="10"/>
  <c r="V170" i="10"/>
  <c r="U170" i="10"/>
  <c r="V114" i="10"/>
  <c r="U114" i="10"/>
  <c r="V70" i="10"/>
  <c r="U70" i="10"/>
  <c r="V546" i="10"/>
  <c r="U546" i="10"/>
  <c r="V363" i="10"/>
  <c r="U363" i="10"/>
  <c r="U213" i="10"/>
  <c r="V213" i="10"/>
  <c r="V548" i="10"/>
  <c r="U548" i="10"/>
  <c r="U510" i="10"/>
  <c r="V510" i="10"/>
  <c r="U506" i="10"/>
  <c r="V506" i="10"/>
  <c r="U460" i="10"/>
  <c r="V460" i="10"/>
  <c r="U432" i="10"/>
  <c r="V432" i="10"/>
  <c r="V407" i="10"/>
  <c r="U407" i="10"/>
  <c r="V413" i="10"/>
  <c r="U413" i="10"/>
  <c r="U342" i="10"/>
  <c r="V342" i="10"/>
  <c r="U310" i="10"/>
  <c r="V310" i="10"/>
  <c r="U341" i="10"/>
  <c r="V341" i="10"/>
  <c r="U309" i="10"/>
  <c r="V309" i="10"/>
  <c r="U246" i="10"/>
  <c r="V246" i="10"/>
  <c r="U193" i="10"/>
  <c r="V193" i="10"/>
  <c r="V202" i="10"/>
  <c r="U202" i="10"/>
  <c r="V234" i="10"/>
  <c r="U234" i="10"/>
  <c r="V61" i="10"/>
  <c r="U61" i="10"/>
  <c r="V204" i="10"/>
  <c r="U204" i="10"/>
  <c r="V110" i="10"/>
  <c r="U110" i="10"/>
  <c r="V37" i="10"/>
  <c r="U37" i="10"/>
  <c r="V24" i="10"/>
  <c r="U24" i="10"/>
  <c r="V44" i="10"/>
  <c r="U44" i="10"/>
  <c r="U67" i="10"/>
  <c r="V67" i="10"/>
  <c r="U87" i="10"/>
  <c r="V87" i="10"/>
  <c r="V53" i="10"/>
  <c r="U53" i="10"/>
  <c r="U63" i="10"/>
  <c r="V63" i="10"/>
  <c r="V51" i="10"/>
  <c r="U51" i="10"/>
  <c r="U77" i="10"/>
  <c r="V77" i="10"/>
  <c r="U93" i="10"/>
  <c r="V93" i="10"/>
  <c r="V109" i="10"/>
  <c r="U109" i="10"/>
  <c r="V125" i="10"/>
  <c r="U125" i="10"/>
  <c r="V141" i="10"/>
  <c r="U141" i="10"/>
  <c r="V157" i="10"/>
  <c r="U157" i="10"/>
  <c r="V171" i="10"/>
  <c r="U171" i="10"/>
  <c r="V187" i="10"/>
  <c r="U187" i="10"/>
  <c r="V220" i="10"/>
  <c r="U220" i="10"/>
  <c r="V236" i="10"/>
  <c r="U236" i="10"/>
  <c r="U247" i="10"/>
  <c r="V247" i="10"/>
  <c r="U255" i="10"/>
  <c r="V255" i="10"/>
  <c r="U263" i="10"/>
  <c r="V263" i="10"/>
  <c r="U271" i="10"/>
  <c r="V271" i="10"/>
  <c r="U279" i="10"/>
  <c r="V279" i="10"/>
  <c r="U287" i="10"/>
  <c r="V287" i="10"/>
  <c r="U295" i="10"/>
  <c r="V295" i="10"/>
  <c r="V316" i="10"/>
  <c r="U316" i="10"/>
  <c r="V332" i="10"/>
  <c r="U332" i="10"/>
  <c r="V348" i="10"/>
  <c r="U348" i="10"/>
  <c r="U107" i="10"/>
  <c r="V107" i="10"/>
  <c r="U123" i="10"/>
  <c r="V123" i="10"/>
  <c r="U139" i="10"/>
  <c r="V139" i="10"/>
  <c r="U155" i="10"/>
  <c r="V155" i="10"/>
  <c r="V215" i="10"/>
  <c r="U215" i="10"/>
  <c r="V231" i="10"/>
  <c r="U231" i="10"/>
  <c r="U372" i="10"/>
  <c r="V372" i="10"/>
  <c r="V311" i="10"/>
  <c r="U311" i="10"/>
  <c r="V327" i="10"/>
  <c r="U327" i="10"/>
  <c r="V343" i="10"/>
  <c r="U343" i="10"/>
  <c r="V359" i="10"/>
  <c r="U359" i="10"/>
  <c r="U368" i="10"/>
  <c r="V368" i="10"/>
  <c r="V307" i="10"/>
  <c r="U307" i="10"/>
  <c r="V375" i="10"/>
  <c r="U375" i="10"/>
  <c r="U394" i="10"/>
  <c r="V394" i="10"/>
  <c r="U410" i="10"/>
  <c r="V410" i="10"/>
  <c r="U426" i="10"/>
  <c r="V426" i="10"/>
  <c r="V447" i="10"/>
  <c r="U447" i="10"/>
  <c r="V370" i="10"/>
  <c r="U370" i="10"/>
  <c r="U388" i="10"/>
  <c r="V388" i="10"/>
  <c r="U404" i="10"/>
  <c r="V404" i="10"/>
  <c r="U420" i="10"/>
  <c r="V420" i="10"/>
  <c r="V454" i="10"/>
  <c r="U454" i="10"/>
  <c r="U441" i="10"/>
  <c r="V441" i="10"/>
  <c r="V474" i="10"/>
  <c r="U474" i="10"/>
  <c r="V442" i="10"/>
  <c r="U442" i="10"/>
  <c r="U498" i="10"/>
  <c r="V498" i="10"/>
  <c r="U496" i="10"/>
  <c r="V496" i="10"/>
  <c r="V512" i="10"/>
  <c r="U512" i="10"/>
  <c r="V529" i="10"/>
  <c r="U529" i="10"/>
  <c r="U527" i="10"/>
  <c r="V527" i="10"/>
  <c r="V549" i="10"/>
  <c r="U549" i="10"/>
  <c r="V552" i="10"/>
  <c r="U552" i="10"/>
  <c r="V409" i="10"/>
  <c r="U409" i="10"/>
  <c r="V288" i="10"/>
  <c r="U288" i="10"/>
  <c r="V174" i="10"/>
  <c r="U174" i="10"/>
  <c r="V532" i="10"/>
  <c r="U532" i="10"/>
  <c r="V440" i="10"/>
  <c r="U440" i="10"/>
  <c r="U314" i="10"/>
  <c r="V314" i="10"/>
  <c r="U209" i="10"/>
  <c r="V209" i="10"/>
  <c r="U66" i="10"/>
  <c r="V66" i="10"/>
  <c r="V86" i="10"/>
  <c r="U86" i="10"/>
  <c r="U554" i="10"/>
  <c r="V554" i="10"/>
  <c r="V497" i="10"/>
  <c r="U497" i="10"/>
  <c r="V417" i="10"/>
  <c r="U417" i="10"/>
  <c r="V184" i="10"/>
  <c r="U184" i="10"/>
  <c r="V238" i="10"/>
  <c r="U238" i="10"/>
  <c r="V82" i="10"/>
  <c r="U82" i="10"/>
  <c r="V555" i="10"/>
  <c r="U555" i="10"/>
  <c r="V487" i="10"/>
  <c r="U487" i="10"/>
  <c r="V429" i="10"/>
  <c r="U429" i="10"/>
  <c r="U317" i="10"/>
  <c r="V317" i="10"/>
  <c r="V144" i="10"/>
  <c r="U144" i="10"/>
  <c r="V78" i="10"/>
  <c r="U78" i="10"/>
  <c r="V207" i="10"/>
  <c r="U207" i="10"/>
  <c r="U73" i="10"/>
  <c r="V73" i="10"/>
  <c r="V105" i="10"/>
  <c r="U105" i="10"/>
  <c r="V167" i="10"/>
  <c r="U167" i="10"/>
  <c r="U245" i="10"/>
  <c r="V245" i="10"/>
  <c r="U269" i="10"/>
  <c r="V269" i="10"/>
  <c r="V328" i="10"/>
  <c r="U328" i="10"/>
  <c r="U135" i="10"/>
  <c r="V135" i="10"/>
  <c r="V227" i="10"/>
  <c r="U227" i="10"/>
  <c r="V339" i="10"/>
  <c r="U339" i="10"/>
  <c r="U437" i="10"/>
  <c r="V437" i="10"/>
  <c r="U422" i="10"/>
  <c r="V422" i="10"/>
  <c r="U400" i="10"/>
  <c r="V400" i="10"/>
  <c r="U453" i="10"/>
  <c r="V453" i="10"/>
  <c r="U492" i="10"/>
  <c r="V492" i="10"/>
  <c r="V545" i="10"/>
  <c r="U545" i="10"/>
  <c r="V491" i="10"/>
  <c r="U491" i="10"/>
  <c r="V403" i="10"/>
  <c r="U403" i="10"/>
  <c r="U229" i="10"/>
  <c r="V229" i="10"/>
  <c r="V124" i="10"/>
  <c r="U124" i="10"/>
  <c r="V192" i="10"/>
  <c r="U192" i="10"/>
  <c r="V272" i="10"/>
  <c r="U272" i="10"/>
  <c r="V230" i="10"/>
  <c r="U230" i="10"/>
  <c r="V33" i="10"/>
  <c r="U33" i="10"/>
  <c r="V190" i="10"/>
  <c r="U190" i="10"/>
  <c r="V154" i="10"/>
  <c r="U154" i="10"/>
  <c r="V90" i="10"/>
  <c r="U90" i="10"/>
  <c r="V42" i="10"/>
  <c r="U42" i="10"/>
  <c r="V536" i="10"/>
  <c r="U536" i="10"/>
  <c r="V507" i="10"/>
  <c r="U507" i="10"/>
  <c r="V503" i="10"/>
  <c r="U503" i="10"/>
  <c r="U468" i="10"/>
  <c r="V468" i="10"/>
  <c r="V399" i="10"/>
  <c r="U399" i="10"/>
  <c r="V367" i="10"/>
  <c r="U367" i="10"/>
  <c r="U330" i="10"/>
  <c r="V330" i="10"/>
  <c r="U435" i="10"/>
  <c r="V435" i="10"/>
  <c r="U337" i="10"/>
  <c r="V337" i="10"/>
  <c r="U302" i="10"/>
  <c r="V302" i="10"/>
  <c r="U241" i="10"/>
  <c r="V241" i="10"/>
  <c r="V381" i="10"/>
  <c r="U381" i="10"/>
  <c r="V136" i="10"/>
  <c r="U136" i="10"/>
  <c r="V164" i="10"/>
  <c r="U164" i="10"/>
  <c r="V96" i="10"/>
  <c r="U96" i="10"/>
  <c r="U35" i="10"/>
  <c r="V35" i="10"/>
  <c r="V118" i="10"/>
  <c r="U118" i="10"/>
  <c r="U54" i="10"/>
  <c r="V54" i="10"/>
  <c r="V200" i="10"/>
  <c r="U200" i="10"/>
  <c r="V551" i="10"/>
  <c r="U551" i="10"/>
  <c r="V473" i="10"/>
  <c r="U473" i="10"/>
  <c r="V469" i="10"/>
  <c r="U469" i="10"/>
  <c r="U173" i="10"/>
  <c r="V173" i="10"/>
  <c r="U540" i="10"/>
  <c r="V540" i="10"/>
  <c r="V511" i="10"/>
  <c r="U511" i="10"/>
  <c r="V481" i="10"/>
  <c r="U481" i="10"/>
  <c r="U472" i="10"/>
  <c r="V472" i="10"/>
  <c r="V452" i="10"/>
  <c r="U452" i="10"/>
  <c r="V395" i="10"/>
  <c r="U395" i="10"/>
  <c r="V385" i="10"/>
  <c r="U385" i="10"/>
  <c r="U258" i="10"/>
  <c r="V258" i="10"/>
  <c r="U205" i="10"/>
  <c r="V205" i="10"/>
  <c r="V156" i="10"/>
  <c r="U156" i="10"/>
  <c r="V112" i="10"/>
  <c r="U112" i="10"/>
  <c r="V292" i="10"/>
  <c r="U292" i="10"/>
  <c r="V260" i="10"/>
  <c r="U260" i="10"/>
  <c r="V92" i="10"/>
  <c r="U92" i="10"/>
  <c r="U48" i="10"/>
  <c r="V48" i="10"/>
  <c r="V194" i="10"/>
  <c r="U194" i="10"/>
  <c r="V162" i="10"/>
  <c r="U162" i="10"/>
  <c r="U25" i="10"/>
  <c r="V25" i="10"/>
  <c r="V47" i="10"/>
  <c r="U47" i="10"/>
  <c r="V538" i="10"/>
  <c r="U538" i="10"/>
  <c r="U298" i="10"/>
  <c r="V298" i="10"/>
  <c r="U189" i="10"/>
  <c r="V189" i="10"/>
  <c r="U544" i="10"/>
  <c r="V544" i="10"/>
  <c r="V501" i="10"/>
  <c r="U501" i="10"/>
  <c r="V499" i="10"/>
  <c r="U499" i="10"/>
  <c r="V467" i="10"/>
  <c r="U467" i="10"/>
  <c r="V448" i="10"/>
  <c r="U448" i="10"/>
  <c r="V391" i="10"/>
  <c r="U391" i="10"/>
  <c r="V397" i="10"/>
  <c r="U397" i="10"/>
  <c r="U334" i="10"/>
  <c r="V334" i="10"/>
  <c r="V361" i="10"/>
  <c r="U361" i="10"/>
  <c r="U333" i="10"/>
  <c r="V333" i="10"/>
  <c r="U294" i="10"/>
  <c r="V294" i="10"/>
  <c r="U233" i="10"/>
  <c r="V233" i="10"/>
  <c r="U177" i="10"/>
  <c r="V177" i="10"/>
  <c r="V188" i="10"/>
  <c r="U188" i="10"/>
  <c r="V218" i="10"/>
  <c r="U218" i="10"/>
  <c r="V41" i="10"/>
  <c r="U41" i="10"/>
  <c r="V158" i="10"/>
  <c r="U158" i="10"/>
  <c r="U52" i="10"/>
  <c r="V52" i="10"/>
  <c r="V32" i="10"/>
  <c r="U32" i="10"/>
  <c r="U26" i="10"/>
  <c r="V26" i="10"/>
  <c r="V46" i="10"/>
  <c r="U46" i="10"/>
  <c r="U75" i="10"/>
  <c r="V75" i="10"/>
  <c r="U91" i="10"/>
  <c r="V91" i="10"/>
  <c r="V59" i="10"/>
  <c r="U59" i="10"/>
  <c r="U65" i="10"/>
  <c r="V65" i="10"/>
  <c r="V199" i="10"/>
  <c r="U199" i="10"/>
  <c r="U81" i="10"/>
  <c r="V81" i="10"/>
  <c r="U97" i="10"/>
  <c r="V97" i="10"/>
  <c r="V113" i="10"/>
  <c r="U113" i="10"/>
  <c r="V129" i="10"/>
  <c r="U129" i="10"/>
  <c r="V145" i="10"/>
  <c r="U145" i="10"/>
  <c r="V161" i="10"/>
  <c r="U161" i="10"/>
  <c r="V175" i="10"/>
  <c r="U175" i="10"/>
  <c r="V191" i="10"/>
  <c r="U191" i="10"/>
  <c r="V224" i="10"/>
  <c r="U224" i="10"/>
  <c r="V240" i="10"/>
  <c r="U240" i="10"/>
  <c r="U249" i="10"/>
  <c r="V249" i="10"/>
  <c r="U257" i="10"/>
  <c r="V257" i="10"/>
  <c r="U265" i="10"/>
  <c r="V265" i="10"/>
  <c r="U273" i="10"/>
  <c r="V273" i="10"/>
  <c r="U281" i="10"/>
  <c r="V281" i="10"/>
  <c r="U289" i="10"/>
  <c r="V289" i="10"/>
  <c r="U297" i="10"/>
  <c r="V297" i="10"/>
  <c r="V320" i="10"/>
  <c r="U320" i="10"/>
  <c r="V336" i="10"/>
  <c r="U336" i="10"/>
  <c r="V352" i="10"/>
  <c r="U352" i="10"/>
  <c r="U111" i="10"/>
  <c r="V111" i="10"/>
  <c r="U127" i="10"/>
  <c r="V127" i="10"/>
  <c r="U143" i="10"/>
  <c r="V143" i="10"/>
  <c r="U159" i="10"/>
  <c r="V159" i="10"/>
  <c r="V219" i="10"/>
  <c r="U219" i="10"/>
  <c r="V235" i="10"/>
  <c r="U235" i="10"/>
  <c r="U380" i="10"/>
  <c r="V380" i="10"/>
  <c r="V315" i="10"/>
  <c r="U315" i="10"/>
  <c r="V331" i="10"/>
  <c r="U331" i="10"/>
  <c r="V347" i="10"/>
  <c r="U347" i="10"/>
  <c r="U384" i="10"/>
  <c r="V384" i="10"/>
  <c r="U376" i="10"/>
  <c r="V376" i="10"/>
  <c r="U362" i="10"/>
  <c r="V362" i="10"/>
  <c r="V379" i="10"/>
  <c r="U379" i="10"/>
  <c r="U398" i="10"/>
  <c r="V398" i="10"/>
  <c r="U414" i="10"/>
  <c r="V414" i="10"/>
  <c r="U430" i="10"/>
  <c r="V430" i="10"/>
  <c r="V451" i="10"/>
  <c r="U451" i="10"/>
  <c r="U374" i="10"/>
  <c r="V374" i="10"/>
  <c r="U392" i="10"/>
  <c r="V392" i="10"/>
  <c r="U408" i="10"/>
  <c r="V408" i="10"/>
  <c r="U424" i="10"/>
  <c r="V424" i="10"/>
  <c r="V458" i="10"/>
  <c r="U458" i="10"/>
  <c r="U445" i="10"/>
  <c r="V445" i="10"/>
  <c r="V478" i="10"/>
  <c r="U478" i="10"/>
  <c r="V446" i="10"/>
  <c r="U446" i="10"/>
  <c r="U523" i="10"/>
  <c r="V523" i="10"/>
  <c r="U500" i="10"/>
  <c r="V500" i="10"/>
  <c r="V517" i="10"/>
  <c r="U517" i="10"/>
  <c r="V531" i="10"/>
  <c r="U531" i="10"/>
  <c r="U533" i="10"/>
  <c r="V533" i="10"/>
  <c r="V553" i="10"/>
  <c r="U553" i="10"/>
  <c r="V556" i="10"/>
  <c r="U556" i="10"/>
  <c r="V509" i="10"/>
  <c r="U509" i="10"/>
  <c r="V373" i="10"/>
  <c r="U373" i="10"/>
  <c r="V108" i="10"/>
  <c r="U108" i="10"/>
  <c r="V84" i="10"/>
  <c r="U84" i="10"/>
  <c r="V122" i="10"/>
  <c r="U122" i="10"/>
  <c r="V56" i="10"/>
  <c r="U56" i="10"/>
  <c r="V530" i="10"/>
  <c r="U530" i="10"/>
  <c r="V477" i="10"/>
  <c r="U477" i="10"/>
  <c r="U346" i="10"/>
  <c r="V346" i="10"/>
  <c r="U321" i="10"/>
  <c r="V321" i="10"/>
  <c r="U270" i="10"/>
  <c r="V270" i="10"/>
  <c r="V198" i="10"/>
  <c r="U198" i="10"/>
  <c r="V226" i="10"/>
  <c r="U226" i="10"/>
  <c r="V71" i="10"/>
  <c r="U71" i="10"/>
  <c r="V518" i="10"/>
  <c r="U518" i="10"/>
  <c r="V475" i="10"/>
  <c r="U475" i="10"/>
  <c r="V542" i="10"/>
  <c r="U542" i="10"/>
  <c r="V463" i="10"/>
  <c r="U463" i="10"/>
  <c r="V427" i="10"/>
  <c r="U427" i="10"/>
  <c r="U237" i="10"/>
  <c r="V237" i="10"/>
  <c r="U181" i="10"/>
  <c r="V181" i="10"/>
  <c r="V276" i="10"/>
  <c r="U276" i="10"/>
  <c r="V19" i="10"/>
  <c r="U19" i="10"/>
  <c r="V178" i="10"/>
  <c r="U178" i="10"/>
  <c r="V27" i="10"/>
  <c r="U27" i="10"/>
  <c r="V434" i="10"/>
  <c r="U434" i="10"/>
  <c r="U514" i="10"/>
  <c r="V514" i="10"/>
  <c r="V479" i="10"/>
  <c r="U479" i="10"/>
  <c r="V423" i="10"/>
  <c r="U423" i="10"/>
  <c r="U318" i="10"/>
  <c r="V318" i="10"/>
  <c r="U349" i="10"/>
  <c r="V349" i="10"/>
  <c r="U201" i="10"/>
  <c r="V201" i="10"/>
  <c r="V72" i="10"/>
  <c r="U72" i="10"/>
  <c r="U64" i="10"/>
  <c r="V64" i="10"/>
  <c r="V20" i="10"/>
  <c r="U20" i="10"/>
  <c r="V36" i="10"/>
  <c r="U36" i="10"/>
  <c r="U99" i="10"/>
  <c r="V99" i="10"/>
  <c r="U60" i="10"/>
  <c r="V60" i="10"/>
  <c r="U89" i="10"/>
  <c r="V89" i="10"/>
  <c r="V137" i="10"/>
  <c r="U137" i="10"/>
  <c r="V153" i="10"/>
  <c r="U153" i="10"/>
  <c r="V216" i="10"/>
  <c r="U216" i="10"/>
  <c r="V232" i="10"/>
  <c r="U232" i="10"/>
  <c r="U261" i="10"/>
  <c r="V261" i="10"/>
  <c r="U285" i="10"/>
  <c r="V285" i="10"/>
  <c r="U293" i="10"/>
  <c r="V293" i="10"/>
  <c r="V344" i="10"/>
  <c r="U344" i="10"/>
  <c r="U103" i="10"/>
  <c r="V103" i="10"/>
  <c r="U151" i="10"/>
  <c r="V151" i="10"/>
  <c r="V243" i="10"/>
  <c r="U243" i="10"/>
  <c r="U303" i="10"/>
  <c r="V303" i="10"/>
  <c r="V355" i="10"/>
  <c r="U355" i="10"/>
  <c r="U364" i="10"/>
  <c r="V364" i="10"/>
  <c r="U390" i="10"/>
  <c r="V390" i="10"/>
  <c r="V443" i="10"/>
  <c r="U443" i="10"/>
  <c r="V470" i="10"/>
  <c r="U470" i="10"/>
  <c r="U416" i="10"/>
  <c r="V416" i="10"/>
  <c r="V438" i="10"/>
  <c r="U438" i="10"/>
  <c r="U486" i="10"/>
  <c r="V486" i="10"/>
  <c r="V493" i="10"/>
  <c r="U493" i="10"/>
  <c r="V525" i="10"/>
  <c r="U525" i="10"/>
  <c r="V557" i="10"/>
  <c r="U557" i="10"/>
  <c r="U539" i="10"/>
  <c r="V539" i="10"/>
  <c r="V455" i="10"/>
  <c r="U455" i="10"/>
  <c r="V425" i="10"/>
  <c r="U425" i="10"/>
  <c r="U197" i="10"/>
  <c r="V197" i="10"/>
  <c r="V116" i="10"/>
  <c r="U116" i="10"/>
  <c r="V296" i="10"/>
  <c r="U296" i="10"/>
  <c r="V264" i="10"/>
  <c r="U264" i="10"/>
  <c r="V214" i="10"/>
  <c r="U214" i="10"/>
  <c r="U22" i="10"/>
  <c r="V22" i="10"/>
  <c r="V182" i="10"/>
  <c r="U182" i="10"/>
  <c r="V138" i="10"/>
  <c r="U138" i="10"/>
  <c r="V74" i="10"/>
  <c r="U74" i="10"/>
  <c r="V30" i="10"/>
  <c r="U30" i="10"/>
  <c r="V524" i="10"/>
  <c r="U524" i="10"/>
  <c r="V534" i="10"/>
  <c r="U534" i="10"/>
  <c r="U495" i="10"/>
  <c r="V495" i="10"/>
  <c r="V459" i="10"/>
  <c r="U459" i="10"/>
  <c r="V421" i="10"/>
  <c r="U421" i="10"/>
  <c r="U354" i="10"/>
  <c r="V354" i="10"/>
  <c r="U322" i="10"/>
  <c r="V322" i="10"/>
  <c r="V369" i="10"/>
  <c r="U369" i="10"/>
  <c r="U329" i="10"/>
  <c r="V329" i="10"/>
  <c r="U286" i="10"/>
  <c r="V286" i="10"/>
  <c r="U225" i="10"/>
  <c r="V225" i="10"/>
  <c r="U185" i="10"/>
  <c r="V185" i="10"/>
  <c r="V206" i="10"/>
  <c r="U206" i="10"/>
  <c r="V242" i="10"/>
  <c r="U242" i="10"/>
  <c r="V80" i="10"/>
  <c r="U80" i="10"/>
  <c r="U28" i="10"/>
  <c r="V28" i="10"/>
  <c r="V102" i="10"/>
  <c r="U102" i="10"/>
  <c r="U50" i="10"/>
  <c r="V50" i="10"/>
  <c r="U62" i="10"/>
  <c r="V62" i="10"/>
  <c r="U519" i="10"/>
  <c r="V519" i="10"/>
  <c r="U490" i="10"/>
  <c r="V490" i="10"/>
  <c r="V365" i="10"/>
  <c r="U365" i="10"/>
  <c r="V176" i="10"/>
  <c r="U176" i="10"/>
  <c r="V550" i="10"/>
  <c r="U550" i="10"/>
  <c r="V526" i="10"/>
  <c r="U526" i="10"/>
  <c r="U484" i="10"/>
  <c r="V484" i="10"/>
  <c r="U464" i="10"/>
  <c r="V464" i="10"/>
  <c r="V431" i="10"/>
  <c r="U431" i="10"/>
  <c r="V471" i="10"/>
  <c r="U471" i="10"/>
  <c r="V306" i="10"/>
  <c r="U306" i="10"/>
  <c r="V377" i="10"/>
  <c r="U377" i="10"/>
  <c r="V304" i="10"/>
  <c r="U304" i="10"/>
  <c r="V140" i="10"/>
  <c r="U140" i="10"/>
  <c r="V104" i="10"/>
  <c r="U104" i="10"/>
  <c r="V284" i="10"/>
  <c r="U284" i="10"/>
  <c r="V252" i="10"/>
  <c r="U252" i="10"/>
  <c r="V76" i="10"/>
  <c r="U76" i="10"/>
  <c r="U43" i="10"/>
  <c r="V43" i="10"/>
  <c r="V186" i="10"/>
  <c r="U186" i="10"/>
  <c r="V146" i="10"/>
  <c r="U146" i="10"/>
  <c r="V98" i="10"/>
  <c r="U98" i="10"/>
  <c r="V34" i="10"/>
  <c r="U34" i="10"/>
  <c r="U456" i="10"/>
  <c r="V456" i="10"/>
  <c r="U266" i="10"/>
  <c r="V266" i="10"/>
  <c r="V148" i="10"/>
  <c r="U148" i="10"/>
  <c r="U543" i="10"/>
  <c r="V543" i="10"/>
  <c r="V520" i="10"/>
  <c r="U520" i="10"/>
  <c r="V485" i="10"/>
  <c r="U485" i="10"/>
  <c r="U502" i="10"/>
  <c r="V502" i="10"/>
  <c r="V457" i="10"/>
  <c r="U457" i="10"/>
  <c r="V461" i="10"/>
  <c r="U461" i="10"/>
  <c r="U358" i="10"/>
  <c r="V358" i="10"/>
  <c r="U326" i="10"/>
  <c r="V326" i="10"/>
  <c r="U357" i="10"/>
  <c r="V357" i="10"/>
  <c r="U325" i="10"/>
  <c r="V325" i="10"/>
  <c r="U278" i="10"/>
  <c r="V278" i="10"/>
  <c r="U217" i="10"/>
  <c r="V217" i="10"/>
  <c r="V160" i="10"/>
  <c r="U160" i="10"/>
  <c r="V172" i="10"/>
  <c r="U172" i="10"/>
  <c r="V88" i="10"/>
  <c r="U88" i="10"/>
  <c r="V23" i="10"/>
  <c r="U23" i="10"/>
  <c r="V142" i="10"/>
  <c r="U142" i="10"/>
  <c r="V94" i="10"/>
  <c r="U94" i="10"/>
  <c r="V29" i="10"/>
  <c r="U29" i="10"/>
  <c r="V55" i="10"/>
  <c r="U55" i="10"/>
  <c r="U79" i="10"/>
  <c r="V79" i="10"/>
  <c r="U95" i="10"/>
  <c r="V95" i="10"/>
  <c r="V195" i="10"/>
  <c r="U195" i="10"/>
  <c r="U85" i="10"/>
  <c r="V85" i="10"/>
  <c r="V101" i="10"/>
  <c r="U101" i="10"/>
  <c r="V117" i="10"/>
  <c r="U117" i="10"/>
  <c r="V133" i="10"/>
  <c r="U133" i="10"/>
  <c r="V149" i="10"/>
  <c r="U149" i="10"/>
  <c r="U301" i="10"/>
  <c r="V301" i="10"/>
  <c r="V179" i="10"/>
  <c r="U179" i="10"/>
  <c r="V212" i="10"/>
  <c r="U212" i="10"/>
  <c r="V228" i="10"/>
  <c r="U228" i="10"/>
  <c r="V244" i="10"/>
  <c r="U244" i="10"/>
  <c r="U251" i="10"/>
  <c r="V251" i="10"/>
  <c r="U259" i="10"/>
  <c r="V259" i="10"/>
  <c r="U267" i="10"/>
  <c r="V267" i="10"/>
  <c r="U275" i="10"/>
  <c r="V275" i="10"/>
  <c r="U283" i="10"/>
  <c r="V283" i="10"/>
  <c r="U291" i="10"/>
  <c r="V291" i="10"/>
  <c r="V308" i="10"/>
  <c r="U308" i="10"/>
  <c r="V324" i="10"/>
  <c r="U324" i="10"/>
  <c r="V340" i="10"/>
  <c r="U340" i="10"/>
  <c r="V356" i="10"/>
  <c r="U356" i="10"/>
  <c r="U115" i="10"/>
  <c r="V115" i="10"/>
  <c r="U131" i="10"/>
  <c r="V131" i="10"/>
  <c r="U147" i="10"/>
  <c r="V147" i="10"/>
  <c r="U163" i="10"/>
  <c r="V163" i="10"/>
  <c r="V223" i="10"/>
  <c r="U223" i="10"/>
  <c r="V239" i="10"/>
  <c r="U239" i="10"/>
  <c r="U299" i="10"/>
  <c r="V299" i="10"/>
  <c r="V319" i="10"/>
  <c r="U319" i="10"/>
  <c r="V335" i="10"/>
  <c r="U335" i="10"/>
  <c r="V351" i="10"/>
  <c r="U351" i="10"/>
  <c r="U360" i="10"/>
  <c r="V360" i="10"/>
  <c r="U433" i="10"/>
  <c r="V433" i="10"/>
  <c r="U366" i="10"/>
  <c r="V366" i="10"/>
  <c r="V383" i="10"/>
  <c r="U383" i="10"/>
  <c r="U402" i="10"/>
  <c r="V402" i="10"/>
  <c r="U418" i="10"/>
  <c r="V418" i="10"/>
  <c r="V439" i="10"/>
  <c r="U439" i="10"/>
  <c r="U386" i="10"/>
  <c r="V386" i="10"/>
  <c r="V378" i="10"/>
  <c r="U378" i="10"/>
  <c r="U396" i="10"/>
  <c r="V396" i="10"/>
  <c r="U412" i="10"/>
  <c r="V412" i="10"/>
  <c r="U428" i="10"/>
  <c r="V428" i="10"/>
  <c r="V462" i="10"/>
  <c r="U462" i="10"/>
  <c r="U449" i="10"/>
  <c r="V449" i="10"/>
  <c r="V482" i="10"/>
  <c r="U482" i="10"/>
  <c r="V450" i="10"/>
  <c r="U450" i="10"/>
  <c r="U488" i="10"/>
  <c r="V488" i="10"/>
  <c r="V504" i="10"/>
  <c r="U504" i="10"/>
  <c r="V521" i="10"/>
  <c r="U521" i="10"/>
  <c r="U535" i="10"/>
  <c r="V535" i="10"/>
  <c r="V537" i="10"/>
  <c r="U537" i="10"/>
  <c r="U547" i="10"/>
  <c r="V547" i="10"/>
  <c r="V560" i="10"/>
  <c r="U560" i="10"/>
  <c r="F232" i="2"/>
  <c r="B186" i="2"/>
  <c r="B17" i="5"/>
  <c r="B45" i="5" s="1"/>
  <c r="B46" i="5" s="1"/>
  <c r="B180" i="2"/>
  <c r="H18" i="1"/>
  <c r="H19" i="1"/>
  <c r="B80" i="2"/>
  <c r="B88" i="2"/>
  <c r="B84" i="2"/>
  <c r="B75" i="2"/>
  <c r="H23" i="1" s="1"/>
  <c r="U7" i="5"/>
  <c r="B291" i="2"/>
  <c r="S17" i="4"/>
  <c r="AW17" i="4" s="1"/>
  <c r="S22" i="4"/>
  <c r="AW22" i="4" s="1"/>
  <c r="S25" i="4"/>
  <c r="AW25" i="4" s="1"/>
  <c r="S30" i="4"/>
  <c r="AW30" i="4" s="1"/>
  <c r="S33" i="4"/>
  <c r="AW33" i="4" s="1"/>
  <c r="S38" i="4"/>
  <c r="AW38" i="4" s="1"/>
  <c r="S41" i="4"/>
  <c r="AW41" i="4" s="1"/>
  <c r="S43" i="4"/>
  <c r="AW43" i="4" s="1"/>
  <c r="S45" i="4"/>
  <c r="AW45" i="4" s="1"/>
  <c r="S47" i="4"/>
  <c r="AW47" i="4" s="1"/>
  <c r="S49" i="4"/>
  <c r="AW49" i="4" s="1"/>
  <c r="S51" i="4"/>
  <c r="AW51" i="4" s="1"/>
  <c r="S53" i="4"/>
  <c r="AW53" i="4" s="1"/>
  <c r="S55" i="4"/>
  <c r="AW55" i="4" s="1"/>
  <c r="S57" i="4"/>
  <c r="AW57" i="4" s="1"/>
  <c r="S59" i="4"/>
  <c r="AW59" i="4" s="1"/>
  <c r="S61" i="4"/>
  <c r="AW61" i="4" s="1"/>
  <c r="S63" i="4"/>
  <c r="AW63" i="4" s="1"/>
  <c r="S65" i="4"/>
  <c r="AW65" i="4" s="1"/>
  <c r="S67" i="4"/>
  <c r="AW67" i="4" s="1"/>
  <c r="S69" i="4"/>
  <c r="AW69" i="4" s="1"/>
  <c r="S71" i="4"/>
  <c r="AW71" i="4" s="1"/>
  <c r="S73" i="4"/>
  <c r="AW73" i="4" s="1"/>
  <c r="S75" i="4"/>
  <c r="AW75" i="4" s="1"/>
  <c r="S77" i="4"/>
  <c r="AW77" i="4" s="1"/>
  <c r="S79" i="4"/>
  <c r="AW79" i="4" s="1"/>
  <c r="S81" i="4"/>
  <c r="AW81" i="4" s="1"/>
  <c r="S83" i="4"/>
  <c r="AW83" i="4" s="1"/>
  <c r="S85" i="4"/>
  <c r="AW85" i="4" s="1"/>
  <c r="S87" i="4"/>
  <c r="AW87" i="4" s="1"/>
  <c r="S89" i="4"/>
  <c r="AW89" i="4" s="1"/>
  <c r="S91" i="4"/>
  <c r="AW91" i="4" s="1"/>
  <c r="S93" i="4"/>
  <c r="AW93" i="4" s="1"/>
  <c r="S95" i="4"/>
  <c r="AW95" i="4" s="1"/>
  <c r="S97" i="4"/>
  <c r="AW97" i="4" s="1"/>
  <c r="S99" i="4"/>
  <c r="AW99" i="4" s="1"/>
  <c r="S101" i="4"/>
  <c r="AW101" i="4" s="1"/>
  <c r="S103" i="4"/>
  <c r="AW103" i="4" s="1"/>
  <c r="S105" i="4"/>
  <c r="AW105" i="4" s="1"/>
  <c r="S107" i="4"/>
  <c r="AW107" i="4" s="1"/>
  <c r="S109" i="4"/>
  <c r="AW109" i="4" s="1"/>
  <c r="S111" i="4"/>
  <c r="AW111" i="4" s="1"/>
  <c r="S113" i="4"/>
  <c r="AW113" i="4" s="1"/>
  <c r="S115" i="4"/>
  <c r="AW115" i="4" s="1"/>
  <c r="S117" i="4"/>
  <c r="AW117" i="4" s="1"/>
  <c r="S119" i="4"/>
  <c r="AW119" i="4" s="1"/>
  <c r="S121" i="4"/>
  <c r="AW121" i="4" s="1"/>
  <c r="S123" i="4"/>
  <c r="AW123" i="4" s="1"/>
  <c r="S125" i="4"/>
  <c r="AW125" i="4" s="1"/>
  <c r="S127" i="4"/>
  <c r="AW127" i="4" s="1"/>
  <c r="S129" i="4"/>
  <c r="AW129" i="4" s="1"/>
  <c r="S131" i="4"/>
  <c r="AW131" i="4" s="1"/>
  <c r="S133" i="4"/>
  <c r="AW133" i="4" s="1"/>
  <c r="S135" i="4"/>
  <c r="AW135" i="4" s="1"/>
  <c r="S137" i="4"/>
  <c r="AW137" i="4" s="1"/>
  <c r="S139" i="4"/>
  <c r="AW139" i="4" s="1"/>
  <c r="S141" i="4"/>
  <c r="AW141" i="4" s="1"/>
  <c r="S143" i="4"/>
  <c r="AW143" i="4" s="1"/>
  <c r="S145" i="4"/>
  <c r="AW145" i="4" s="1"/>
  <c r="S147" i="4"/>
  <c r="AW147" i="4" s="1"/>
  <c r="S149" i="4"/>
  <c r="AW149" i="4" s="1"/>
  <c r="S151" i="4"/>
  <c r="AW151" i="4" s="1"/>
  <c r="S153" i="4"/>
  <c r="AW153" i="4" s="1"/>
  <c r="S155" i="4"/>
  <c r="AW155" i="4" s="1"/>
  <c r="S157" i="4"/>
  <c r="AW157" i="4" s="1"/>
  <c r="S9" i="4"/>
  <c r="AW9" i="4" s="1"/>
  <c r="S11" i="4"/>
  <c r="AW11" i="4" s="1"/>
  <c r="S13" i="4"/>
  <c r="AW13" i="4" s="1"/>
  <c r="S19" i="4"/>
  <c r="AW19" i="4" s="1"/>
  <c r="S23" i="4"/>
  <c r="AW23" i="4" s="1"/>
  <c r="S26" i="4"/>
  <c r="AW26" i="4" s="1"/>
  <c r="S37" i="4"/>
  <c r="AW37" i="4" s="1"/>
  <c r="S40" i="4"/>
  <c r="AW40" i="4" s="1"/>
  <c r="S46" i="4"/>
  <c r="AW46" i="4" s="1"/>
  <c r="S54" i="4"/>
  <c r="AW54" i="4" s="1"/>
  <c r="S62" i="4"/>
  <c r="AW62" i="4" s="1"/>
  <c r="S70" i="4"/>
  <c r="AW70" i="4" s="1"/>
  <c r="S78" i="4"/>
  <c r="AW78" i="4" s="1"/>
  <c r="S86" i="4"/>
  <c r="AW86" i="4" s="1"/>
  <c r="S94" i="4"/>
  <c r="AW94" i="4" s="1"/>
  <c r="S102" i="4"/>
  <c r="AW102" i="4" s="1"/>
  <c r="S110" i="4"/>
  <c r="AW110" i="4" s="1"/>
  <c r="S118" i="4"/>
  <c r="AW118" i="4" s="1"/>
  <c r="S126" i="4"/>
  <c r="AW126" i="4" s="1"/>
  <c r="S134" i="4"/>
  <c r="AW134" i="4" s="1"/>
  <c r="S142" i="4"/>
  <c r="AW142" i="4" s="1"/>
  <c r="S150" i="4"/>
  <c r="AW150" i="4" s="1"/>
  <c r="S8" i="4"/>
  <c r="S16" i="4"/>
  <c r="AW16" i="4" s="1"/>
  <c r="S20" i="4"/>
  <c r="AW20" i="4" s="1"/>
  <c r="S27" i="4"/>
  <c r="AW27" i="4" s="1"/>
  <c r="S31" i="4"/>
  <c r="AW31" i="4" s="1"/>
  <c r="S34" i="4"/>
  <c r="AW34" i="4" s="1"/>
  <c r="S44" i="4"/>
  <c r="AW44" i="4" s="1"/>
  <c r="S52" i="4"/>
  <c r="AW52" i="4" s="1"/>
  <c r="S60" i="4"/>
  <c r="AW60" i="4" s="1"/>
  <c r="S68" i="4"/>
  <c r="AW68" i="4" s="1"/>
  <c r="S76" i="4"/>
  <c r="AW76" i="4" s="1"/>
  <c r="S84" i="4"/>
  <c r="AW84" i="4" s="1"/>
  <c r="S92" i="4"/>
  <c r="AW92" i="4" s="1"/>
  <c r="S100" i="4"/>
  <c r="AW100" i="4" s="1"/>
  <c r="S108" i="4"/>
  <c r="AW108" i="4" s="1"/>
  <c r="S116" i="4"/>
  <c r="AW116" i="4" s="1"/>
  <c r="S124" i="4"/>
  <c r="AW124" i="4" s="1"/>
  <c r="S132" i="4"/>
  <c r="AW132" i="4" s="1"/>
  <c r="S140" i="4"/>
  <c r="AW140" i="4" s="1"/>
  <c r="S148" i="4"/>
  <c r="AW148" i="4" s="1"/>
  <c r="S156" i="4"/>
  <c r="AW156" i="4" s="1"/>
  <c r="S14" i="4"/>
  <c r="AW14" i="4" s="1"/>
  <c r="S21" i="4"/>
  <c r="AW21" i="4" s="1"/>
  <c r="S24" i="4"/>
  <c r="AW24" i="4" s="1"/>
  <c r="S28" i="4"/>
  <c r="AW28" i="4" s="1"/>
  <c r="S35" i="4"/>
  <c r="AW35" i="4" s="1"/>
  <c r="S39" i="4"/>
  <c r="AW39" i="4" s="1"/>
  <c r="S42" i="4"/>
  <c r="AW42" i="4" s="1"/>
  <c r="S50" i="4"/>
  <c r="AW50" i="4" s="1"/>
  <c r="S58" i="4"/>
  <c r="AW58" i="4" s="1"/>
  <c r="S66" i="4"/>
  <c r="AW66" i="4" s="1"/>
  <c r="S74" i="4"/>
  <c r="AW74" i="4" s="1"/>
  <c r="S82" i="4"/>
  <c r="AW82" i="4" s="1"/>
  <c r="S90" i="4"/>
  <c r="AW90" i="4" s="1"/>
  <c r="S98" i="4"/>
  <c r="AW98" i="4" s="1"/>
  <c r="S106" i="4"/>
  <c r="AW106" i="4" s="1"/>
  <c r="S114" i="4"/>
  <c r="AW114" i="4" s="1"/>
  <c r="S122" i="4"/>
  <c r="AW122" i="4" s="1"/>
  <c r="S130" i="4"/>
  <c r="AW130" i="4" s="1"/>
  <c r="S138" i="4"/>
  <c r="AW138" i="4" s="1"/>
  <c r="S146" i="4"/>
  <c r="AW146" i="4" s="1"/>
  <c r="S154" i="4"/>
  <c r="AW154" i="4" s="1"/>
  <c r="S12" i="4"/>
  <c r="AW12" i="4" s="1"/>
  <c r="S15" i="4"/>
  <c r="AW15" i="4" s="1"/>
  <c r="S18" i="4"/>
  <c r="AW18" i="4" s="1"/>
  <c r="S29" i="4"/>
  <c r="AW29" i="4" s="1"/>
  <c r="S32" i="4"/>
  <c r="AW32" i="4" s="1"/>
  <c r="S36" i="4"/>
  <c r="AW36" i="4" s="1"/>
  <c r="S48" i="4"/>
  <c r="AW48" i="4" s="1"/>
  <c r="S56" i="4"/>
  <c r="AW56" i="4" s="1"/>
  <c r="S64" i="4"/>
  <c r="AW64" i="4" s="1"/>
  <c r="S72" i="4"/>
  <c r="AW72" i="4" s="1"/>
  <c r="S80" i="4"/>
  <c r="AW80" i="4" s="1"/>
  <c r="S88" i="4"/>
  <c r="AW88" i="4" s="1"/>
  <c r="S96" i="4"/>
  <c r="AW96" i="4" s="1"/>
  <c r="S104" i="4"/>
  <c r="AW104" i="4" s="1"/>
  <c r="S112" i="4"/>
  <c r="AW112" i="4" s="1"/>
  <c r="S120" i="4"/>
  <c r="AW120" i="4" s="1"/>
  <c r="S128" i="4"/>
  <c r="AW128" i="4" s="1"/>
  <c r="S136" i="4"/>
  <c r="AW136" i="4" s="1"/>
  <c r="S144" i="4"/>
  <c r="AW144" i="4" s="1"/>
  <c r="S152" i="4"/>
  <c r="AW152" i="4" s="1"/>
  <c r="S10" i="4"/>
  <c r="AW10" i="4" s="1"/>
  <c r="B16" i="5"/>
  <c r="P15" i="5" s="1"/>
  <c r="S7" i="4"/>
  <c r="O9" i="4"/>
  <c r="V8" i="5"/>
  <c r="T10" i="5"/>
  <c r="V547" i="5"/>
  <c r="U547" i="5"/>
  <c r="V497" i="5"/>
  <c r="U497" i="5"/>
  <c r="V539" i="5"/>
  <c r="U539" i="5"/>
  <c r="V560" i="5"/>
  <c r="U560" i="5"/>
  <c r="U473" i="5"/>
  <c r="V473" i="5"/>
  <c r="U401" i="5"/>
  <c r="V401" i="5"/>
  <c r="U503" i="5"/>
  <c r="V503" i="5"/>
  <c r="U454" i="5"/>
  <c r="V454" i="5"/>
  <c r="V339" i="5"/>
  <c r="U339" i="5"/>
  <c r="U472" i="5"/>
  <c r="V472" i="5"/>
  <c r="V287" i="5"/>
  <c r="U287" i="5"/>
  <c r="V379" i="5"/>
  <c r="U379" i="5"/>
  <c r="U162" i="5"/>
  <c r="V162" i="5"/>
  <c r="U437" i="5"/>
  <c r="V437" i="5"/>
  <c r="U393" i="5"/>
  <c r="V393" i="5"/>
  <c r="U312" i="5"/>
  <c r="V312" i="5"/>
  <c r="V310" i="5"/>
  <c r="U310" i="5"/>
  <c r="U269" i="5"/>
  <c r="V269" i="5"/>
  <c r="V313" i="5"/>
  <c r="U313" i="5"/>
  <c r="U250" i="5"/>
  <c r="V250" i="5"/>
  <c r="U279" i="5"/>
  <c r="V279" i="5"/>
  <c r="U252" i="5"/>
  <c r="V252" i="5"/>
  <c r="U221" i="5"/>
  <c r="V221" i="5"/>
  <c r="U222" i="5"/>
  <c r="V222" i="5"/>
  <c r="V239" i="5"/>
  <c r="U239" i="5"/>
  <c r="V188" i="5"/>
  <c r="U188" i="5"/>
  <c r="V183" i="5"/>
  <c r="U183" i="5"/>
  <c r="V169" i="5"/>
  <c r="U169" i="5"/>
  <c r="V134" i="5"/>
  <c r="U134" i="5"/>
  <c r="V151" i="5"/>
  <c r="U151" i="5"/>
  <c r="U155" i="5"/>
  <c r="V155" i="5"/>
  <c r="U91" i="5"/>
  <c r="V91" i="5"/>
  <c r="U98" i="5"/>
  <c r="V98" i="5"/>
  <c r="V57" i="5"/>
  <c r="U57" i="5"/>
  <c r="U56" i="5"/>
  <c r="V56" i="5"/>
  <c r="U43" i="5"/>
  <c r="V43" i="5"/>
  <c r="V32" i="5"/>
  <c r="U32" i="5"/>
  <c r="U469" i="5"/>
  <c r="V469" i="5"/>
  <c r="U524" i="5"/>
  <c r="V524" i="5"/>
  <c r="V545" i="5"/>
  <c r="U545" i="5"/>
  <c r="V344" i="5"/>
  <c r="U344" i="5"/>
  <c r="U486" i="5"/>
  <c r="V486" i="5"/>
  <c r="U422" i="5"/>
  <c r="V422" i="5"/>
  <c r="U522" i="5"/>
  <c r="V522" i="5"/>
  <c r="U474" i="5"/>
  <c r="V474" i="5"/>
  <c r="U427" i="5"/>
  <c r="V427" i="5"/>
  <c r="V491" i="5"/>
  <c r="U491" i="5"/>
  <c r="U432" i="5"/>
  <c r="V432" i="5"/>
  <c r="V370" i="5"/>
  <c r="U370" i="5"/>
  <c r="U417" i="5"/>
  <c r="V417" i="5"/>
  <c r="U404" i="5"/>
  <c r="V404" i="5"/>
  <c r="U388" i="5"/>
  <c r="V388" i="5"/>
  <c r="V336" i="5"/>
  <c r="U336" i="5"/>
  <c r="U272" i="5"/>
  <c r="V272" i="5"/>
  <c r="V418" i="5"/>
  <c r="U418" i="5"/>
  <c r="U391" i="5"/>
  <c r="V391" i="5"/>
  <c r="V380" i="5"/>
  <c r="U380" i="5"/>
  <c r="V371" i="5"/>
  <c r="U371" i="5"/>
  <c r="V297" i="5"/>
  <c r="U297" i="5"/>
  <c r="U436" i="5"/>
  <c r="V436" i="5"/>
  <c r="U421" i="5"/>
  <c r="V421" i="5"/>
  <c r="U405" i="5"/>
  <c r="V405" i="5"/>
  <c r="V390" i="5"/>
  <c r="U390" i="5"/>
  <c r="V367" i="5"/>
  <c r="U367" i="5"/>
  <c r="U359" i="5"/>
  <c r="V359" i="5"/>
  <c r="V337" i="5"/>
  <c r="U337" i="5"/>
  <c r="V309" i="5"/>
  <c r="U309" i="5"/>
  <c r="U267" i="5"/>
  <c r="V267" i="5"/>
  <c r="U349" i="5"/>
  <c r="V349" i="5"/>
  <c r="U326" i="5"/>
  <c r="V326" i="5"/>
  <c r="U307" i="5"/>
  <c r="V307" i="5"/>
  <c r="V298" i="5"/>
  <c r="U298" i="5"/>
  <c r="V285" i="5"/>
  <c r="U285" i="5"/>
  <c r="U268" i="5"/>
  <c r="V268" i="5"/>
  <c r="U256" i="5"/>
  <c r="V256" i="5"/>
  <c r="U226" i="5"/>
  <c r="V226" i="5"/>
  <c r="U325" i="5"/>
  <c r="V325" i="5"/>
  <c r="V311" i="5"/>
  <c r="U311" i="5"/>
  <c r="V291" i="5"/>
  <c r="U291" i="5"/>
  <c r="U266" i="5"/>
  <c r="V266" i="5"/>
  <c r="U244" i="5"/>
  <c r="V244" i="5"/>
  <c r="V332" i="5"/>
  <c r="U332" i="5"/>
  <c r="U314" i="5"/>
  <c r="V314" i="5"/>
  <c r="U295" i="5"/>
  <c r="V295" i="5"/>
  <c r="U278" i="5"/>
  <c r="V278" i="5"/>
  <c r="U270" i="5"/>
  <c r="V270" i="5"/>
  <c r="V257" i="5"/>
  <c r="U257" i="5"/>
  <c r="U249" i="5"/>
  <c r="V249" i="5"/>
  <c r="V153" i="5"/>
  <c r="U153" i="5"/>
  <c r="U233" i="5"/>
  <c r="V233" i="5"/>
  <c r="U219" i="5"/>
  <c r="V219" i="5"/>
  <c r="U192" i="5"/>
  <c r="V192" i="5"/>
  <c r="U168" i="5"/>
  <c r="V168" i="5"/>
  <c r="U238" i="5"/>
  <c r="V238" i="5"/>
  <c r="U217" i="5"/>
  <c r="V217" i="5"/>
  <c r="U193" i="5"/>
  <c r="V193" i="5"/>
  <c r="U144" i="5"/>
  <c r="V144" i="5"/>
  <c r="U234" i="5"/>
  <c r="V234" i="5"/>
  <c r="U220" i="5"/>
  <c r="V220" i="5"/>
  <c r="U209" i="5"/>
  <c r="V209" i="5"/>
  <c r="U202" i="5"/>
  <c r="V202" i="5"/>
  <c r="U164" i="5"/>
  <c r="V164" i="5"/>
  <c r="U198" i="5"/>
  <c r="V198" i="5"/>
  <c r="V189" i="5"/>
  <c r="U189" i="5"/>
  <c r="V179" i="5"/>
  <c r="U179" i="5"/>
  <c r="U158" i="5"/>
  <c r="V158" i="5"/>
  <c r="U184" i="5"/>
  <c r="V184" i="5"/>
  <c r="U163" i="5"/>
  <c r="V163" i="5"/>
  <c r="V111" i="5"/>
  <c r="U111" i="5"/>
  <c r="U178" i="5"/>
  <c r="V178" i="5"/>
  <c r="U167" i="5"/>
  <c r="V167" i="5"/>
  <c r="V128" i="5"/>
  <c r="U128" i="5"/>
  <c r="U145" i="5"/>
  <c r="V145" i="5"/>
  <c r="U122" i="5"/>
  <c r="V122" i="5"/>
  <c r="V104" i="5"/>
  <c r="U104" i="5"/>
  <c r="U148" i="5"/>
  <c r="V148" i="5"/>
  <c r="U129" i="5"/>
  <c r="V129" i="5"/>
  <c r="U116" i="5"/>
  <c r="V116" i="5"/>
  <c r="U103" i="5"/>
  <c r="V103" i="5"/>
  <c r="U147" i="5"/>
  <c r="V147" i="5"/>
  <c r="U132" i="5"/>
  <c r="V132" i="5"/>
  <c r="U113" i="5"/>
  <c r="V113" i="5"/>
  <c r="U110" i="5"/>
  <c r="V110" i="5"/>
  <c r="U90" i="5"/>
  <c r="V90" i="5"/>
  <c r="U72" i="5"/>
  <c r="V72" i="5"/>
  <c r="U102" i="5"/>
  <c r="V102" i="5"/>
  <c r="U97" i="5"/>
  <c r="V97" i="5"/>
  <c r="V81" i="5"/>
  <c r="U81" i="5"/>
  <c r="U78" i="5"/>
  <c r="V78" i="5"/>
  <c r="U77" i="5"/>
  <c r="V77" i="5"/>
  <c r="U71" i="5"/>
  <c r="V71" i="5"/>
  <c r="V58" i="5"/>
  <c r="U58" i="5"/>
  <c r="U65" i="5"/>
  <c r="V65" i="5"/>
  <c r="U51" i="5"/>
  <c r="V51" i="5"/>
  <c r="U23" i="5"/>
  <c r="V23" i="5"/>
  <c r="U54" i="5"/>
  <c r="V54" i="5"/>
  <c r="U49" i="5"/>
  <c r="V49" i="5"/>
  <c r="U40" i="5"/>
  <c r="V40" i="5"/>
  <c r="U45" i="5"/>
  <c r="V45" i="5"/>
  <c r="U31" i="5"/>
  <c r="V31" i="5"/>
  <c r="U21" i="5"/>
  <c r="V21" i="5"/>
  <c r="U29" i="5"/>
  <c r="V29" i="5"/>
  <c r="U509" i="5"/>
  <c r="V509" i="5"/>
  <c r="U449" i="5"/>
  <c r="V449" i="5"/>
  <c r="U412" i="5"/>
  <c r="V412" i="5"/>
  <c r="V546" i="5"/>
  <c r="U546" i="5"/>
  <c r="V531" i="5"/>
  <c r="U531" i="5"/>
  <c r="U461" i="5"/>
  <c r="V461" i="5"/>
  <c r="U425" i="5"/>
  <c r="V425" i="5"/>
  <c r="U517" i="5"/>
  <c r="V517" i="5"/>
  <c r="U464" i="5"/>
  <c r="V464" i="5"/>
  <c r="U525" i="5"/>
  <c r="V525" i="5"/>
  <c r="V451" i="5"/>
  <c r="U451" i="5"/>
  <c r="U408" i="5"/>
  <c r="V408" i="5"/>
  <c r="U361" i="5"/>
  <c r="V361" i="5"/>
  <c r="V396" i="5"/>
  <c r="U396" i="5"/>
  <c r="V317" i="5"/>
  <c r="U317" i="5"/>
  <c r="U410" i="5"/>
  <c r="V410" i="5"/>
  <c r="U342" i="5"/>
  <c r="V342" i="5"/>
  <c r="U330" i="5"/>
  <c r="V330" i="5"/>
  <c r="U290" i="5"/>
  <c r="V290" i="5"/>
  <c r="U328" i="5"/>
  <c r="V328" i="5"/>
  <c r="V334" i="5"/>
  <c r="U334" i="5"/>
  <c r="V301" i="5"/>
  <c r="U301" i="5"/>
  <c r="U260" i="5"/>
  <c r="V260" i="5"/>
  <c r="V207" i="5"/>
  <c r="U207" i="5"/>
  <c r="V199" i="5"/>
  <c r="U199" i="5"/>
  <c r="V223" i="5"/>
  <c r="U223" i="5"/>
  <c r="U201" i="5"/>
  <c r="V201" i="5"/>
  <c r="V161" i="5"/>
  <c r="U161" i="5"/>
  <c r="U118" i="5"/>
  <c r="V118" i="5"/>
  <c r="U146" i="5"/>
  <c r="V146" i="5"/>
  <c r="U114" i="5"/>
  <c r="V114" i="5"/>
  <c r="U106" i="5"/>
  <c r="V106" i="5"/>
  <c r="V37" i="5"/>
  <c r="U37" i="5"/>
  <c r="U105" i="5"/>
  <c r="V105" i="5"/>
  <c r="V89" i="5"/>
  <c r="U89" i="5"/>
  <c r="U67" i="5"/>
  <c r="V67" i="5"/>
  <c r="U41" i="5"/>
  <c r="V41" i="5"/>
  <c r="U24" i="5"/>
  <c r="V24" i="5"/>
  <c r="U19" i="5"/>
  <c r="V19" i="5"/>
  <c r="V559" i="5"/>
  <c r="U559" i="5"/>
  <c r="V552" i="5"/>
  <c r="U552" i="5"/>
  <c r="U406" i="5"/>
  <c r="V406" i="5"/>
  <c r="U465" i="5"/>
  <c r="V465" i="5"/>
  <c r="U493" i="5"/>
  <c r="V493" i="5"/>
  <c r="U457" i="5"/>
  <c r="V457" i="5"/>
  <c r="V368" i="5"/>
  <c r="U368" i="5"/>
  <c r="U501" i="5"/>
  <c r="V501" i="5"/>
  <c r="U462" i="5"/>
  <c r="V462" i="5"/>
  <c r="V537" i="5"/>
  <c r="U537" i="5"/>
  <c r="U466" i="5"/>
  <c r="V466" i="5"/>
  <c r="V355" i="5"/>
  <c r="U355" i="5"/>
  <c r="V523" i="5"/>
  <c r="U523" i="5"/>
  <c r="U488" i="5"/>
  <c r="V488" i="5"/>
  <c r="U445" i="5"/>
  <c r="V445" i="5"/>
  <c r="V558" i="5"/>
  <c r="U558" i="5"/>
  <c r="U530" i="5"/>
  <c r="V530" i="5"/>
  <c r="U419" i="5"/>
  <c r="V419" i="5"/>
  <c r="V551" i="5"/>
  <c r="U551" i="5"/>
  <c r="U518" i="5"/>
  <c r="V518" i="5"/>
  <c r="U450" i="5"/>
  <c r="V450" i="5"/>
  <c r="U394" i="5"/>
  <c r="V394" i="5"/>
  <c r="V550" i="5"/>
  <c r="U550" i="5"/>
  <c r="V542" i="5"/>
  <c r="U542" i="5"/>
  <c r="U534" i="5"/>
  <c r="V534" i="5"/>
  <c r="U444" i="5"/>
  <c r="V444" i="5"/>
  <c r="V338" i="5"/>
  <c r="U338" i="5"/>
  <c r="V556" i="5"/>
  <c r="U556" i="5"/>
  <c r="U510" i="5"/>
  <c r="V510" i="5"/>
  <c r="U492" i="5"/>
  <c r="V492" i="5"/>
  <c r="U482" i="5"/>
  <c r="V482" i="5"/>
  <c r="U467" i="5"/>
  <c r="V467" i="5"/>
  <c r="U455" i="5"/>
  <c r="V455" i="5"/>
  <c r="V435" i="5"/>
  <c r="U435" i="5"/>
  <c r="V416" i="5"/>
  <c r="U416" i="5"/>
  <c r="U395" i="5"/>
  <c r="V395" i="5"/>
  <c r="U360" i="5"/>
  <c r="V360" i="5"/>
  <c r="U521" i="5"/>
  <c r="V521" i="5"/>
  <c r="U511" i="5"/>
  <c r="V511" i="5"/>
  <c r="U500" i="5"/>
  <c r="V500" i="5"/>
  <c r="V483" i="5"/>
  <c r="U483" i="5"/>
  <c r="V471" i="5"/>
  <c r="U471" i="5"/>
  <c r="U459" i="5"/>
  <c r="V459" i="5"/>
  <c r="U442" i="5"/>
  <c r="V442" i="5"/>
  <c r="U351" i="5"/>
  <c r="V351" i="5"/>
  <c r="U533" i="5"/>
  <c r="V533" i="5"/>
  <c r="V515" i="5"/>
  <c r="U515" i="5"/>
  <c r="U505" i="5"/>
  <c r="V505" i="5"/>
  <c r="V481" i="5"/>
  <c r="U481" i="5"/>
  <c r="U460" i="5"/>
  <c r="V460" i="5"/>
  <c r="U447" i="5"/>
  <c r="V447" i="5"/>
  <c r="U430" i="5"/>
  <c r="V430" i="5"/>
  <c r="U357" i="5"/>
  <c r="V357" i="5"/>
  <c r="U414" i="5"/>
  <c r="V414" i="5"/>
  <c r="U402" i="5"/>
  <c r="V402" i="5"/>
  <c r="V383" i="5"/>
  <c r="U383" i="5"/>
  <c r="U365" i="5"/>
  <c r="V365" i="5"/>
  <c r="U353" i="5"/>
  <c r="V353" i="5"/>
  <c r="U319" i="5"/>
  <c r="V319" i="5"/>
  <c r="U228" i="5"/>
  <c r="V228" i="5"/>
  <c r="U409" i="5"/>
  <c r="V409" i="5"/>
  <c r="V389" i="5"/>
  <c r="U389" i="5"/>
  <c r="V376" i="5"/>
  <c r="U376" i="5"/>
  <c r="U369" i="5"/>
  <c r="V369" i="5"/>
  <c r="U247" i="5"/>
  <c r="V247" i="5"/>
  <c r="U433" i="5"/>
  <c r="V433" i="5"/>
  <c r="U420" i="5"/>
  <c r="V420" i="5"/>
  <c r="U403" i="5"/>
  <c r="V403" i="5"/>
  <c r="U387" i="5"/>
  <c r="V387" i="5"/>
  <c r="U366" i="5"/>
  <c r="V366" i="5"/>
  <c r="U350" i="5"/>
  <c r="V350" i="5"/>
  <c r="V329" i="5"/>
  <c r="U329" i="5"/>
  <c r="U286" i="5"/>
  <c r="V286" i="5"/>
  <c r="U262" i="5"/>
  <c r="V262" i="5"/>
  <c r="V343" i="5"/>
  <c r="U343" i="5"/>
  <c r="V321" i="5"/>
  <c r="U321" i="5"/>
  <c r="V305" i="5"/>
  <c r="U305" i="5"/>
  <c r="V296" i="5"/>
  <c r="U296" i="5"/>
  <c r="V281" i="5"/>
  <c r="U281" i="5"/>
  <c r="U264" i="5"/>
  <c r="V264" i="5"/>
  <c r="U253" i="5"/>
  <c r="V253" i="5"/>
  <c r="U160" i="5"/>
  <c r="V160" i="5"/>
  <c r="U323" i="5"/>
  <c r="V323" i="5"/>
  <c r="U302" i="5"/>
  <c r="V302" i="5"/>
  <c r="V288" i="5"/>
  <c r="U288" i="5"/>
  <c r="U258" i="5"/>
  <c r="V258" i="5"/>
  <c r="U237" i="5"/>
  <c r="V237" i="5"/>
  <c r="V327" i="5"/>
  <c r="U327" i="5"/>
  <c r="V308" i="5"/>
  <c r="U308" i="5"/>
  <c r="V289" i="5"/>
  <c r="U289" i="5"/>
  <c r="U277" i="5"/>
  <c r="V277" i="5"/>
  <c r="U265" i="5"/>
  <c r="V265" i="5"/>
  <c r="U255" i="5"/>
  <c r="V255" i="5"/>
  <c r="U248" i="5"/>
  <c r="V248" i="5"/>
  <c r="U240" i="5"/>
  <c r="V240" i="5"/>
  <c r="U230" i="5"/>
  <c r="V230" i="5"/>
  <c r="U213" i="5"/>
  <c r="V213" i="5"/>
  <c r="U191" i="5"/>
  <c r="V191" i="5"/>
  <c r="V157" i="5"/>
  <c r="U157" i="5"/>
  <c r="U232" i="5"/>
  <c r="V232" i="5"/>
  <c r="U216" i="5"/>
  <c r="V216" i="5"/>
  <c r="U166" i="5"/>
  <c r="V166" i="5"/>
  <c r="U120" i="5"/>
  <c r="V120" i="5"/>
  <c r="V227" i="5"/>
  <c r="U227" i="5"/>
  <c r="U218" i="5"/>
  <c r="V218" i="5"/>
  <c r="U208" i="5"/>
  <c r="V208" i="5"/>
  <c r="U200" i="5"/>
  <c r="V200" i="5"/>
  <c r="U206" i="5"/>
  <c r="V206" i="5"/>
  <c r="U197" i="5"/>
  <c r="V197" i="5"/>
  <c r="V186" i="5"/>
  <c r="U186" i="5"/>
  <c r="V175" i="5"/>
  <c r="U175" i="5"/>
  <c r="U154" i="5"/>
  <c r="V154" i="5"/>
  <c r="U182" i="5"/>
  <c r="V182" i="5"/>
  <c r="U140" i="5"/>
  <c r="V140" i="5"/>
  <c r="V86" i="5"/>
  <c r="U86" i="5"/>
  <c r="V177" i="5"/>
  <c r="U177" i="5"/>
  <c r="V165" i="5"/>
  <c r="U165" i="5"/>
  <c r="U125" i="5"/>
  <c r="V125" i="5"/>
  <c r="V143" i="5"/>
  <c r="U143" i="5"/>
  <c r="U119" i="5"/>
  <c r="V119" i="5"/>
  <c r="U75" i="5"/>
  <c r="V75" i="5"/>
  <c r="U142" i="5"/>
  <c r="V142" i="5"/>
  <c r="U124" i="5"/>
  <c r="V124" i="5"/>
  <c r="V112" i="5"/>
  <c r="U112" i="5"/>
  <c r="U99" i="5"/>
  <c r="V99" i="5"/>
  <c r="U141" i="5"/>
  <c r="V141" i="5"/>
  <c r="V127" i="5"/>
  <c r="U127" i="5"/>
  <c r="U93" i="5"/>
  <c r="V93" i="5"/>
  <c r="U108" i="5"/>
  <c r="V108" i="5"/>
  <c r="U88" i="5"/>
  <c r="V88" i="5"/>
  <c r="U60" i="5"/>
  <c r="V60" i="5"/>
  <c r="U95" i="5"/>
  <c r="V95" i="5"/>
  <c r="U96" i="5"/>
  <c r="V96" i="5"/>
  <c r="U25" i="5"/>
  <c r="V25" i="5"/>
  <c r="V73" i="5"/>
  <c r="U73" i="5"/>
  <c r="U74" i="5"/>
  <c r="V74" i="5"/>
  <c r="U68" i="5"/>
  <c r="V68" i="5"/>
  <c r="V55" i="5"/>
  <c r="U55" i="5"/>
  <c r="U62" i="5"/>
  <c r="V62" i="5"/>
  <c r="U50" i="5"/>
  <c r="V50" i="5"/>
  <c r="U20" i="5"/>
  <c r="V20" i="5"/>
  <c r="U53" i="5"/>
  <c r="V53" i="5"/>
  <c r="U48" i="5"/>
  <c r="V48" i="5"/>
  <c r="U36" i="5"/>
  <c r="V36" i="5"/>
  <c r="U42" i="5"/>
  <c r="V42" i="5"/>
  <c r="V27" i="5"/>
  <c r="U27" i="5"/>
  <c r="U46" i="5"/>
  <c r="V46" i="5"/>
  <c r="V28" i="5"/>
  <c r="U28" i="5"/>
  <c r="V476" i="5"/>
  <c r="U476" i="5"/>
  <c r="U397" i="5"/>
  <c r="V397" i="5"/>
  <c r="V553" i="5"/>
  <c r="U553" i="5"/>
  <c r="U527" i="5"/>
  <c r="V527" i="5"/>
  <c r="V541" i="5"/>
  <c r="U541" i="5"/>
  <c r="U484" i="5"/>
  <c r="V484" i="5"/>
  <c r="U346" i="5"/>
  <c r="V346" i="5"/>
  <c r="U495" i="5"/>
  <c r="V495" i="5"/>
  <c r="V487" i="5"/>
  <c r="U487" i="5"/>
  <c r="U446" i="5"/>
  <c r="V446" i="5"/>
  <c r="V374" i="5"/>
  <c r="U374" i="5"/>
  <c r="U333" i="5"/>
  <c r="V333" i="5"/>
  <c r="U496" i="5"/>
  <c r="V496" i="5"/>
  <c r="U475" i="5"/>
  <c r="V475" i="5"/>
  <c r="U431" i="5"/>
  <c r="V431" i="5"/>
  <c r="U508" i="5"/>
  <c r="V508" i="5"/>
  <c r="V494" i="5"/>
  <c r="U494" i="5"/>
  <c r="V441" i="5"/>
  <c r="U441" i="5"/>
  <c r="U384" i="5"/>
  <c r="V384" i="5"/>
  <c r="U392" i="5"/>
  <c r="V392" i="5"/>
  <c r="V340" i="5"/>
  <c r="U340" i="5"/>
  <c r="U275" i="5"/>
  <c r="V275" i="5"/>
  <c r="U385" i="5"/>
  <c r="V385" i="5"/>
  <c r="U372" i="5"/>
  <c r="V372" i="5"/>
  <c r="U424" i="5"/>
  <c r="V424" i="5"/>
  <c r="V378" i="5"/>
  <c r="U378" i="5"/>
  <c r="V362" i="5"/>
  <c r="U362" i="5"/>
  <c r="U280" i="5"/>
  <c r="V280" i="5"/>
  <c r="U354" i="5"/>
  <c r="V354" i="5"/>
  <c r="V300" i="5"/>
  <c r="U300" i="5"/>
  <c r="U259" i="5"/>
  <c r="V259" i="5"/>
  <c r="U231" i="5"/>
  <c r="V231" i="5"/>
  <c r="V292" i="5"/>
  <c r="U292" i="5"/>
  <c r="U276" i="5"/>
  <c r="V276" i="5"/>
  <c r="V318" i="5"/>
  <c r="U318" i="5"/>
  <c r="V273" i="5"/>
  <c r="U273" i="5"/>
  <c r="U176" i="5"/>
  <c r="V176" i="5"/>
  <c r="U235" i="5"/>
  <c r="V235" i="5"/>
  <c r="V174" i="5"/>
  <c r="U174" i="5"/>
  <c r="U242" i="5"/>
  <c r="V242" i="5"/>
  <c r="U150" i="5"/>
  <c r="V150" i="5"/>
  <c r="U211" i="5"/>
  <c r="V211" i="5"/>
  <c r="U203" i="5"/>
  <c r="V203" i="5"/>
  <c r="U190" i="5"/>
  <c r="V190" i="5"/>
  <c r="U79" i="5"/>
  <c r="V79" i="5"/>
  <c r="V181" i="5"/>
  <c r="U181" i="5"/>
  <c r="V171" i="5"/>
  <c r="U171" i="5"/>
  <c r="U130" i="5"/>
  <c r="V130" i="5"/>
  <c r="U131" i="5"/>
  <c r="V131" i="5"/>
  <c r="U117" i="5"/>
  <c r="V117" i="5"/>
  <c r="U136" i="5"/>
  <c r="V136" i="5"/>
  <c r="U121" i="5"/>
  <c r="V121" i="5"/>
  <c r="U83" i="5"/>
  <c r="V83" i="5"/>
  <c r="U82" i="5"/>
  <c r="V82" i="5"/>
  <c r="U76" i="5"/>
  <c r="V76" i="5"/>
  <c r="V63" i="5"/>
  <c r="U63" i="5"/>
  <c r="U30" i="5"/>
  <c r="V30" i="5"/>
  <c r="U64" i="5"/>
  <c r="V64" i="5"/>
  <c r="U22" i="5"/>
  <c r="V22" i="5"/>
  <c r="V38" i="5"/>
  <c r="U38" i="5"/>
  <c r="U502" i="5"/>
  <c r="V502" i="5"/>
  <c r="V535" i="5"/>
  <c r="U535" i="5"/>
  <c r="U440" i="5"/>
  <c r="V440" i="5"/>
  <c r="U490" i="5"/>
  <c r="V490" i="5"/>
  <c r="V554" i="5"/>
  <c r="U554" i="5"/>
  <c r="U536" i="5"/>
  <c r="V536" i="5"/>
  <c r="V557" i="5"/>
  <c r="U557" i="5"/>
  <c r="U526" i="5"/>
  <c r="V526" i="5"/>
  <c r="U470" i="5"/>
  <c r="V470" i="5"/>
  <c r="U439" i="5"/>
  <c r="V439" i="5"/>
  <c r="U398" i="5"/>
  <c r="V398" i="5"/>
  <c r="U512" i="5"/>
  <c r="V512" i="5"/>
  <c r="U485" i="5"/>
  <c r="V485" i="5"/>
  <c r="U453" i="5"/>
  <c r="V453" i="5"/>
  <c r="U516" i="5"/>
  <c r="V516" i="5"/>
  <c r="V507" i="5"/>
  <c r="U507" i="5"/>
  <c r="U448" i="5"/>
  <c r="V448" i="5"/>
  <c r="V373" i="5"/>
  <c r="U373" i="5"/>
  <c r="U520" i="5"/>
  <c r="V520" i="5"/>
  <c r="U479" i="5"/>
  <c r="V479" i="5"/>
  <c r="U423" i="5"/>
  <c r="V423" i="5"/>
  <c r="V549" i="5"/>
  <c r="U549" i="5"/>
  <c r="U528" i="5"/>
  <c r="V528" i="5"/>
  <c r="V555" i="5"/>
  <c r="U555" i="5"/>
  <c r="V543" i="5"/>
  <c r="U543" i="5"/>
  <c r="U514" i="5"/>
  <c r="V514" i="5"/>
  <c r="U426" i="5"/>
  <c r="V426" i="5"/>
  <c r="V544" i="5"/>
  <c r="U544" i="5"/>
  <c r="V548" i="5"/>
  <c r="U548" i="5"/>
  <c r="V540" i="5"/>
  <c r="U540" i="5"/>
  <c r="V529" i="5"/>
  <c r="U529" i="5"/>
  <c r="U352" i="5"/>
  <c r="V352" i="5"/>
  <c r="V304" i="5"/>
  <c r="U304" i="5"/>
  <c r="V538" i="5"/>
  <c r="U538" i="5"/>
  <c r="U506" i="5"/>
  <c r="V506" i="5"/>
  <c r="V489" i="5"/>
  <c r="U489" i="5"/>
  <c r="U477" i="5"/>
  <c r="V477" i="5"/>
  <c r="U463" i="5"/>
  <c r="V463" i="5"/>
  <c r="U452" i="5"/>
  <c r="V452" i="5"/>
  <c r="U434" i="5"/>
  <c r="V434" i="5"/>
  <c r="U413" i="5"/>
  <c r="V413" i="5"/>
  <c r="U377" i="5"/>
  <c r="V377" i="5"/>
  <c r="U358" i="5"/>
  <c r="V358" i="5"/>
  <c r="U519" i="5"/>
  <c r="V519" i="5"/>
  <c r="U504" i="5"/>
  <c r="V504" i="5"/>
  <c r="U498" i="5"/>
  <c r="V498" i="5"/>
  <c r="U480" i="5"/>
  <c r="V480" i="5"/>
  <c r="U468" i="5"/>
  <c r="V468" i="5"/>
  <c r="V456" i="5"/>
  <c r="U456" i="5"/>
  <c r="U438" i="5"/>
  <c r="V438" i="5"/>
  <c r="U347" i="5"/>
  <c r="V347" i="5"/>
  <c r="U532" i="5"/>
  <c r="V532" i="5"/>
  <c r="V513" i="5"/>
  <c r="U513" i="5"/>
  <c r="V499" i="5"/>
  <c r="U499" i="5"/>
  <c r="U478" i="5"/>
  <c r="V478" i="5"/>
  <c r="U458" i="5"/>
  <c r="V458" i="5"/>
  <c r="U443" i="5"/>
  <c r="V443" i="5"/>
  <c r="V428" i="5"/>
  <c r="U428" i="5"/>
  <c r="U324" i="5"/>
  <c r="V324" i="5"/>
  <c r="U411" i="5"/>
  <c r="V411" i="5"/>
  <c r="U399" i="5"/>
  <c r="V399" i="5"/>
  <c r="V382" i="5"/>
  <c r="U382" i="5"/>
  <c r="U363" i="5"/>
  <c r="V363" i="5"/>
  <c r="V348" i="5"/>
  <c r="U348" i="5"/>
  <c r="V294" i="5"/>
  <c r="U294" i="5"/>
  <c r="U195" i="5"/>
  <c r="V195" i="5"/>
  <c r="V407" i="5"/>
  <c r="U407" i="5"/>
  <c r="V386" i="5"/>
  <c r="U386" i="5"/>
  <c r="U375" i="5"/>
  <c r="V375" i="5"/>
  <c r="U341" i="5"/>
  <c r="V341" i="5"/>
  <c r="U214" i="5"/>
  <c r="V214" i="5"/>
  <c r="V429" i="5"/>
  <c r="U429" i="5"/>
  <c r="V415" i="5"/>
  <c r="U415" i="5"/>
  <c r="U400" i="5"/>
  <c r="V400" i="5"/>
  <c r="V381" i="5"/>
  <c r="U381" i="5"/>
  <c r="V364" i="5"/>
  <c r="U364" i="5"/>
  <c r="U345" i="5"/>
  <c r="V345" i="5"/>
  <c r="V315" i="5"/>
  <c r="U315" i="5"/>
  <c r="V283" i="5"/>
  <c r="U283" i="5"/>
  <c r="V356" i="5"/>
  <c r="U356" i="5"/>
  <c r="U335" i="5"/>
  <c r="V335" i="5"/>
  <c r="V320" i="5"/>
  <c r="U320" i="5"/>
  <c r="V303" i="5"/>
  <c r="U303" i="5"/>
  <c r="V293" i="5"/>
  <c r="U293" i="5"/>
  <c r="U271" i="5"/>
  <c r="V271" i="5"/>
  <c r="U261" i="5"/>
  <c r="V261" i="5"/>
  <c r="U246" i="5"/>
  <c r="V246" i="5"/>
  <c r="U331" i="5"/>
  <c r="V331" i="5"/>
  <c r="V316" i="5"/>
  <c r="U316" i="5"/>
  <c r="V299" i="5"/>
  <c r="U299" i="5"/>
  <c r="V284" i="5"/>
  <c r="U284" i="5"/>
  <c r="U251" i="5"/>
  <c r="V251" i="5"/>
  <c r="U135" i="5"/>
  <c r="V135" i="5"/>
  <c r="V322" i="5"/>
  <c r="U322" i="5"/>
  <c r="V306" i="5"/>
  <c r="U306" i="5"/>
  <c r="V282" i="5"/>
  <c r="U282" i="5"/>
  <c r="U274" i="5"/>
  <c r="V274" i="5"/>
  <c r="V263" i="5"/>
  <c r="U263" i="5"/>
  <c r="U254" i="5"/>
  <c r="V254" i="5"/>
  <c r="U241" i="5"/>
  <c r="V241" i="5"/>
  <c r="U236" i="5"/>
  <c r="V236" i="5"/>
  <c r="U225" i="5"/>
  <c r="V225" i="5"/>
  <c r="U210" i="5"/>
  <c r="V210" i="5"/>
  <c r="U180" i="5"/>
  <c r="V180" i="5"/>
  <c r="U243" i="5"/>
  <c r="V243" i="5"/>
  <c r="U229" i="5"/>
  <c r="V229" i="5"/>
  <c r="U212" i="5"/>
  <c r="V212" i="5"/>
  <c r="V159" i="5"/>
  <c r="U159" i="5"/>
  <c r="U245" i="5"/>
  <c r="V245" i="5"/>
  <c r="U224" i="5"/>
  <c r="V224" i="5"/>
  <c r="V215" i="5"/>
  <c r="U215" i="5"/>
  <c r="U205" i="5"/>
  <c r="V205" i="5"/>
  <c r="U196" i="5"/>
  <c r="V196" i="5"/>
  <c r="U204" i="5"/>
  <c r="V204" i="5"/>
  <c r="U194" i="5"/>
  <c r="V194" i="5"/>
  <c r="V185" i="5"/>
  <c r="U185" i="5"/>
  <c r="U172" i="5"/>
  <c r="V172" i="5"/>
  <c r="U100" i="5"/>
  <c r="V100" i="5"/>
  <c r="U170" i="5"/>
  <c r="V170" i="5"/>
  <c r="U133" i="5"/>
  <c r="V133" i="5"/>
  <c r="U187" i="5"/>
  <c r="V187" i="5"/>
  <c r="V173" i="5"/>
  <c r="U173" i="5"/>
  <c r="V149" i="5"/>
  <c r="U149" i="5"/>
  <c r="U152" i="5"/>
  <c r="V152" i="5"/>
  <c r="U138" i="5"/>
  <c r="V138" i="5"/>
  <c r="U115" i="5"/>
  <c r="V115" i="5"/>
  <c r="V156" i="5"/>
  <c r="U156" i="5"/>
  <c r="V137" i="5"/>
  <c r="U137" i="5"/>
  <c r="U123" i="5"/>
  <c r="V123" i="5"/>
  <c r="U109" i="5"/>
  <c r="V109" i="5"/>
  <c r="U84" i="5"/>
  <c r="V84" i="5"/>
  <c r="U139" i="5"/>
  <c r="V139" i="5"/>
  <c r="U126" i="5"/>
  <c r="V126" i="5"/>
  <c r="U87" i="5"/>
  <c r="V87" i="5"/>
  <c r="U101" i="5"/>
  <c r="V101" i="5"/>
  <c r="U85" i="5"/>
  <c r="V85" i="5"/>
  <c r="U107" i="5"/>
  <c r="V107" i="5"/>
  <c r="U69" i="5"/>
  <c r="V69" i="5"/>
  <c r="U94" i="5"/>
  <c r="V94" i="5"/>
  <c r="U92" i="5"/>
  <c r="V92" i="5"/>
  <c r="V61" i="5"/>
  <c r="U61" i="5"/>
  <c r="U80" i="5"/>
  <c r="V80" i="5"/>
  <c r="U66" i="5"/>
  <c r="V66" i="5"/>
  <c r="V35" i="5"/>
  <c r="U35" i="5"/>
  <c r="V59" i="5"/>
  <c r="U59" i="5"/>
  <c r="U33" i="5"/>
  <c r="V33" i="5"/>
  <c r="U70" i="5"/>
  <c r="V70" i="5"/>
  <c r="U52" i="5"/>
  <c r="V52" i="5"/>
  <c r="U47" i="5"/>
  <c r="V47" i="5"/>
  <c r="U34" i="5"/>
  <c r="V34" i="5"/>
  <c r="U39" i="5"/>
  <c r="V39" i="5"/>
  <c r="V26" i="5"/>
  <c r="U26" i="5"/>
  <c r="V44" i="5"/>
  <c r="U44" i="5"/>
  <c r="B89" i="2"/>
  <c r="B85" i="2"/>
  <c r="B81" i="2"/>
  <c r="B64" i="5" l="1"/>
  <c r="B69" i="5"/>
  <c r="B241" i="2"/>
  <c r="AU15" i="4"/>
  <c r="AV15" i="4" s="1"/>
  <c r="AX15" i="4"/>
  <c r="AY15" i="4" s="1"/>
  <c r="AU36" i="4"/>
  <c r="AV36" i="4" s="1"/>
  <c r="AX36" i="4"/>
  <c r="AY36" i="4" s="1"/>
  <c r="AX92" i="4"/>
  <c r="AY92" i="4" s="1"/>
  <c r="AU92" i="4"/>
  <c r="AV92" i="4" s="1"/>
  <c r="AU156" i="4"/>
  <c r="AV156" i="4" s="1"/>
  <c r="AX156" i="4"/>
  <c r="AY156" i="4" s="1"/>
  <c r="AX87" i="4"/>
  <c r="AY87" i="4" s="1"/>
  <c r="AU87" i="4"/>
  <c r="AV87" i="4" s="1"/>
  <c r="AU151" i="4"/>
  <c r="AV151" i="4" s="1"/>
  <c r="AX151" i="4"/>
  <c r="AY151" i="4" s="1"/>
  <c r="AU85" i="4"/>
  <c r="AV85" i="4" s="1"/>
  <c r="AX85" i="4"/>
  <c r="AY85" i="4" s="1"/>
  <c r="AX149" i="4"/>
  <c r="AY149" i="4" s="1"/>
  <c r="AU149" i="4"/>
  <c r="AV149" i="4" s="1"/>
  <c r="AU78" i="4"/>
  <c r="AV78" i="4" s="1"/>
  <c r="AX78" i="4"/>
  <c r="AY78" i="4" s="1"/>
  <c r="AU142" i="4"/>
  <c r="AV142" i="4" s="1"/>
  <c r="AX142" i="4"/>
  <c r="AY142" i="4" s="1"/>
  <c r="AU14" i="4"/>
  <c r="AV14" i="4" s="1"/>
  <c r="AX14" i="4"/>
  <c r="AY14" i="4" s="1"/>
  <c r="AX157" i="4"/>
  <c r="AY157" i="4" s="1"/>
  <c r="AU157" i="4"/>
  <c r="AV157" i="4" s="1"/>
  <c r="AU25" i="4"/>
  <c r="AV25" i="4" s="1"/>
  <c r="AX25" i="4"/>
  <c r="AY25" i="4" s="1"/>
  <c r="AU49" i="4"/>
  <c r="AV49" i="4" s="1"/>
  <c r="AX49" i="4"/>
  <c r="AY49" i="4" s="1"/>
  <c r="AX113" i="4"/>
  <c r="AY113" i="4" s="1"/>
  <c r="AU113" i="4"/>
  <c r="AV113" i="4" s="1"/>
  <c r="AX42" i="4"/>
  <c r="AY42" i="4" s="1"/>
  <c r="AU42" i="4"/>
  <c r="AV42" i="4" s="1"/>
  <c r="AX106" i="4"/>
  <c r="AY106" i="4" s="1"/>
  <c r="AU106" i="4"/>
  <c r="AV106" i="4" s="1"/>
  <c r="AX32" i="4"/>
  <c r="AY32" i="4" s="1"/>
  <c r="AU32" i="4"/>
  <c r="AV32" i="4" s="1"/>
  <c r="AU104" i="4"/>
  <c r="AV104" i="4" s="1"/>
  <c r="AX104" i="4"/>
  <c r="AY104" i="4" s="1"/>
  <c r="AX26" i="4"/>
  <c r="AY26" i="4" s="1"/>
  <c r="AU26" i="4"/>
  <c r="AV26" i="4" s="1"/>
  <c r="AU99" i="4"/>
  <c r="AV99" i="4" s="1"/>
  <c r="AX99" i="4"/>
  <c r="AY99" i="4" s="1"/>
  <c r="AX13" i="4"/>
  <c r="AY13" i="4" s="1"/>
  <c r="AU13" i="4"/>
  <c r="AV13" i="4" s="1"/>
  <c r="AU68" i="4"/>
  <c r="AV68" i="4" s="1"/>
  <c r="AX68" i="4"/>
  <c r="AY68" i="4" s="1"/>
  <c r="AX45" i="4"/>
  <c r="AY45" i="4" s="1"/>
  <c r="AU45" i="4"/>
  <c r="AV45" i="4" s="1"/>
  <c r="AX21" i="4"/>
  <c r="AY21" i="4" s="1"/>
  <c r="AU21" i="4"/>
  <c r="AV21" i="4" s="1"/>
  <c r="AX34" i="4"/>
  <c r="AY34" i="4" s="1"/>
  <c r="AU34" i="4"/>
  <c r="AV34" i="4" s="1"/>
  <c r="AX105" i="4"/>
  <c r="AY105" i="4" s="1"/>
  <c r="AU105" i="4"/>
  <c r="AV105" i="4" s="1"/>
  <c r="AX24" i="4"/>
  <c r="AY24" i="4" s="1"/>
  <c r="AU24" i="4"/>
  <c r="AV24" i="4" s="1"/>
  <c r="AX98" i="4"/>
  <c r="AY98" i="4" s="1"/>
  <c r="AU98" i="4"/>
  <c r="AV98" i="4" s="1"/>
  <c r="AU12" i="4"/>
  <c r="AV12" i="4" s="1"/>
  <c r="AX12" i="4"/>
  <c r="AY12" i="4" s="1"/>
  <c r="AU96" i="4"/>
  <c r="AV96" i="4" s="1"/>
  <c r="AX96" i="4"/>
  <c r="AY96" i="4" s="1"/>
  <c r="AX10" i="4"/>
  <c r="AY10" i="4" s="1"/>
  <c r="AU10" i="4"/>
  <c r="AV10" i="4" s="1"/>
  <c r="AU91" i="4"/>
  <c r="AV91" i="4" s="1"/>
  <c r="AX91" i="4"/>
  <c r="AY91" i="4" s="1"/>
  <c r="AX155" i="4"/>
  <c r="AY155" i="4" s="1"/>
  <c r="AU155" i="4"/>
  <c r="AV155" i="4" s="1"/>
  <c r="AX84" i="4"/>
  <c r="AY84" i="4" s="1"/>
  <c r="AU84" i="4"/>
  <c r="AV84" i="4" s="1"/>
  <c r="AX79" i="4"/>
  <c r="AY79" i="4" s="1"/>
  <c r="AU79" i="4"/>
  <c r="AV79" i="4" s="1"/>
  <c r="AU77" i="4"/>
  <c r="AV77" i="4" s="1"/>
  <c r="AX77" i="4"/>
  <c r="AY77" i="4" s="1"/>
  <c r="AU70" i="4"/>
  <c r="AV70" i="4" s="1"/>
  <c r="AX70" i="4"/>
  <c r="AY70" i="4" s="1"/>
  <c r="AU23" i="4"/>
  <c r="AV23" i="4" s="1"/>
  <c r="AX23" i="4"/>
  <c r="AY23" i="4" s="1"/>
  <c r="AU44" i="4"/>
  <c r="AV44" i="4" s="1"/>
  <c r="AX44" i="4"/>
  <c r="AY44" i="4" s="1"/>
  <c r="AX108" i="4"/>
  <c r="AY108" i="4" s="1"/>
  <c r="AU108" i="4"/>
  <c r="AV108" i="4" s="1"/>
  <c r="AU38" i="4"/>
  <c r="AV38" i="4" s="1"/>
  <c r="AX38" i="4"/>
  <c r="AY38" i="4" s="1"/>
  <c r="AX103" i="4"/>
  <c r="AY103" i="4" s="1"/>
  <c r="AU103" i="4"/>
  <c r="AV103" i="4" s="1"/>
  <c r="AX18" i="4"/>
  <c r="AY18" i="4" s="1"/>
  <c r="AU18" i="4"/>
  <c r="AV18" i="4" s="1"/>
  <c r="AU101" i="4"/>
  <c r="AV101" i="4" s="1"/>
  <c r="AX101" i="4"/>
  <c r="AY101" i="4" s="1"/>
  <c r="AU22" i="4"/>
  <c r="AV22" i="4" s="1"/>
  <c r="AX22" i="4"/>
  <c r="AY22" i="4" s="1"/>
  <c r="AU94" i="4"/>
  <c r="AV94" i="4" s="1"/>
  <c r="AX94" i="4"/>
  <c r="AY94" i="4" s="1"/>
  <c r="AU8" i="4"/>
  <c r="AX8" i="4"/>
  <c r="AX95" i="4"/>
  <c r="AY95" i="4" s="1"/>
  <c r="AU95" i="4"/>
  <c r="AV95" i="4" s="1"/>
  <c r="AU86" i="4"/>
  <c r="AV86" i="4" s="1"/>
  <c r="AX86" i="4"/>
  <c r="AY86" i="4" s="1"/>
  <c r="AU33" i="4"/>
  <c r="AV33" i="4" s="1"/>
  <c r="AX33" i="4"/>
  <c r="AY33" i="4" s="1"/>
  <c r="AU65" i="4"/>
  <c r="AV65" i="4" s="1"/>
  <c r="AX65" i="4"/>
  <c r="AY65" i="4" s="1"/>
  <c r="AX129" i="4"/>
  <c r="AY129" i="4" s="1"/>
  <c r="AU129" i="4"/>
  <c r="AV129" i="4" s="1"/>
  <c r="AX58" i="4"/>
  <c r="AY58" i="4" s="1"/>
  <c r="AU58" i="4"/>
  <c r="AV58" i="4" s="1"/>
  <c r="AX122" i="4"/>
  <c r="AY122" i="4" s="1"/>
  <c r="AU122" i="4"/>
  <c r="AV122" i="4" s="1"/>
  <c r="AX56" i="4"/>
  <c r="AY56" i="4" s="1"/>
  <c r="AU56" i="4"/>
  <c r="AV56" i="4" s="1"/>
  <c r="AU120" i="4"/>
  <c r="AV120" i="4" s="1"/>
  <c r="AX120" i="4"/>
  <c r="AY120" i="4" s="1"/>
  <c r="AU51" i="4"/>
  <c r="AV51" i="4" s="1"/>
  <c r="AX51" i="4"/>
  <c r="AY51" i="4" s="1"/>
  <c r="AU115" i="4"/>
  <c r="AV115" i="4" s="1"/>
  <c r="AX115" i="4"/>
  <c r="AY115" i="4" s="1"/>
  <c r="AX132" i="4"/>
  <c r="AY132" i="4" s="1"/>
  <c r="AU132" i="4"/>
  <c r="AV132" i="4" s="1"/>
  <c r="AU109" i="4"/>
  <c r="AV109" i="4" s="1"/>
  <c r="AX109" i="4"/>
  <c r="AY109" i="4" s="1"/>
  <c r="AX29" i="4"/>
  <c r="AY29" i="4" s="1"/>
  <c r="AU29" i="4"/>
  <c r="AV29" i="4" s="1"/>
  <c r="AU57" i="4"/>
  <c r="AV57" i="4" s="1"/>
  <c r="AX57" i="4"/>
  <c r="AY57" i="4" s="1"/>
  <c r="AX121" i="4"/>
  <c r="AY121" i="4" s="1"/>
  <c r="AU121" i="4"/>
  <c r="AV121" i="4" s="1"/>
  <c r="AX50" i="4"/>
  <c r="AY50" i="4" s="1"/>
  <c r="AU50" i="4"/>
  <c r="AV50" i="4" s="1"/>
  <c r="AX114" i="4"/>
  <c r="AY114" i="4" s="1"/>
  <c r="AU114" i="4"/>
  <c r="AV114" i="4" s="1"/>
  <c r="AX48" i="4"/>
  <c r="AY48" i="4" s="1"/>
  <c r="AU48" i="4"/>
  <c r="AV48" i="4" s="1"/>
  <c r="AU112" i="4"/>
  <c r="AV112" i="4" s="1"/>
  <c r="AX112" i="4"/>
  <c r="AY112" i="4" s="1"/>
  <c r="AU43" i="4"/>
  <c r="AV43" i="4" s="1"/>
  <c r="AX43" i="4"/>
  <c r="AY43" i="4" s="1"/>
  <c r="AU107" i="4"/>
  <c r="AV107" i="4" s="1"/>
  <c r="AX107" i="4"/>
  <c r="AY107" i="4" s="1"/>
  <c r="AU27" i="4"/>
  <c r="AV27" i="4" s="1"/>
  <c r="AX27" i="4"/>
  <c r="AY27" i="4" s="1"/>
  <c r="AX116" i="4"/>
  <c r="AY116" i="4" s="1"/>
  <c r="AU116" i="4"/>
  <c r="AV116" i="4" s="1"/>
  <c r="AX127" i="4"/>
  <c r="AY127" i="4" s="1"/>
  <c r="AU127" i="4"/>
  <c r="AV127" i="4" s="1"/>
  <c r="AU125" i="4"/>
  <c r="AV125" i="4" s="1"/>
  <c r="AX125" i="4"/>
  <c r="AY125" i="4" s="1"/>
  <c r="AU118" i="4"/>
  <c r="AV118" i="4" s="1"/>
  <c r="AX118" i="4"/>
  <c r="AY118" i="4" s="1"/>
  <c r="AU31" i="4"/>
  <c r="AV31" i="4" s="1"/>
  <c r="AX31" i="4"/>
  <c r="AY31" i="4" s="1"/>
  <c r="AU60" i="4"/>
  <c r="AV60" i="4" s="1"/>
  <c r="AX60" i="4"/>
  <c r="AY60" i="4" s="1"/>
  <c r="AX124" i="4"/>
  <c r="AY124" i="4" s="1"/>
  <c r="AU124" i="4"/>
  <c r="AV124" i="4" s="1"/>
  <c r="AU55" i="4"/>
  <c r="AV55" i="4" s="1"/>
  <c r="AX55" i="4"/>
  <c r="AY55" i="4" s="1"/>
  <c r="AX119" i="4"/>
  <c r="AY119" i="4" s="1"/>
  <c r="AU119" i="4"/>
  <c r="AV119" i="4" s="1"/>
  <c r="AX53" i="4"/>
  <c r="AY53" i="4" s="1"/>
  <c r="AU53" i="4"/>
  <c r="AV53" i="4" s="1"/>
  <c r="AU117" i="4"/>
  <c r="AV117" i="4" s="1"/>
  <c r="AX117" i="4"/>
  <c r="AY117" i="4" s="1"/>
  <c r="AU46" i="4"/>
  <c r="AV46" i="4" s="1"/>
  <c r="AX46" i="4"/>
  <c r="AY46" i="4" s="1"/>
  <c r="AU110" i="4"/>
  <c r="AV110" i="4" s="1"/>
  <c r="AX110" i="4"/>
  <c r="AY110" i="4" s="1"/>
  <c r="AU30" i="4"/>
  <c r="AV30" i="4" s="1"/>
  <c r="AX30" i="4"/>
  <c r="AY30" i="4" s="1"/>
  <c r="AU9" i="4"/>
  <c r="AV9" i="4" s="1"/>
  <c r="AX9" i="4"/>
  <c r="AY9" i="4" s="1"/>
  <c r="AU150" i="4"/>
  <c r="AV150" i="4" s="1"/>
  <c r="AX150" i="4"/>
  <c r="AY150" i="4" s="1"/>
  <c r="AU41" i="4"/>
  <c r="AV41" i="4" s="1"/>
  <c r="AX41" i="4"/>
  <c r="AY41" i="4" s="1"/>
  <c r="AX81" i="4"/>
  <c r="AY81" i="4" s="1"/>
  <c r="AU81" i="4"/>
  <c r="AV81" i="4" s="1"/>
  <c r="AU145" i="4"/>
  <c r="AV145" i="4" s="1"/>
  <c r="AX145" i="4"/>
  <c r="AY145" i="4" s="1"/>
  <c r="AX74" i="4"/>
  <c r="AY74" i="4" s="1"/>
  <c r="AU74" i="4"/>
  <c r="AV74" i="4" s="1"/>
  <c r="AX138" i="4"/>
  <c r="AY138" i="4" s="1"/>
  <c r="AU138" i="4"/>
  <c r="AV138" i="4" s="1"/>
  <c r="AU72" i="4"/>
  <c r="AV72" i="4" s="1"/>
  <c r="AX72" i="4"/>
  <c r="AY72" i="4" s="1"/>
  <c r="AU136" i="4"/>
  <c r="AV136" i="4" s="1"/>
  <c r="AX136" i="4"/>
  <c r="AY136" i="4" s="1"/>
  <c r="AU67" i="4"/>
  <c r="AV67" i="4" s="1"/>
  <c r="AX67" i="4"/>
  <c r="AY67" i="4" s="1"/>
  <c r="AU131" i="4"/>
  <c r="AV131" i="4" s="1"/>
  <c r="AX131" i="4"/>
  <c r="AY131" i="4" s="1"/>
  <c r="AU19" i="4"/>
  <c r="AV19" i="4" s="1"/>
  <c r="AX19" i="4"/>
  <c r="AY19" i="4" s="1"/>
  <c r="AU47" i="4"/>
  <c r="AV47" i="4" s="1"/>
  <c r="AX47" i="4"/>
  <c r="AY47" i="4" s="1"/>
  <c r="AX40" i="4"/>
  <c r="AY40" i="4" s="1"/>
  <c r="AU40" i="4"/>
  <c r="AV40" i="4" s="1"/>
  <c r="AX37" i="4"/>
  <c r="AY37" i="4" s="1"/>
  <c r="AU37" i="4"/>
  <c r="AV37" i="4" s="1"/>
  <c r="AX73" i="4"/>
  <c r="AY73" i="4" s="1"/>
  <c r="AU73" i="4"/>
  <c r="AV73" i="4" s="1"/>
  <c r="AX137" i="4"/>
  <c r="AY137" i="4" s="1"/>
  <c r="AU137" i="4"/>
  <c r="AV137" i="4" s="1"/>
  <c r="AX66" i="4"/>
  <c r="AY66" i="4" s="1"/>
  <c r="AU66" i="4"/>
  <c r="AV66" i="4" s="1"/>
  <c r="AX130" i="4"/>
  <c r="AY130" i="4" s="1"/>
  <c r="AU130" i="4"/>
  <c r="AV130" i="4" s="1"/>
  <c r="AX64" i="4"/>
  <c r="AY64" i="4" s="1"/>
  <c r="AU64" i="4"/>
  <c r="AV64" i="4" s="1"/>
  <c r="AU128" i="4"/>
  <c r="AV128" i="4" s="1"/>
  <c r="AX128" i="4"/>
  <c r="AY128" i="4" s="1"/>
  <c r="AU59" i="4"/>
  <c r="AV59" i="4" s="1"/>
  <c r="AX59" i="4"/>
  <c r="AY59" i="4" s="1"/>
  <c r="AU123" i="4"/>
  <c r="AV123" i="4" s="1"/>
  <c r="AX123" i="4"/>
  <c r="AY123" i="4" s="1"/>
  <c r="AU20" i="4"/>
  <c r="AV20" i="4" s="1"/>
  <c r="AX20" i="4"/>
  <c r="AY20" i="4" s="1"/>
  <c r="AU148" i="4"/>
  <c r="AV148" i="4" s="1"/>
  <c r="AX148" i="4"/>
  <c r="AY148" i="4" s="1"/>
  <c r="AX143" i="4"/>
  <c r="AY143" i="4" s="1"/>
  <c r="AU143" i="4"/>
  <c r="AV143" i="4" s="1"/>
  <c r="AU141" i="4"/>
  <c r="AV141" i="4" s="1"/>
  <c r="AX141" i="4"/>
  <c r="AY141" i="4" s="1"/>
  <c r="AU134" i="4"/>
  <c r="AV134" i="4" s="1"/>
  <c r="AX134" i="4"/>
  <c r="AY134" i="4" s="1"/>
  <c r="AU39" i="4"/>
  <c r="AV39" i="4" s="1"/>
  <c r="AX39" i="4"/>
  <c r="AY39" i="4" s="1"/>
  <c r="AX76" i="4"/>
  <c r="AY76" i="4" s="1"/>
  <c r="AU76" i="4"/>
  <c r="AV76" i="4" s="1"/>
  <c r="AX140" i="4"/>
  <c r="AY140" i="4" s="1"/>
  <c r="AU140" i="4"/>
  <c r="AV140" i="4" s="1"/>
  <c r="AX71" i="4"/>
  <c r="AY71" i="4" s="1"/>
  <c r="AU71" i="4"/>
  <c r="AV71" i="4" s="1"/>
  <c r="AX135" i="4"/>
  <c r="AY135" i="4" s="1"/>
  <c r="AU135" i="4"/>
  <c r="AV135" i="4" s="1"/>
  <c r="AU69" i="4"/>
  <c r="AV69" i="4" s="1"/>
  <c r="AX69" i="4"/>
  <c r="AY69" i="4" s="1"/>
  <c r="AU133" i="4"/>
  <c r="AV133" i="4" s="1"/>
  <c r="AX133" i="4"/>
  <c r="AY133" i="4" s="1"/>
  <c r="AU62" i="4"/>
  <c r="AV62" i="4" s="1"/>
  <c r="AX62" i="4"/>
  <c r="AY62" i="4" s="1"/>
  <c r="AU126" i="4"/>
  <c r="AV126" i="4" s="1"/>
  <c r="AX126" i="4"/>
  <c r="AY126" i="4" s="1"/>
  <c r="AX100" i="4"/>
  <c r="AY100" i="4" s="1"/>
  <c r="AU100" i="4"/>
  <c r="AV100" i="4" s="1"/>
  <c r="AU93" i="4"/>
  <c r="AV93" i="4" s="1"/>
  <c r="AX93" i="4"/>
  <c r="AY93" i="4" s="1"/>
  <c r="AU17" i="4"/>
  <c r="AV17" i="4" s="1"/>
  <c r="AX17" i="4"/>
  <c r="AY17" i="4" s="1"/>
  <c r="AX16" i="4"/>
  <c r="AY16" i="4" s="1"/>
  <c r="AU16" i="4"/>
  <c r="AV16" i="4" s="1"/>
  <c r="AX97" i="4"/>
  <c r="AY97" i="4" s="1"/>
  <c r="AU97" i="4"/>
  <c r="AV97" i="4" s="1"/>
  <c r="AU11" i="4"/>
  <c r="AV11" i="4" s="1"/>
  <c r="AX11" i="4"/>
  <c r="AY11" i="4" s="1"/>
  <c r="AX90" i="4"/>
  <c r="AY90" i="4" s="1"/>
  <c r="AU90" i="4"/>
  <c r="AV90" i="4" s="1"/>
  <c r="AX154" i="4"/>
  <c r="AY154" i="4" s="1"/>
  <c r="AU154" i="4"/>
  <c r="AV154" i="4" s="1"/>
  <c r="AU88" i="4"/>
  <c r="AV88" i="4" s="1"/>
  <c r="AX88" i="4"/>
  <c r="AY88" i="4" s="1"/>
  <c r="AU152" i="4"/>
  <c r="AV152" i="4" s="1"/>
  <c r="AX152" i="4"/>
  <c r="AY152" i="4" s="1"/>
  <c r="AU83" i="4"/>
  <c r="AV83" i="4" s="1"/>
  <c r="AX83" i="4"/>
  <c r="AY83" i="4" s="1"/>
  <c r="AU147" i="4"/>
  <c r="AV147" i="4" s="1"/>
  <c r="AX147" i="4"/>
  <c r="AY147" i="4" s="1"/>
  <c r="AU35" i="4"/>
  <c r="AV35" i="4" s="1"/>
  <c r="AX35" i="4"/>
  <c r="AY35" i="4" s="1"/>
  <c r="AX111" i="4"/>
  <c r="AY111" i="4" s="1"/>
  <c r="AU111" i="4"/>
  <c r="AV111" i="4" s="1"/>
  <c r="AU102" i="4"/>
  <c r="AV102" i="4" s="1"/>
  <c r="AX102" i="4"/>
  <c r="AY102" i="4" s="1"/>
  <c r="AU28" i="4"/>
  <c r="AV28" i="4" s="1"/>
  <c r="AX28" i="4"/>
  <c r="AY28" i="4" s="1"/>
  <c r="AX89" i="4"/>
  <c r="AY89" i="4" s="1"/>
  <c r="AU89" i="4"/>
  <c r="AV89" i="4" s="1"/>
  <c r="AU153" i="4"/>
  <c r="AV153" i="4" s="1"/>
  <c r="AX153" i="4"/>
  <c r="AY153" i="4" s="1"/>
  <c r="AX82" i="4"/>
  <c r="AY82" i="4" s="1"/>
  <c r="AU82" i="4"/>
  <c r="AV82" i="4" s="1"/>
  <c r="AX146" i="4"/>
  <c r="AY146" i="4" s="1"/>
  <c r="AU146" i="4"/>
  <c r="AV146" i="4" s="1"/>
  <c r="AU80" i="4"/>
  <c r="AV80" i="4" s="1"/>
  <c r="AX80" i="4"/>
  <c r="AY80" i="4" s="1"/>
  <c r="AU144" i="4"/>
  <c r="AV144" i="4" s="1"/>
  <c r="AX144" i="4"/>
  <c r="AY144" i="4" s="1"/>
  <c r="AU75" i="4"/>
  <c r="AV75" i="4" s="1"/>
  <c r="AX75" i="4"/>
  <c r="AY75" i="4" s="1"/>
  <c r="AU139" i="4"/>
  <c r="AV139" i="4" s="1"/>
  <c r="AX139" i="4"/>
  <c r="AY139" i="4" s="1"/>
  <c r="AU52" i="4"/>
  <c r="AV52" i="4" s="1"/>
  <c r="AX52" i="4"/>
  <c r="AY52" i="4" s="1"/>
  <c r="AU63" i="4"/>
  <c r="AV63" i="4" s="1"/>
  <c r="AX63" i="4"/>
  <c r="AY63" i="4" s="1"/>
  <c r="AX61" i="4"/>
  <c r="AY61" i="4" s="1"/>
  <c r="AU61" i="4"/>
  <c r="AV61" i="4" s="1"/>
  <c r="AU54" i="4"/>
  <c r="AV54" i="4" s="1"/>
  <c r="AX54" i="4"/>
  <c r="AY54" i="4" s="1"/>
  <c r="U7" i="4"/>
  <c r="V7" i="4" s="1"/>
  <c r="AI7" i="4"/>
  <c r="BW144" i="4"/>
  <c r="BR144" i="4"/>
  <c r="BT144" i="4" s="1"/>
  <c r="BG144" i="4"/>
  <c r="BR112" i="4"/>
  <c r="BT112" i="4" s="1"/>
  <c r="BG112" i="4"/>
  <c r="BG80" i="4"/>
  <c r="BR80" i="4"/>
  <c r="BT80" i="4" s="1"/>
  <c r="BG48" i="4"/>
  <c r="BR48" i="4"/>
  <c r="BT48" i="4" s="1"/>
  <c r="BG18" i="4"/>
  <c r="BR18" i="4"/>
  <c r="BT18" i="4" s="1"/>
  <c r="BR146" i="4"/>
  <c r="BT146" i="4" s="1"/>
  <c r="BG146" i="4"/>
  <c r="BG114" i="4"/>
  <c r="BR114" i="4"/>
  <c r="BT114" i="4" s="1"/>
  <c r="BG82" i="4"/>
  <c r="BR82" i="4"/>
  <c r="BT82" i="4" s="1"/>
  <c r="BG50" i="4"/>
  <c r="BR50" i="4"/>
  <c r="BT50" i="4" s="1"/>
  <c r="BG28" i="4"/>
  <c r="BR28" i="4"/>
  <c r="BT28" i="4" s="1"/>
  <c r="BG156" i="4"/>
  <c r="BR156" i="4"/>
  <c r="BT156" i="4" s="1"/>
  <c r="BG124" i="4"/>
  <c r="BR124" i="4"/>
  <c r="BT124" i="4" s="1"/>
  <c r="BG92" i="4"/>
  <c r="BR92" i="4"/>
  <c r="BT92" i="4" s="1"/>
  <c r="BR60" i="4"/>
  <c r="BT60" i="4" s="1"/>
  <c r="BG60" i="4"/>
  <c r="BR31" i="4"/>
  <c r="BT31" i="4" s="1"/>
  <c r="BG31" i="4"/>
  <c r="BR126" i="4"/>
  <c r="BT126" i="4" s="1"/>
  <c r="BG126" i="4"/>
  <c r="BR94" i="4"/>
  <c r="BT94" i="4" s="1"/>
  <c r="BG94" i="4"/>
  <c r="BR62" i="4"/>
  <c r="BT62" i="4" s="1"/>
  <c r="BG62" i="4"/>
  <c r="BG37" i="4"/>
  <c r="BR37" i="4"/>
  <c r="BT37" i="4" s="1"/>
  <c r="BR13" i="4"/>
  <c r="BT13" i="4" s="1"/>
  <c r="BG13" i="4"/>
  <c r="BG155" i="4"/>
  <c r="BR155" i="4"/>
  <c r="BT155" i="4" s="1"/>
  <c r="BW147" i="4"/>
  <c r="BG147" i="4"/>
  <c r="BR147" i="4"/>
  <c r="BT147" i="4" s="1"/>
  <c r="BG139" i="4"/>
  <c r="BR139" i="4"/>
  <c r="BT139" i="4" s="1"/>
  <c r="BG131" i="4"/>
  <c r="BR131" i="4"/>
  <c r="BT131" i="4" s="1"/>
  <c r="BG123" i="4"/>
  <c r="BR123" i="4"/>
  <c r="BT123" i="4" s="1"/>
  <c r="BG115" i="4"/>
  <c r="BR115" i="4"/>
  <c r="BT115" i="4" s="1"/>
  <c r="BG107" i="4"/>
  <c r="BR107" i="4"/>
  <c r="BT107" i="4" s="1"/>
  <c r="BG99" i="4"/>
  <c r="BR99" i="4"/>
  <c r="BT99" i="4" s="1"/>
  <c r="BG91" i="4"/>
  <c r="BR91" i="4"/>
  <c r="BT91" i="4" s="1"/>
  <c r="BG83" i="4"/>
  <c r="BR83" i="4"/>
  <c r="BT83" i="4" s="1"/>
  <c r="BG75" i="4"/>
  <c r="BR75" i="4"/>
  <c r="BT75" i="4" s="1"/>
  <c r="BG67" i="4"/>
  <c r="BR67" i="4"/>
  <c r="BT67" i="4" s="1"/>
  <c r="BG59" i="4"/>
  <c r="BR59" i="4"/>
  <c r="BT59" i="4" s="1"/>
  <c r="BG51" i="4"/>
  <c r="BR51" i="4"/>
  <c r="BT51" i="4" s="1"/>
  <c r="BG43" i="4"/>
  <c r="BR43" i="4"/>
  <c r="BT43" i="4" s="1"/>
  <c r="BW30" i="4"/>
  <c r="BG30" i="4"/>
  <c r="BR30" i="4"/>
  <c r="BT30" i="4" s="1"/>
  <c r="BG152" i="4"/>
  <c r="BR152" i="4"/>
  <c r="BT152" i="4" s="1"/>
  <c r="BR120" i="4"/>
  <c r="BT120" i="4" s="1"/>
  <c r="BG120" i="4"/>
  <c r="BR88" i="4"/>
  <c r="BT88" i="4" s="1"/>
  <c r="BG88" i="4"/>
  <c r="BR56" i="4"/>
  <c r="BT56" i="4" s="1"/>
  <c r="BG56" i="4"/>
  <c r="BG29" i="4"/>
  <c r="BR29" i="4"/>
  <c r="BT29" i="4" s="1"/>
  <c r="BG154" i="4"/>
  <c r="BR154" i="4"/>
  <c r="BT154" i="4" s="1"/>
  <c r="BG122" i="4"/>
  <c r="BR122" i="4"/>
  <c r="BT122" i="4" s="1"/>
  <c r="BG90" i="4"/>
  <c r="BR90" i="4"/>
  <c r="BT90" i="4" s="1"/>
  <c r="BG58" i="4"/>
  <c r="BR58" i="4"/>
  <c r="BT58" i="4" s="1"/>
  <c r="BG35" i="4"/>
  <c r="BR35" i="4"/>
  <c r="BT35" i="4" s="1"/>
  <c r="BG14" i="4"/>
  <c r="BR14" i="4"/>
  <c r="BT14" i="4" s="1"/>
  <c r="BG132" i="4"/>
  <c r="BR132" i="4"/>
  <c r="BT132" i="4" s="1"/>
  <c r="BG100" i="4"/>
  <c r="BR100" i="4"/>
  <c r="BT100" i="4" s="1"/>
  <c r="BG68" i="4"/>
  <c r="BR68" i="4"/>
  <c r="BT68" i="4" s="1"/>
  <c r="BR34" i="4"/>
  <c r="BT34" i="4" s="1"/>
  <c r="BG34" i="4"/>
  <c r="BR16" i="4"/>
  <c r="BT16" i="4" s="1"/>
  <c r="BG16" i="4"/>
  <c r="BG134" i="4"/>
  <c r="BR134" i="4"/>
  <c r="BT134" i="4" s="1"/>
  <c r="BG102" i="4"/>
  <c r="BR102" i="4"/>
  <c r="BT102" i="4" s="1"/>
  <c r="BG70" i="4"/>
  <c r="BR70" i="4"/>
  <c r="BT70" i="4" s="1"/>
  <c r="BG40" i="4"/>
  <c r="BR40" i="4"/>
  <c r="BT40" i="4" s="1"/>
  <c r="BG19" i="4"/>
  <c r="BR19" i="4"/>
  <c r="BT19" i="4" s="1"/>
  <c r="BG157" i="4"/>
  <c r="BR157" i="4"/>
  <c r="BT157" i="4" s="1"/>
  <c r="BG149" i="4"/>
  <c r="BR149" i="4"/>
  <c r="BT149" i="4" s="1"/>
  <c r="BG141" i="4"/>
  <c r="BR141" i="4"/>
  <c r="BT141" i="4" s="1"/>
  <c r="BG133" i="4"/>
  <c r="BR133" i="4"/>
  <c r="BT133" i="4" s="1"/>
  <c r="BG125" i="4"/>
  <c r="BR125" i="4"/>
  <c r="BT125" i="4" s="1"/>
  <c r="BG117" i="4"/>
  <c r="BR117" i="4"/>
  <c r="BT117" i="4" s="1"/>
  <c r="BG109" i="4"/>
  <c r="BR109" i="4"/>
  <c r="BT109" i="4" s="1"/>
  <c r="BG101" i="4"/>
  <c r="BR101" i="4"/>
  <c r="BT101" i="4" s="1"/>
  <c r="BG93" i="4"/>
  <c r="BR93" i="4"/>
  <c r="BT93" i="4" s="1"/>
  <c r="BG85" i="4"/>
  <c r="BR85" i="4"/>
  <c r="BT85" i="4" s="1"/>
  <c r="BG77" i="4"/>
  <c r="BR77" i="4"/>
  <c r="BT77" i="4" s="1"/>
  <c r="BR69" i="4"/>
  <c r="BT69" i="4" s="1"/>
  <c r="BG69" i="4"/>
  <c r="BG61" i="4"/>
  <c r="BR61" i="4"/>
  <c r="BT61" i="4" s="1"/>
  <c r="BG53" i="4"/>
  <c r="BR53" i="4"/>
  <c r="BT53" i="4" s="1"/>
  <c r="BG45" i="4"/>
  <c r="BR45" i="4"/>
  <c r="BT45" i="4" s="1"/>
  <c r="BR33" i="4"/>
  <c r="BT33" i="4" s="1"/>
  <c r="BG33" i="4"/>
  <c r="BR17" i="4"/>
  <c r="BT17" i="4" s="1"/>
  <c r="BG17" i="4"/>
  <c r="BG136" i="4"/>
  <c r="BR136" i="4"/>
  <c r="BT136" i="4" s="1"/>
  <c r="BG104" i="4"/>
  <c r="BR104" i="4"/>
  <c r="BT104" i="4" s="1"/>
  <c r="BG72" i="4"/>
  <c r="BR72" i="4"/>
  <c r="BT72" i="4" s="1"/>
  <c r="BG36" i="4"/>
  <c r="BR36" i="4"/>
  <c r="BT36" i="4" s="1"/>
  <c r="BW15" i="4"/>
  <c r="BR15" i="4"/>
  <c r="BT15" i="4" s="1"/>
  <c r="BG15" i="4"/>
  <c r="BR138" i="4"/>
  <c r="BT138" i="4" s="1"/>
  <c r="BG138" i="4"/>
  <c r="BG106" i="4"/>
  <c r="BR106" i="4"/>
  <c r="BT106" i="4" s="1"/>
  <c r="BW74" i="4"/>
  <c r="BR74" i="4"/>
  <c r="BT74" i="4" s="1"/>
  <c r="BG74" i="4"/>
  <c r="BG42" i="4"/>
  <c r="BR42" i="4"/>
  <c r="BT42" i="4" s="1"/>
  <c r="BR24" i="4"/>
  <c r="BT24" i="4" s="1"/>
  <c r="BG24" i="4"/>
  <c r="BR148" i="4"/>
  <c r="BT148" i="4" s="1"/>
  <c r="BG148" i="4"/>
  <c r="BG116" i="4"/>
  <c r="BR116" i="4"/>
  <c r="BT116" i="4" s="1"/>
  <c r="BR84" i="4"/>
  <c r="BT84" i="4" s="1"/>
  <c r="BG84" i="4"/>
  <c r="BG52" i="4"/>
  <c r="BR52" i="4"/>
  <c r="BT52" i="4" s="1"/>
  <c r="BG27" i="4"/>
  <c r="BR27" i="4"/>
  <c r="BT27" i="4" s="1"/>
  <c r="BW150" i="4"/>
  <c r="BG150" i="4"/>
  <c r="BR150" i="4"/>
  <c r="BT150" i="4" s="1"/>
  <c r="BR118" i="4"/>
  <c r="BT118" i="4" s="1"/>
  <c r="BG118" i="4"/>
  <c r="BG86" i="4"/>
  <c r="BR86" i="4"/>
  <c r="BT86" i="4" s="1"/>
  <c r="BR54" i="4"/>
  <c r="BT54" i="4" s="1"/>
  <c r="BG54" i="4"/>
  <c r="BG26" i="4"/>
  <c r="BR26" i="4"/>
  <c r="BT26" i="4" s="1"/>
  <c r="BG11" i="4"/>
  <c r="BR11" i="4"/>
  <c r="BT11" i="4" s="1"/>
  <c r="BG153" i="4"/>
  <c r="BR153" i="4"/>
  <c r="BT153" i="4" s="1"/>
  <c r="BG145" i="4"/>
  <c r="BR145" i="4"/>
  <c r="BT145" i="4" s="1"/>
  <c r="BR137" i="4"/>
  <c r="BT137" i="4" s="1"/>
  <c r="BG137" i="4"/>
  <c r="BG129" i="4"/>
  <c r="BR129" i="4"/>
  <c r="BT129" i="4" s="1"/>
  <c r="BG121" i="4"/>
  <c r="BR121" i="4"/>
  <c r="BT121" i="4" s="1"/>
  <c r="BG113" i="4"/>
  <c r="BR113" i="4"/>
  <c r="BT113" i="4" s="1"/>
  <c r="BR105" i="4"/>
  <c r="BT105" i="4" s="1"/>
  <c r="BG105" i="4"/>
  <c r="BR97" i="4"/>
  <c r="BT97" i="4" s="1"/>
  <c r="BG97" i="4"/>
  <c r="BG89" i="4"/>
  <c r="BR89" i="4"/>
  <c r="BT89" i="4" s="1"/>
  <c r="BG81" i="4"/>
  <c r="BR81" i="4"/>
  <c r="BT81" i="4" s="1"/>
  <c r="BR73" i="4"/>
  <c r="BT73" i="4" s="1"/>
  <c r="BG73" i="4"/>
  <c r="BG65" i="4"/>
  <c r="BR65" i="4"/>
  <c r="BT65" i="4" s="1"/>
  <c r="BG57" i="4"/>
  <c r="BR57" i="4"/>
  <c r="BT57" i="4" s="1"/>
  <c r="BG49" i="4"/>
  <c r="BR49" i="4"/>
  <c r="BT49" i="4" s="1"/>
  <c r="BW41" i="4"/>
  <c r="BR41" i="4"/>
  <c r="BT41" i="4" s="1"/>
  <c r="BG41" i="4"/>
  <c r="BG25" i="4"/>
  <c r="BR25" i="4"/>
  <c r="BT25" i="4" s="1"/>
  <c r="BG10" i="4"/>
  <c r="BR10" i="4"/>
  <c r="BT10" i="4" s="1"/>
  <c r="BG128" i="4"/>
  <c r="BR128" i="4"/>
  <c r="BT128" i="4" s="1"/>
  <c r="BG96" i="4"/>
  <c r="BR96" i="4"/>
  <c r="BT96" i="4" s="1"/>
  <c r="BG64" i="4"/>
  <c r="BR64" i="4"/>
  <c r="BT64" i="4" s="1"/>
  <c r="BR32" i="4"/>
  <c r="BT32" i="4" s="1"/>
  <c r="BG32" i="4"/>
  <c r="BR12" i="4"/>
  <c r="BT12" i="4" s="1"/>
  <c r="BG12" i="4"/>
  <c r="BG130" i="4"/>
  <c r="BR130" i="4"/>
  <c r="BT130" i="4" s="1"/>
  <c r="BR98" i="4"/>
  <c r="BT98" i="4" s="1"/>
  <c r="BG98" i="4"/>
  <c r="BG66" i="4"/>
  <c r="BR66" i="4"/>
  <c r="BT66" i="4" s="1"/>
  <c r="BR39" i="4"/>
  <c r="BT39" i="4" s="1"/>
  <c r="BG39" i="4"/>
  <c r="BG21" i="4"/>
  <c r="BR21" i="4"/>
  <c r="BT21" i="4" s="1"/>
  <c r="BG140" i="4"/>
  <c r="BR140" i="4"/>
  <c r="BT140" i="4" s="1"/>
  <c r="BG108" i="4"/>
  <c r="BR108" i="4"/>
  <c r="BT108" i="4" s="1"/>
  <c r="BG76" i="4"/>
  <c r="BR76" i="4"/>
  <c r="BT76" i="4" s="1"/>
  <c r="BG44" i="4"/>
  <c r="BR44" i="4"/>
  <c r="BT44" i="4" s="1"/>
  <c r="BR20" i="4"/>
  <c r="BT20" i="4" s="1"/>
  <c r="BG20" i="4"/>
  <c r="BG142" i="4"/>
  <c r="BR142" i="4"/>
  <c r="BT142" i="4" s="1"/>
  <c r="BG110" i="4"/>
  <c r="BR110" i="4"/>
  <c r="BT110" i="4" s="1"/>
  <c r="BG78" i="4"/>
  <c r="BR78" i="4"/>
  <c r="BT78" i="4" s="1"/>
  <c r="BG46" i="4"/>
  <c r="BR46" i="4"/>
  <c r="BT46" i="4" s="1"/>
  <c r="BG23" i="4"/>
  <c r="BR23" i="4"/>
  <c r="BT23" i="4" s="1"/>
  <c r="BG9" i="4"/>
  <c r="BR9" i="4"/>
  <c r="BT9" i="4" s="1"/>
  <c r="BG151" i="4"/>
  <c r="BR151" i="4"/>
  <c r="BT151" i="4" s="1"/>
  <c r="BG143" i="4"/>
  <c r="BR143" i="4"/>
  <c r="BT143" i="4" s="1"/>
  <c r="BG135" i="4"/>
  <c r="BR135" i="4"/>
  <c r="BT135" i="4" s="1"/>
  <c r="BG127" i="4"/>
  <c r="BR127" i="4"/>
  <c r="BT127" i="4" s="1"/>
  <c r="BG119" i="4"/>
  <c r="BR119" i="4"/>
  <c r="BT119" i="4" s="1"/>
  <c r="BG111" i="4"/>
  <c r="BR111" i="4"/>
  <c r="BT111" i="4" s="1"/>
  <c r="BG103" i="4"/>
  <c r="BR103" i="4"/>
  <c r="BT103" i="4" s="1"/>
  <c r="BG95" i="4"/>
  <c r="BR95" i="4"/>
  <c r="BT95" i="4" s="1"/>
  <c r="BG87" i="4"/>
  <c r="BR87" i="4"/>
  <c r="BT87" i="4" s="1"/>
  <c r="BG79" i="4"/>
  <c r="BR79" i="4"/>
  <c r="BT79" i="4" s="1"/>
  <c r="BG71" i="4"/>
  <c r="BR71" i="4"/>
  <c r="BT71" i="4" s="1"/>
  <c r="BG63" i="4"/>
  <c r="BR63" i="4"/>
  <c r="BT63" i="4" s="1"/>
  <c r="BG55" i="4"/>
  <c r="BR55" i="4"/>
  <c r="BT55" i="4" s="1"/>
  <c r="BG47" i="4"/>
  <c r="BR47" i="4"/>
  <c r="BT47" i="4" s="1"/>
  <c r="BR38" i="4"/>
  <c r="BT38" i="4" s="1"/>
  <c r="BG38" i="4"/>
  <c r="BR22" i="4"/>
  <c r="BT22" i="4" s="1"/>
  <c r="BG22" i="4"/>
  <c r="BW10" i="4"/>
  <c r="BW96" i="4"/>
  <c r="BW32" i="4"/>
  <c r="BW130" i="4"/>
  <c r="BW98" i="4"/>
  <c r="BW39" i="4"/>
  <c r="BW140" i="4"/>
  <c r="BW76" i="4"/>
  <c r="BW20" i="4"/>
  <c r="BW110" i="4"/>
  <c r="BW78" i="4"/>
  <c r="BW23" i="4"/>
  <c r="BW143" i="4"/>
  <c r="BW127" i="4"/>
  <c r="BW111" i="4"/>
  <c r="BW95" i="4"/>
  <c r="BW79" i="4"/>
  <c r="BW63" i="4"/>
  <c r="BW47" i="4"/>
  <c r="BW22" i="4"/>
  <c r="BW152" i="4"/>
  <c r="BW88" i="4"/>
  <c r="BW29" i="4"/>
  <c r="BW122" i="4"/>
  <c r="BW58" i="4"/>
  <c r="BW14" i="4"/>
  <c r="BW100" i="4"/>
  <c r="BW34" i="4"/>
  <c r="BW16" i="4"/>
  <c r="BW102" i="4"/>
  <c r="BW40" i="4"/>
  <c r="BW19" i="4"/>
  <c r="BW149" i="4"/>
  <c r="BW125" i="4"/>
  <c r="BW109" i="4"/>
  <c r="BW93" i="4"/>
  <c r="BW77" i="4"/>
  <c r="BW53" i="4"/>
  <c r="BW33" i="4"/>
  <c r="BW112" i="4"/>
  <c r="BW80" i="4"/>
  <c r="BW48" i="4"/>
  <c r="BW18" i="4"/>
  <c r="BW146" i="4"/>
  <c r="BW114" i="4"/>
  <c r="BW82" i="4"/>
  <c r="BW50" i="4"/>
  <c r="BW28" i="4"/>
  <c r="BW156" i="4"/>
  <c r="BW124" i="4"/>
  <c r="BW92" i="4"/>
  <c r="BW60" i="4"/>
  <c r="BW31" i="4"/>
  <c r="BR8" i="4"/>
  <c r="BW8" i="4"/>
  <c r="BW126" i="4"/>
  <c r="BW94" i="4"/>
  <c r="BW62" i="4"/>
  <c r="BW37" i="4"/>
  <c r="BW13" i="4"/>
  <c r="BW155" i="4"/>
  <c r="BW139" i="4"/>
  <c r="BW131" i="4"/>
  <c r="BW123" i="4"/>
  <c r="BW115" i="4"/>
  <c r="BW107" i="4"/>
  <c r="BW99" i="4"/>
  <c r="BW91" i="4"/>
  <c r="BW83" i="4"/>
  <c r="BW75" i="4"/>
  <c r="BW67" i="4"/>
  <c r="BW59" i="4"/>
  <c r="BW51" i="4"/>
  <c r="BW43" i="4"/>
  <c r="BW128" i="4"/>
  <c r="BW64" i="4"/>
  <c r="BW12" i="4"/>
  <c r="BW66" i="4"/>
  <c r="BW21" i="4"/>
  <c r="BW108" i="4"/>
  <c r="BW44" i="4"/>
  <c r="BW142" i="4"/>
  <c r="BW46" i="4"/>
  <c r="BW9" i="4"/>
  <c r="BW151" i="4"/>
  <c r="BW135" i="4"/>
  <c r="BW119" i="4"/>
  <c r="BW103" i="4"/>
  <c r="BW87" i="4"/>
  <c r="BW71" i="4"/>
  <c r="BW55" i="4"/>
  <c r="BW38" i="4"/>
  <c r="BW120" i="4"/>
  <c r="BW56" i="4"/>
  <c r="BW154" i="4"/>
  <c r="BW90" i="4"/>
  <c r="BW35" i="4"/>
  <c r="BW132" i="4"/>
  <c r="BW68" i="4"/>
  <c r="BW134" i="4"/>
  <c r="BW70" i="4"/>
  <c r="BW157" i="4"/>
  <c r="BW141" i="4"/>
  <c r="BW133" i="4"/>
  <c r="BW117" i="4"/>
  <c r="BW101" i="4"/>
  <c r="BW85" i="4"/>
  <c r="BW69" i="4"/>
  <c r="BW61" i="4"/>
  <c r="BW45" i="4"/>
  <c r="BW17" i="4"/>
  <c r="BW136" i="4"/>
  <c r="BW104" i="4"/>
  <c r="BW72" i="4"/>
  <c r="BW36" i="4"/>
  <c r="BW138" i="4"/>
  <c r="BW106" i="4"/>
  <c r="BW42" i="4"/>
  <c r="BW24" i="4"/>
  <c r="BW148" i="4"/>
  <c r="BW116" i="4"/>
  <c r="BW84" i="4"/>
  <c r="BW52" i="4"/>
  <c r="BW27" i="4"/>
  <c r="BW118" i="4"/>
  <c r="BW86" i="4"/>
  <c r="BW54" i="4"/>
  <c r="BW26" i="4"/>
  <c r="BW11" i="4"/>
  <c r="BW153" i="4"/>
  <c r="BW145" i="4"/>
  <c r="BW137" i="4"/>
  <c r="BW129" i="4"/>
  <c r="BW121" i="4"/>
  <c r="BW113" i="4"/>
  <c r="BW105" i="4"/>
  <c r="BW97" i="4"/>
  <c r="BW89" i="4"/>
  <c r="BW81" i="4"/>
  <c r="BW73" i="4"/>
  <c r="BW65" i="4"/>
  <c r="BW57" i="4"/>
  <c r="BW49" i="4"/>
  <c r="BW25" i="4"/>
  <c r="BG8" i="4"/>
  <c r="U112" i="4"/>
  <c r="U48" i="4"/>
  <c r="V48" i="4" s="1"/>
  <c r="U146" i="4"/>
  <c r="U82" i="4"/>
  <c r="U156" i="4"/>
  <c r="U92" i="4"/>
  <c r="U31" i="4"/>
  <c r="V31" i="4" s="1"/>
  <c r="U126" i="4"/>
  <c r="U62" i="4"/>
  <c r="U13" i="4"/>
  <c r="V13" i="4" s="1"/>
  <c r="U139" i="4"/>
  <c r="V139" i="4" s="1"/>
  <c r="U123" i="4"/>
  <c r="U107" i="4"/>
  <c r="U83" i="4"/>
  <c r="V83" i="4" s="1"/>
  <c r="U67" i="4"/>
  <c r="U43" i="4"/>
  <c r="V43" i="4" s="1"/>
  <c r="U136" i="4"/>
  <c r="V136" i="4" s="1"/>
  <c r="U72" i="4"/>
  <c r="V72" i="4" s="1"/>
  <c r="U15" i="4"/>
  <c r="V15" i="4" s="1"/>
  <c r="U106" i="4"/>
  <c r="U24" i="4"/>
  <c r="V24" i="4" s="1"/>
  <c r="U116" i="4"/>
  <c r="U27" i="4"/>
  <c r="V27" i="4" s="1"/>
  <c r="U86" i="4"/>
  <c r="V86" i="4" s="1"/>
  <c r="U11" i="4"/>
  <c r="V11" i="4" s="1"/>
  <c r="U145" i="4"/>
  <c r="U137" i="4"/>
  <c r="U121" i="4"/>
  <c r="V121" i="4" s="1"/>
  <c r="U105" i="4"/>
  <c r="V105" i="4" s="1"/>
  <c r="U89" i="4"/>
  <c r="U81" i="4"/>
  <c r="U65" i="4"/>
  <c r="U49" i="4"/>
  <c r="V49" i="4" s="1"/>
  <c r="U25" i="4"/>
  <c r="V25" i="4" s="1"/>
  <c r="U152" i="4"/>
  <c r="U120" i="4"/>
  <c r="U88" i="4"/>
  <c r="U56" i="4"/>
  <c r="U29" i="4"/>
  <c r="V29" i="4" s="1"/>
  <c r="U154" i="4"/>
  <c r="U122" i="4"/>
  <c r="U90" i="4"/>
  <c r="U58" i="4"/>
  <c r="V58" i="4" s="1"/>
  <c r="U35" i="4"/>
  <c r="V35" i="4" s="1"/>
  <c r="U14" i="4"/>
  <c r="V14" i="4" s="1"/>
  <c r="U132" i="4"/>
  <c r="U100" i="4"/>
  <c r="U68" i="4"/>
  <c r="U34" i="4"/>
  <c r="V34" i="4" s="1"/>
  <c r="U16" i="4"/>
  <c r="V16" i="4" s="1"/>
  <c r="U134" i="4"/>
  <c r="V134" i="4" s="1"/>
  <c r="U102" i="4"/>
  <c r="U70" i="4"/>
  <c r="V70" i="4" s="1"/>
  <c r="U40" i="4"/>
  <c r="U19" i="4"/>
  <c r="V19" i="4" s="1"/>
  <c r="U157" i="4"/>
  <c r="U149" i="4"/>
  <c r="V149" i="4" s="1"/>
  <c r="U141" i="4"/>
  <c r="V141" i="4" s="1"/>
  <c r="U133" i="4"/>
  <c r="U125" i="4"/>
  <c r="V125" i="4" s="1"/>
  <c r="U117" i="4"/>
  <c r="V117" i="4" s="1"/>
  <c r="U109" i="4"/>
  <c r="V109" i="4" s="1"/>
  <c r="U101" i="4"/>
  <c r="V101" i="4" s="1"/>
  <c r="U93" i="4"/>
  <c r="V93" i="4" s="1"/>
  <c r="U85" i="4"/>
  <c r="V85" i="4" s="1"/>
  <c r="U77" i="4"/>
  <c r="V77" i="4" s="1"/>
  <c r="U69" i="4"/>
  <c r="U61" i="4"/>
  <c r="U53" i="4"/>
  <c r="V53" i="4" s="1"/>
  <c r="U45" i="4"/>
  <c r="U33" i="4"/>
  <c r="V33" i="4" s="1"/>
  <c r="U17" i="4"/>
  <c r="V17" i="4" s="1"/>
  <c r="U144" i="4"/>
  <c r="V144" i="4" s="1"/>
  <c r="U80" i="4"/>
  <c r="V80" i="4" s="1"/>
  <c r="U18" i="4"/>
  <c r="V18" i="4" s="1"/>
  <c r="U114" i="4"/>
  <c r="U50" i="4"/>
  <c r="U28" i="4"/>
  <c r="V28" i="4" s="1"/>
  <c r="U124" i="4"/>
  <c r="U60" i="4"/>
  <c r="U8" i="4"/>
  <c r="AW8" i="4"/>
  <c r="U94" i="4"/>
  <c r="U37" i="4"/>
  <c r="U155" i="4"/>
  <c r="U147" i="4"/>
  <c r="U131" i="4"/>
  <c r="U115" i="4"/>
  <c r="V115" i="4" s="1"/>
  <c r="U99" i="4"/>
  <c r="V99" i="4" s="1"/>
  <c r="U91" i="4"/>
  <c r="U75" i="4"/>
  <c r="U59" i="4"/>
  <c r="U51" i="4"/>
  <c r="V51" i="4" s="1"/>
  <c r="U30" i="4"/>
  <c r="V30" i="4" s="1"/>
  <c r="U104" i="4"/>
  <c r="U36" i="4"/>
  <c r="V36" i="4" s="1"/>
  <c r="U138" i="4"/>
  <c r="V138" i="4" s="1"/>
  <c r="U74" i="4"/>
  <c r="U42" i="4"/>
  <c r="V42" i="4" s="1"/>
  <c r="U148" i="4"/>
  <c r="V148" i="4" s="1"/>
  <c r="U84" i="4"/>
  <c r="U52" i="4"/>
  <c r="U150" i="4"/>
  <c r="U118" i="4"/>
  <c r="V118" i="4" s="1"/>
  <c r="U54" i="4"/>
  <c r="U26" i="4"/>
  <c r="V26" i="4" s="1"/>
  <c r="U153" i="4"/>
  <c r="U129" i="4"/>
  <c r="U113" i="4"/>
  <c r="U97" i="4"/>
  <c r="U73" i="4"/>
  <c r="V73" i="4" s="1"/>
  <c r="U57" i="4"/>
  <c r="U41" i="4"/>
  <c r="U10" i="4"/>
  <c r="V10" i="4" s="1"/>
  <c r="U128" i="4"/>
  <c r="V128" i="4" s="1"/>
  <c r="U96" i="4"/>
  <c r="V96" i="4" s="1"/>
  <c r="U64" i="4"/>
  <c r="U32" i="4"/>
  <c r="V32" i="4" s="1"/>
  <c r="U12" i="4"/>
  <c r="V12" i="4" s="1"/>
  <c r="U130" i="4"/>
  <c r="U98" i="4"/>
  <c r="V98" i="4" s="1"/>
  <c r="U66" i="4"/>
  <c r="V66" i="4" s="1"/>
  <c r="U39" i="4"/>
  <c r="U21" i="4"/>
  <c r="V21" i="4" s="1"/>
  <c r="U140" i="4"/>
  <c r="U108" i="4"/>
  <c r="U76" i="4"/>
  <c r="U44" i="4"/>
  <c r="V44" i="4" s="1"/>
  <c r="U20" i="4"/>
  <c r="V20" i="4" s="1"/>
  <c r="U142" i="4"/>
  <c r="U110" i="4"/>
  <c r="U78" i="4"/>
  <c r="V78" i="4" s="1"/>
  <c r="U46" i="4"/>
  <c r="U23" i="4"/>
  <c r="V23" i="4" s="1"/>
  <c r="U9" i="4"/>
  <c r="V9" i="4" s="1"/>
  <c r="U151" i="4"/>
  <c r="V151" i="4" s="1"/>
  <c r="U143" i="4"/>
  <c r="U135" i="4"/>
  <c r="V135" i="4" s="1"/>
  <c r="U127" i="4"/>
  <c r="V127" i="4" s="1"/>
  <c r="U119" i="4"/>
  <c r="V119" i="4" s="1"/>
  <c r="U111" i="4"/>
  <c r="U103" i="4"/>
  <c r="V103" i="4" s="1"/>
  <c r="U95" i="4"/>
  <c r="V95" i="4" s="1"/>
  <c r="U87" i="4"/>
  <c r="V87" i="4" s="1"/>
  <c r="U79" i="4"/>
  <c r="U71" i="4"/>
  <c r="V71" i="4" s="1"/>
  <c r="U63" i="4"/>
  <c r="V63" i="4" s="1"/>
  <c r="U55" i="4"/>
  <c r="V55" i="4" s="1"/>
  <c r="U47" i="4"/>
  <c r="U38" i="4"/>
  <c r="V38" i="4" s="1"/>
  <c r="U22" i="4"/>
  <c r="V22" i="4" s="1"/>
  <c r="T157" i="4"/>
  <c r="T136" i="4"/>
  <c r="T72" i="4"/>
  <c r="T15" i="4"/>
  <c r="T74" i="4"/>
  <c r="T148" i="4"/>
  <c r="T116" i="4"/>
  <c r="T27" i="4"/>
  <c r="T118" i="4"/>
  <c r="T54" i="4"/>
  <c r="T153" i="4"/>
  <c r="T137" i="4"/>
  <c r="T113" i="4"/>
  <c r="T97" i="4"/>
  <c r="T81" i="4"/>
  <c r="T57" i="4"/>
  <c r="T41" i="4"/>
  <c r="BW7" i="4"/>
  <c r="T7" i="4"/>
  <c r="T144" i="4"/>
  <c r="T112" i="4"/>
  <c r="T80" i="4"/>
  <c r="T48" i="4"/>
  <c r="T18" i="4"/>
  <c r="T146" i="4"/>
  <c r="T114" i="4"/>
  <c r="T82" i="4"/>
  <c r="T50" i="4"/>
  <c r="T28" i="4"/>
  <c r="T156" i="4"/>
  <c r="T124" i="4"/>
  <c r="T92" i="4"/>
  <c r="T60" i="4"/>
  <c r="T31" i="4"/>
  <c r="T8" i="4"/>
  <c r="T126" i="4"/>
  <c r="T94" i="4"/>
  <c r="T62" i="4"/>
  <c r="T37" i="4"/>
  <c r="T13" i="4"/>
  <c r="T155" i="4"/>
  <c r="T147" i="4"/>
  <c r="T139" i="4"/>
  <c r="T131" i="4"/>
  <c r="T123" i="4"/>
  <c r="T115" i="4"/>
  <c r="T107" i="4"/>
  <c r="T99" i="4"/>
  <c r="T91" i="4"/>
  <c r="T83" i="4"/>
  <c r="T75" i="4"/>
  <c r="T67" i="4"/>
  <c r="T59" i="4"/>
  <c r="T51" i="4"/>
  <c r="T43" i="4"/>
  <c r="T30" i="4"/>
  <c r="T36" i="4"/>
  <c r="T106" i="4"/>
  <c r="T24" i="4"/>
  <c r="T52" i="4"/>
  <c r="T86" i="4"/>
  <c r="T11" i="4"/>
  <c r="T129" i="4"/>
  <c r="T105" i="4"/>
  <c r="T73" i="4"/>
  <c r="T49" i="4"/>
  <c r="T10" i="4"/>
  <c r="T128" i="4"/>
  <c r="T96" i="4"/>
  <c r="T64" i="4"/>
  <c r="T32" i="4"/>
  <c r="T12" i="4"/>
  <c r="T130" i="4"/>
  <c r="T98" i="4"/>
  <c r="T66" i="4"/>
  <c r="T39" i="4"/>
  <c r="T21" i="4"/>
  <c r="T140" i="4"/>
  <c r="T108" i="4"/>
  <c r="T76" i="4"/>
  <c r="T44" i="4"/>
  <c r="T20" i="4"/>
  <c r="T142" i="4"/>
  <c r="T110" i="4"/>
  <c r="T78" i="4"/>
  <c r="T46" i="4"/>
  <c r="T23" i="4"/>
  <c r="T9" i="4"/>
  <c r="T151" i="4"/>
  <c r="T143" i="4"/>
  <c r="T135" i="4"/>
  <c r="T127" i="4"/>
  <c r="T119" i="4"/>
  <c r="T111" i="4"/>
  <c r="T103" i="4"/>
  <c r="T95" i="4"/>
  <c r="T87" i="4"/>
  <c r="T79" i="4"/>
  <c r="T71" i="4"/>
  <c r="T63" i="4"/>
  <c r="T55" i="4"/>
  <c r="T47" i="4"/>
  <c r="T38" i="4"/>
  <c r="T22" i="4"/>
  <c r="T104" i="4"/>
  <c r="T138" i="4"/>
  <c r="T42" i="4"/>
  <c r="T84" i="4"/>
  <c r="T150" i="4"/>
  <c r="T26" i="4"/>
  <c r="T145" i="4"/>
  <c r="T121" i="4"/>
  <c r="T89" i="4"/>
  <c r="T65" i="4"/>
  <c r="T25" i="4"/>
  <c r="T152" i="4"/>
  <c r="T120" i="4"/>
  <c r="T88" i="4"/>
  <c r="T56" i="4"/>
  <c r="T29" i="4"/>
  <c r="T154" i="4"/>
  <c r="T122" i="4"/>
  <c r="T90" i="4"/>
  <c r="T58" i="4"/>
  <c r="T35" i="4"/>
  <c r="T14" i="4"/>
  <c r="T132" i="4"/>
  <c r="T100" i="4"/>
  <c r="T68" i="4"/>
  <c r="T34" i="4"/>
  <c r="T16" i="4"/>
  <c r="T134" i="4"/>
  <c r="T102" i="4"/>
  <c r="T70" i="4"/>
  <c r="T40" i="4"/>
  <c r="T19" i="4"/>
  <c r="T149" i="4"/>
  <c r="T141" i="4"/>
  <c r="T133" i="4"/>
  <c r="T125" i="4"/>
  <c r="T117" i="4"/>
  <c r="T109" i="4"/>
  <c r="T101" i="4"/>
  <c r="T93" i="4"/>
  <c r="T85" i="4"/>
  <c r="T77" i="4"/>
  <c r="T69" i="4"/>
  <c r="T61" i="4"/>
  <c r="T53" i="4"/>
  <c r="T45" i="4"/>
  <c r="T33" i="4"/>
  <c r="T17" i="4"/>
  <c r="B42" i="10"/>
  <c r="Q231" i="10" s="1"/>
  <c r="V10" i="10"/>
  <c r="U10" i="10"/>
  <c r="AH10" i="10"/>
  <c r="AI10" i="10"/>
  <c r="W10" i="10"/>
  <c r="W7" i="10"/>
  <c r="W8" i="10"/>
  <c r="W544" i="10"/>
  <c r="W540" i="10"/>
  <c r="W539" i="10"/>
  <c r="W543" i="10"/>
  <c r="W519" i="10"/>
  <c r="W515" i="10"/>
  <c r="W503" i="10"/>
  <c r="W499" i="10"/>
  <c r="W495" i="10"/>
  <c r="W538" i="10"/>
  <c r="W518" i="10"/>
  <c r="W498" i="10"/>
  <c r="W486" i="10"/>
  <c r="W489" i="10"/>
  <c r="W479" i="10"/>
  <c r="W475" i="10"/>
  <c r="W452" i="10"/>
  <c r="W448" i="10"/>
  <c r="W444" i="10"/>
  <c r="W440" i="10"/>
  <c r="W434" i="10"/>
  <c r="W494" i="10"/>
  <c r="W467" i="10"/>
  <c r="W459" i="10"/>
  <c r="W463" i="10"/>
  <c r="W455" i="10"/>
  <c r="W385" i="10"/>
  <c r="W383" i="10"/>
  <c r="W379" i="10"/>
  <c r="W375" i="10"/>
  <c r="W371" i="10"/>
  <c r="W429" i="10"/>
  <c r="W425" i="10"/>
  <c r="W421" i="10"/>
  <c r="W417" i="10"/>
  <c r="W413" i="10"/>
  <c r="W409" i="10"/>
  <c r="W405" i="10"/>
  <c r="W401" i="10"/>
  <c r="W397" i="10"/>
  <c r="W393" i="10"/>
  <c r="W389" i="10"/>
  <c r="W387" i="10"/>
  <c r="W367" i="10"/>
  <c r="W363" i="10"/>
  <c r="W306" i="10"/>
  <c r="W302" i="10"/>
  <c r="W298" i="10"/>
  <c r="W294" i="10"/>
  <c r="W290" i="10"/>
  <c r="W286" i="10"/>
  <c r="W282" i="10"/>
  <c r="W278" i="10"/>
  <c r="W274" i="10"/>
  <c r="W270" i="10"/>
  <c r="W266" i="10"/>
  <c r="W262" i="10"/>
  <c r="W258" i="10"/>
  <c r="W254" i="10"/>
  <c r="W250" i="10"/>
  <c r="W246" i="10"/>
  <c r="W241" i="10"/>
  <c r="W237" i="10"/>
  <c r="W233" i="10"/>
  <c r="W229" i="10"/>
  <c r="W225" i="10"/>
  <c r="W221" i="10"/>
  <c r="W217" i="10"/>
  <c r="W213" i="10"/>
  <c r="W209" i="10"/>
  <c r="W244" i="10"/>
  <c r="W240" i="10"/>
  <c r="W236" i="10"/>
  <c r="W232" i="10"/>
  <c r="W228" i="10"/>
  <c r="W224" i="10"/>
  <c r="W220" i="10"/>
  <c r="W216" i="10"/>
  <c r="W212" i="10"/>
  <c r="W193" i="10"/>
  <c r="W189" i="10"/>
  <c r="W185" i="10"/>
  <c r="W181" i="10"/>
  <c r="W177" i="10"/>
  <c r="W173" i="10"/>
  <c r="W169" i="10"/>
  <c r="W165" i="10"/>
  <c r="W201" i="10"/>
  <c r="W162" i="10"/>
  <c r="W154" i="10"/>
  <c r="W102" i="10"/>
  <c r="W192" i="10"/>
  <c r="W188" i="10"/>
  <c r="W184" i="10"/>
  <c r="W180" i="10"/>
  <c r="W176" i="10"/>
  <c r="W172" i="10"/>
  <c r="W168" i="10"/>
  <c r="W164" i="10"/>
  <c r="B46" i="10"/>
  <c r="W142" i="10"/>
  <c r="W138" i="10"/>
  <c r="W126" i="10"/>
  <c r="W118" i="10"/>
  <c r="W110" i="10"/>
  <c r="W106" i="10"/>
  <c r="W242" i="10"/>
  <c r="W238" i="10"/>
  <c r="W234" i="10"/>
  <c r="W230" i="10"/>
  <c r="W226" i="10"/>
  <c r="W222" i="10"/>
  <c r="W218" i="10"/>
  <c r="W214" i="10"/>
  <c r="W210" i="10"/>
  <c r="W205" i="10"/>
  <c r="W197" i="10"/>
  <c r="W61" i="10"/>
  <c r="W158" i="10"/>
  <c r="W150" i="10"/>
  <c r="W146" i="10"/>
  <c r="W134" i="10"/>
  <c r="W130" i="10"/>
  <c r="W122" i="10"/>
  <c r="W114" i="10"/>
  <c r="W40" i="10"/>
  <c r="W37" i="10"/>
  <c r="W34" i="10"/>
  <c r="W27" i="10"/>
  <c r="O9" i="10"/>
  <c r="W32" i="10"/>
  <c r="W30" i="10"/>
  <c r="W21" i="10"/>
  <c r="W200" i="10"/>
  <c r="W69" i="10"/>
  <c r="W74" i="10"/>
  <c r="W90" i="10"/>
  <c r="W47" i="10"/>
  <c r="W23" i="10"/>
  <c r="W31" i="10"/>
  <c r="W43" i="10"/>
  <c r="W58" i="10"/>
  <c r="W49" i="10"/>
  <c r="W22" i="10"/>
  <c r="W33" i="10"/>
  <c r="W46" i="10"/>
  <c r="W80" i="10"/>
  <c r="W96" i="10"/>
  <c r="W204" i="10"/>
  <c r="W65" i="10"/>
  <c r="W75" i="10"/>
  <c r="W91" i="10"/>
  <c r="W147" i="10"/>
  <c r="W163" i="10"/>
  <c r="W73" i="10"/>
  <c r="W89" i="10"/>
  <c r="W101" i="10"/>
  <c r="W109" i="10"/>
  <c r="W117" i="10"/>
  <c r="W125" i="10"/>
  <c r="W133" i="10"/>
  <c r="W149" i="10"/>
  <c r="W198" i="10"/>
  <c r="W206" i="10"/>
  <c r="W373" i="10"/>
  <c r="W171" i="10"/>
  <c r="W187" i="10"/>
  <c r="W203" i="10"/>
  <c r="W219" i="10"/>
  <c r="W235" i="10"/>
  <c r="W316" i="10"/>
  <c r="W332" i="10"/>
  <c r="W348" i="10"/>
  <c r="W310" i="10"/>
  <c r="W318" i="10"/>
  <c r="W326" i="10"/>
  <c r="W334" i="10"/>
  <c r="W342" i="10"/>
  <c r="W350" i="10"/>
  <c r="W358" i="10"/>
  <c r="W376" i="10"/>
  <c r="W465" i="10"/>
  <c r="W247" i="10"/>
  <c r="W263" i="10"/>
  <c r="W279" i="10"/>
  <c r="W295" i="10"/>
  <c r="W403" i="10"/>
  <c r="W419" i="10"/>
  <c r="W370" i="10"/>
  <c r="W433" i="10"/>
  <c r="W442" i="10"/>
  <c r="W450" i="10"/>
  <c r="W451" i="10"/>
  <c r="W483" i="10"/>
  <c r="W476" i="10"/>
  <c r="W484" i="10"/>
  <c r="W493" i="10"/>
  <c r="W466" i="10"/>
  <c r="W474" i="10"/>
  <c r="W492" i="10"/>
  <c r="W516" i="10"/>
  <c r="W500" i="10"/>
  <c r="W527" i="10"/>
  <c r="W532" i="10"/>
  <c r="W521" i="10"/>
  <c r="W535" i="10"/>
  <c r="W533" i="10"/>
  <c r="W542" i="10"/>
  <c r="W553" i="10"/>
  <c r="W548" i="10"/>
  <c r="W557" i="10"/>
  <c r="W559" i="10"/>
  <c r="W549" i="10"/>
  <c r="W199" i="10"/>
  <c r="W368" i="10"/>
  <c r="W337" i="10"/>
  <c r="W345" i="10"/>
  <c r="W369" i="10"/>
  <c r="W259" i="10"/>
  <c r="W307" i="10"/>
  <c r="W331" i="10"/>
  <c r="W399" i="10"/>
  <c r="W388" i="10"/>
  <c r="W420" i="10"/>
  <c r="W382" i="10"/>
  <c r="W406" i="10"/>
  <c r="W456" i="10"/>
  <c r="W485" i="10"/>
  <c r="W462" i="10"/>
  <c r="W508" i="10"/>
  <c r="W526" i="10"/>
  <c r="W555" i="10"/>
  <c r="W42" i="10"/>
  <c r="W208" i="10"/>
  <c r="W50" i="10"/>
  <c r="W54" i="10"/>
  <c r="W57" i="10"/>
  <c r="W78" i="10"/>
  <c r="W94" i="10"/>
  <c r="W56" i="10"/>
  <c r="W64" i="10"/>
  <c r="W166" i="10"/>
  <c r="W174" i="10"/>
  <c r="W182" i="10"/>
  <c r="W190" i="10"/>
  <c r="W25" i="10"/>
  <c r="W35" i="10"/>
  <c r="W41" i="10"/>
  <c r="W24" i="10"/>
  <c r="W29" i="10"/>
  <c r="W36" i="10"/>
  <c r="W53" i="10"/>
  <c r="W84" i="10"/>
  <c r="W67" i="10"/>
  <c r="W87" i="10"/>
  <c r="W143" i="10"/>
  <c r="W159" i="10"/>
  <c r="W248" i="10"/>
  <c r="W256" i="10"/>
  <c r="W264" i="10"/>
  <c r="W272" i="10"/>
  <c r="W280" i="10"/>
  <c r="W288" i="10"/>
  <c r="W296" i="10"/>
  <c r="W100" i="10"/>
  <c r="W108" i="10"/>
  <c r="W116" i="10"/>
  <c r="W124" i="10"/>
  <c r="W132" i="10"/>
  <c r="W140" i="10"/>
  <c r="W148" i="10"/>
  <c r="W156" i="10"/>
  <c r="W77" i="10"/>
  <c r="W93" i="10"/>
  <c r="W145" i="10"/>
  <c r="W161" i="10"/>
  <c r="W245" i="10"/>
  <c r="W249" i="10"/>
  <c r="W253" i="10"/>
  <c r="W257" i="10"/>
  <c r="W261" i="10"/>
  <c r="W265" i="10"/>
  <c r="W269" i="10"/>
  <c r="W273" i="10"/>
  <c r="W277" i="10"/>
  <c r="W281" i="10"/>
  <c r="W285" i="10"/>
  <c r="W289" i="10"/>
  <c r="W293" i="10"/>
  <c r="W297" i="10"/>
  <c r="W301" i="10"/>
  <c r="W300" i="10"/>
  <c r="W175" i="10"/>
  <c r="W191" i="10"/>
  <c r="W207" i="10"/>
  <c r="W223" i="10"/>
  <c r="W239" i="10"/>
  <c r="W320" i="10"/>
  <c r="W336" i="10"/>
  <c r="W352" i="10"/>
  <c r="W364" i="10"/>
  <c r="W309" i="10"/>
  <c r="W317" i="10"/>
  <c r="W325" i="10"/>
  <c r="W333" i="10"/>
  <c r="W341" i="10"/>
  <c r="W349" i="10"/>
  <c r="W357" i="10"/>
  <c r="W365" i="10"/>
  <c r="W380" i="10"/>
  <c r="W435" i="10"/>
  <c r="W251" i="10"/>
  <c r="W267" i="10"/>
  <c r="W283" i="10"/>
  <c r="W299" i="10"/>
  <c r="W311" i="10"/>
  <c r="W319" i="10"/>
  <c r="W327" i="10"/>
  <c r="W335" i="10"/>
  <c r="W343" i="10"/>
  <c r="W351" i="10"/>
  <c r="W359" i="10"/>
  <c r="W469" i="10"/>
  <c r="W391" i="10"/>
  <c r="W407" i="10"/>
  <c r="W423" i="10"/>
  <c r="W384" i="10"/>
  <c r="W392" i="10"/>
  <c r="W400" i="10"/>
  <c r="W408" i="10"/>
  <c r="W416" i="10"/>
  <c r="W432" i="10"/>
  <c r="W436" i="10"/>
  <c r="W374" i="10"/>
  <c r="W386" i="10"/>
  <c r="W394" i="10"/>
  <c r="W402" i="10"/>
  <c r="W410" i="10"/>
  <c r="W418" i="10"/>
  <c r="W426" i="10"/>
  <c r="W437" i="10"/>
  <c r="W441" i="10"/>
  <c r="W445" i="10"/>
  <c r="W449" i="10"/>
  <c r="W453" i="10"/>
  <c r="W460" i="10"/>
  <c r="W468" i="10"/>
  <c r="W490" i="10"/>
  <c r="W439" i="10"/>
  <c r="W454" i="10"/>
  <c r="W470" i="10"/>
  <c r="W505" i="10"/>
  <c r="W497" i="10"/>
  <c r="W506" i="10"/>
  <c r="W514" i="10"/>
  <c r="W504" i="10"/>
  <c r="W523" i="10"/>
  <c r="W524" i="10"/>
  <c r="W551" i="10"/>
  <c r="W531" i="10"/>
  <c r="W550" i="10"/>
  <c r="W541" i="10"/>
  <c r="W558" i="10"/>
  <c r="W556" i="10"/>
  <c r="W153" i="10"/>
  <c r="W381" i="10"/>
  <c r="W304" i="10"/>
  <c r="W215" i="10"/>
  <c r="W312" i="10"/>
  <c r="W344" i="10"/>
  <c r="W360" i="10"/>
  <c r="W321" i="10"/>
  <c r="W291" i="10"/>
  <c r="W323" i="10"/>
  <c r="W347" i="10"/>
  <c r="W396" i="10"/>
  <c r="W390" i="10"/>
  <c r="W422" i="10"/>
  <c r="W477" i="10"/>
  <c r="W491" i="10"/>
  <c r="W501" i="10"/>
  <c r="W510" i="10"/>
  <c r="W517" i="10"/>
  <c r="W536" i="10"/>
  <c r="W537" i="10"/>
  <c r="W552" i="10"/>
  <c r="W82" i="10"/>
  <c r="W98" i="10"/>
  <c r="W66" i="10"/>
  <c r="W48" i="10"/>
  <c r="W19" i="10"/>
  <c r="W20" i="10"/>
  <c r="W44" i="10"/>
  <c r="W59" i="10"/>
  <c r="W72" i="10"/>
  <c r="W88" i="10"/>
  <c r="W196" i="10"/>
  <c r="W60" i="10"/>
  <c r="W83" i="10"/>
  <c r="W99" i="10"/>
  <c r="W103" i="10"/>
  <c r="W107" i="10"/>
  <c r="W111" i="10"/>
  <c r="W115" i="10"/>
  <c r="W119" i="10"/>
  <c r="W123" i="10"/>
  <c r="W127" i="10"/>
  <c r="W131" i="10"/>
  <c r="W139" i="10"/>
  <c r="W155" i="10"/>
  <c r="W81" i="10"/>
  <c r="W97" i="10"/>
  <c r="W105" i="10"/>
  <c r="W113" i="10"/>
  <c r="W121" i="10"/>
  <c r="W129" i="10"/>
  <c r="W141" i="10"/>
  <c r="W157" i="10"/>
  <c r="W202" i="10"/>
  <c r="W305" i="10"/>
  <c r="W377" i="10"/>
  <c r="W179" i="10"/>
  <c r="W195" i="10"/>
  <c r="W211" i="10"/>
  <c r="W227" i="10"/>
  <c r="W243" i="10"/>
  <c r="W308" i="10"/>
  <c r="W324" i="10"/>
  <c r="W340" i="10"/>
  <c r="W356" i="10"/>
  <c r="W361" i="10"/>
  <c r="W314" i="10"/>
  <c r="W322" i="10"/>
  <c r="W330" i="10"/>
  <c r="W338" i="10"/>
  <c r="W346" i="10"/>
  <c r="W354" i="10"/>
  <c r="W255" i="10"/>
  <c r="W271" i="10"/>
  <c r="W287" i="10"/>
  <c r="W303" i="10"/>
  <c r="W461" i="10"/>
  <c r="W395" i="10"/>
  <c r="W411" i="10"/>
  <c r="W427" i="10"/>
  <c r="W431" i="10"/>
  <c r="W457" i="10"/>
  <c r="W424" i="10"/>
  <c r="W428" i="10"/>
  <c r="W362" i="10"/>
  <c r="W378" i="10"/>
  <c r="W430" i="10"/>
  <c r="W502" i="10"/>
  <c r="W438" i="10"/>
  <c r="W446" i="10"/>
  <c r="W471" i="10"/>
  <c r="W443" i="10"/>
  <c r="W472" i="10"/>
  <c r="W480" i="10"/>
  <c r="W458" i="10"/>
  <c r="W482" i="10"/>
  <c r="W487" i="10"/>
  <c r="W488" i="10"/>
  <c r="W520" i="10"/>
  <c r="W513" i="10"/>
  <c r="W522" i="10"/>
  <c r="W507" i="10"/>
  <c r="W511" i="10"/>
  <c r="W534" i="10"/>
  <c r="W512" i="10"/>
  <c r="W530" i="10"/>
  <c r="W529" i="10"/>
  <c r="W546" i="10"/>
  <c r="W547" i="10"/>
  <c r="W554" i="10"/>
  <c r="W545" i="10"/>
  <c r="W45" i="10"/>
  <c r="W52" i="10"/>
  <c r="W70" i="10"/>
  <c r="W86" i="10"/>
  <c r="W62" i="10"/>
  <c r="W71" i="10"/>
  <c r="W170" i="10"/>
  <c r="W178" i="10"/>
  <c r="W186" i="10"/>
  <c r="W194" i="10"/>
  <c r="W28" i="10"/>
  <c r="W38" i="10"/>
  <c r="W39" i="10"/>
  <c r="W26" i="10"/>
  <c r="W51" i="10"/>
  <c r="W55" i="10"/>
  <c r="W68" i="10"/>
  <c r="W76" i="10"/>
  <c r="W92" i="10"/>
  <c r="W63" i="10"/>
  <c r="W79" i="10"/>
  <c r="W95" i="10"/>
  <c r="W135" i="10"/>
  <c r="W151" i="10"/>
  <c r="W252" i="10"/>
  <c r="W260" i="10"/>
  <c r="W268" i="10"/>
  <c r="W276" i="10"/>
  <c r="W284" i="10"/>
  <c r="W292" i="10"/>
  <c r="W104" i="10"/>
  <c r="W112" i="10"/>
  <c r="W120" i="10"/>
  <c r="W128" i="10"/>
  <c r="W136" i="10"/>
  <c r="W144" i="10"/>
  <c r="W152" i="10"/>
  <c r="W160" i="10"/>
  <c r="W85" i="10"/>
  <c r="W137" i="10"/>
  <c r="W167" i="10"/>
  <c r="W183" i="10"/>
  <c r="W231" i="10"/>
  <c r="W328" i="10"/>
  <c r="W313" i="10"/>
  <c r="W329" i="10"/>
  <c r="W353" i="10"/>
  <c r="W372" i="10"/>
  <c r="W275" i="10"/>
  <c r="W315" i="10"/>
  <c r="W339" i="10"/>
  <c r="W355" i="10"/>
  <c r="W415" i="10"/>
  <c r="W404" i="10"/>
  <c r="W412" i="10"/>
  <c r="W366" i="10"/>
  <c r="W398" i="10"/>
  <c r="W414" i="10"/>
  <c r="W464" i="10"/>
  <c r="W447" i="10"/>
  <c r="W473" i="10"/>
  <c r="W481" i="10"/>
  <c r="W478" i="10"/>
  <c r="W509" i="10"/>
  <c r="W496" i="10"/>
  <c r="W528" i="10"/>
  <c r="W525" i="10"/>
  <c r="W560" i="10"/>
  <c r="Q7" i="5"/>
  <c r="S7" i="5" s="1"/>
  <c r="B42" i="5"/>
  <c r="Q508" i="5" s="1"/>
  <c r="R508" i="5" s="1"/>
  <c r="B181" i="2"/>
  <c r="B260" i="2" s="1"/>
  <c r="B261" i="2" s="1"/>
  <c r="B187" i="2"/>
  <c r="B122" i="2" s="1"/>
  <c r="W7" i="5"/>
  <c r="B82" i="2"/>
  <c r="H26" i="1" s="1"/>
  <c r="B90" i="2"/>
  <c r="B86" i="2"/>
  <c r="W59" i="5"/>
  <c r="X59" i="5" s="1"/>
  <c r="W525" i="5"/>
  <c r="Y525" i="5" s="1"/>
  <c r="W376" i="5"/>
  <c r="X376" i="5" s="1"/>
  <c r="W515" i="5"/>
  <c r="Y515" i="5" s="1"/>
  <c r="W190" i="5"/>
  <c r="X190" i="5" s="1"/>
  <c r="W554" i="5"/>
  <c r="X554" i="5" s="1"/>
  <c r="W415" i="5"/>
  <c r="X415" i="5" s="1"/>
  <c r="W544" i="5"/>
  <c r="X544" i="5" s="1"/>
  <c r="W536" i="5"/>
  <c r="Y536" i="5" s="1"/>
  <c r="W339" i="5"/>
  <c r="X339" i="5" s="1"/>
  <c r="W154" i="5"/>
  <c r="X154" i="5" s="1"/>
  <c r="W448" i="5"/>
  <c r="Y448" i="5" s="1"/>
  <c r="W214" i="5"/>
  <c r="Y214" i="5" s="1"/>
  <c r="W524" i="5"/>
  <c r="X524" i="5" s="1"/>
  <c r="W373" i="5"/>
  <c r="X373" i="5" s="1"/>
  <c r="W206" i="5"/>
  <c r="X206" i="5" s="1"/>
  <c r="W107" i="5"/>
  <c r="X107" i="5" s="1"/>
  <c r="W379" i="5"/>
  <c r="X379" i="5" s="1"/>
  <c r="W464" i="5"/>
  <c r="X464" i="5" s="1"/>
  <c r="W484" i="5"/>
  <c r="Y484" i="5" s="1"/>
  <c r="W337" i="5"/>
  <c r="X337" i="5" s="1"/>
  <c r="W216" i="5"/>
  <c r="X216" i="5" s="1"/>
  <c r="W45" i="5"/>
  <c r="X45" i="5" s="1"/>
  <c r="W40" i="5"/>
  <c r="Y40" i="5" s="1"/>
  <c r="W94" i="5"/>
  <c r="Y94" i="5" s="1"/>
  <c r="W102" i="5"/>
  <c r="Y102" i="5" s="1"/>
  <c r="W132" i="5"/>
  <c r="Y132" i="5" s="1"/>
  <c r="W150" i="5"/>
  <c r="X150" i="5" s="1"/>
  <c r="W103" i="5"/>
  <c r="Y103" i="5" s="1"/>
  <c r="W194" i="5"/>
  <c r="Y194" i="5" s="1"/>
  <c r="W200" i="5"/>
  <c r="X200" i="5" s="1"/>
  <c r="W211" i="5"/>
  <c r="X211" i="5" s="1"/>
  <c r="W267" i="5"/>
  <c r="X267" i="5" s="1"/>
  <c r="W329" i="5"/>
  <c r="Y329" i="5" s="1"/>
  <c r="W273" i="5"/>
  <c r="Y273" i="5" s="1"/>
  <c r="W332" i="5"/>
  <c r="X332" i="5" s="1"/>
  <c r="W323" i="5"/>
  <c r="X323" i="5" s="1"/>
  <c r="W335" i="5"/>
  <c r="Y335" i="5" s="1"/>
  <c r="W395" i="5"/>
  <c r="X395" i="5" s="1"/>
  <c r="W320" i="5"/>
  <c r="Y320" i="5" s="1"/>
  <c r="W381" i="5"/>
  <c r="X381" i="5" s="1"/>
  <c r="W410" i="5"/>
  <c r="X410" i="5" s="1"/>
  <c r="W285" i="5"/>
  <c r="Y285" i="5" s="1"/>
  <c r="W375" i="5"/>
  <c r="Y375" i="5" s="1"/>
  <c r="W405" i="5"/>
  <c r="X405" i="5" s="1"/>
  <c r="W361" i="5"/>
  <c r="X361" i="5" s="1"/>
  <c r="W455" i="5"/>
  <c r="Y455" i="5" s="1"/>
  <c r="W479" i="5"/>
  <c r="Y479" i="5" s="1"/>
  <c r="W506" i="5"/>
  <c r="X506" i="5" s="1"/>
  <c r="W535" i="5"/>
  <c r="Y535" i="5" s="1"/>
  <c r="W411" i="5"/>
  <c r="X411" i="5" s="1"/>
  <c r="W447" i="5"/>
  <c r="Y447" i="5" s="1"/>
  <c r="W489" i="5"/>
  <c r="X489" i="5" s="1"/>
  <c r="W514" i="5"/>
  <c r="X514" i="5" s="1"/>
  <c r="W404" i="5"/>
  <c r="Y404" i="5" s="1"/>
  <c r="W460" i="5"/>
  <c r="X460" i="5" s="1"/>
  <c r="W496" i="5"/>
  <c r="Y496" i="5" s="1"/>
  <c r="W523" i="5"/>
  <c r="X523" i="5" s="1"/>
  <c r="W558" i="5"/>
  <c r="X558" i="5" s="1"/>
  <c r="W531" i="5"/>
  <c r="X531" i="5" s="1"/>
  <c r="W457" i="5"/>
  <c r="Y457" i="5" s="1"/>
  <c r="W546" i="5"/>
  <c r="Y546" i="5" s="1"/>
  <c r="W500" i="5"/>
  <c r="X500" i="5" s="1"/>
  <c r="W553" i="5"/>
  <c r="Y553" i="5" s="1"/>
  <c r="W442" i="5"/>
  <c r="Y442" i="5" s="1"/>
  <c r="W492" i="5"/>
  <c r="X492" i="5" s="1"/>
  <c r="W549" i="5"/>
  <c r="Y549" i="5" s="1"/>
  <c r="W19" i="5"/>
  <c r="Y19" i="5" s="1"/>
  <c r="W10" i="5"/>
  <c r="W44" i="5"/>
  <c r="Y44" i="5" s="1"/>
  <c r="W43" i="5"/>
  <c r="Y43" i="5" s="1"/>
  <c r="W76" i="5"/>
  <c r="X76" i="5" s="1"/>
  <c r="W66" i="5"/>
  <c r="X66" i="5" s="1"/>
  <c r="W158" i="5"/>
  <c r="X158" i="5" s="1"/>
  <c r="W128" i="5"/>
  <c r="Y128" i="5" s="1"/>
  <c r="W176" i="5"/>
  <c r="X176" i="5" s="1"/>
  <c r="W184" i="5"/>
  <c r="Y184" i="5" s="1"/>
  <c r="W248" i="5"/>
  <c r="Y248" i="5" s="1"/>
  <c r="W227" i="5"/>
  <c r="Y227" i="5" s="1"/>
  <c r="W207" i="5"/>
  <c r="Y207" i="5" s="1"/>
  <c r="W309" i="5"/>
  <c r="Y309" i="5" s="1"/>
  <c r="W255" i="5"/>
  <c r="X255" i="5" s="1"/>
  <c r="W308" i="5"/>
  <c r="X308" i="5" s="1"/>
  <c r="W292" i="5"/>
  <c r="Y292" i="5" s="1"/>
  <c r="W355" i="5"/>
  <c r="Y355" i="5" s="1"/>
  <c r="W370" i="5"/>
  <c r="Y370" i="5" s="1"/>
  <c r="W434" i="5"/>
  <c r="Y434" i="5" s="1"/>
  <c r="W366" i="5"/>
  <c r="X366" i="5" s="1"/>
  <c r="W400" i="5"/>
  <c r="Y400" i="5" s="1"/>
  <c r="W253" i="5"/>
  <c r="X253" i="5" s="1"/>
  <c r="W369" i="5"/>
  <c r="X369" i="5" s="1"/>
  <c r="W391" i="5"/>
  <c r="X391" i="5" s="1"/>
  <c r="W269" i="5"/>
  <c r="X269" i="5" s="1"/>
  <c r="W444" i="5"/>
  <c r="X444" i="5" s="1"/>
  <c r="W470" i="5"/>
  <c r="Y470" i="5" s="1"/>
  <c r="W495" i="5"/>
  <c r="Y495" i="5" s="1"/>
  <c r="W526" i="5"/>
  <c r="X526" i="5" s="1"/>
  <c r="W353" i="5"/>
  <c r="X353" i="5" s="1"/>
  <c r="W430" i="5"/>
  <c r="X430" i="5" s="1"/>
  <c r="W469" i="5"/>
  <c r="X469" i="5" s="1"/>
  <c r="W507" i="5"/>
  <c r="Y507" i="5" s="1"/>
  <c r="W365" i="5"/>
  <c r="X365" i="5" s="1"/>
  <c r="W453" i="5"/>
  <c r="Y453" i="5" s="1"/>
  <c r="W480" i="5"/>
  <c r="X480" i="5" s="1"/>
  <c r="W516" i="5"/>
  <c r="Y516" i="5" s="1"/>
  <c r="W545" i="5"/>
  <c r="X545" i="5" s="1"/>
  <c r="W462" i="5"/>
  <c r="Y462" i="5" s="1"/>
  <c r="W422" i="5"/>
  <c r="Y422" i="5" s="1"/>
  <c r="W539" i="5"/>
  <c r="X539" i="5" s="1"/>
  <c r="W474" i="5"/>
  <c r="Y474" i="5" s="1"/>
  <c r="W552" i="5"/>
  <c r="Y552" i="5" s="1"/>
  <c r="W425" i="5"/>
  <c r="X425" i="5" s="1"/>
  <c r="W482" i="5"/>
  <c r="Y482" i="5" s="1"/>
  <c r="W533" i="5"/>
  <c r="Y533" i="5" s="1"/>
  <c r="W560" i="5"/>
  <c r="Y560" i="5" s="1"/>
  <c r="W559" i="5"/>
  <c r="Y559" i="5" s="1"/>
  <c r="W459" i="5"/>
  <c r="X459" i="5" s="1"/>
  <c r="W551" i="5"/>
  <c r="Y551" i="5" s="1"/>
  <c r="W534" i="5"/>
  <c r="Y534" i="5" s="1"/>
  <c r="W439" i="5"/>
  <c r="X439" i="5" s="1"/>
  <c r="W512" i="5"/>
  <c r="Y512" i="5" s="1"/>
  <c r="W438" i="5"/>
  <c r="Y438" i="5" s="1"/>
  <c r="W502" i="5"/>
  <c r="X502" i="5" s="1"/>
  <c r="W429" i="5"/>
  <c r="X429" i="5" s="1"/>
  <c r="W520" i="5"/>
  <c r="X520" i="5" s="1"/>
  <c r="W467" i="5"/>
  <c r="X467" i="5" s="1"/>
  <c r="W236" i="5"/>
  <c r="X236" i="5" s="1"/>
  <c r="W354" i="5"/>
  <c r="X354" i="5" s="1"/>
  <c r="W398" i="5"/>
  <c r="Y398" i="5" s="1"/>
  <c r="W427" i="5"/>
  <c r="Y427" i="5" s="1"/>
  <c r="W345" i="5"/>
  <c r="X345" i="5" s="1"/>
  <c r="W301" i="5"/>
  <c r="Y301" i="5" s="1"/>
  <c r="W297" i="5"/>
  <c r="X297" i="5" s="1"/>
  <c r="W223" i="5"/>
  <c r="Y223" i="5" s="1"/>
  <c r="W181" i="5"/>
  <c r="X181" i="5" s="1"/>
  <c r="W123" i="5"/>
  <c r="Y123" i="5" s="1"/>
  <c r="W99" i="5"/>
  <c r="X99" i="5" s="1"/>
  <c r="W27" i="5"/>
  <c r="Y27" i="5" s="1"/>
  <c r="W556" i="5"/>
  <c r="X556" i="5" s="1"/>
  <c r="W452" i="5"/>
  <c r="X452" i="5" s="1"/>
  <c r="W521" i="5"/>
  <c r="X521" i="5" s="1"/>
  <c r="W486" i="5"/>
  <c r="X486" i="5" s="1"/>
  <c r="W310" i="5"/>
  <c r="Y310" i="5" s="1"/>
  <c r="W498" i="5"/>
  <c r="Y498" i="5" s="1"/>
  <c r="W431" i="5"/>
  <c r="Y431" i="5" s="1"/>
  <c r="W491" i="5"/>
  <c r="Y491" i="5" s="1"/>
  <c r="W414" i="5"/>
  <c r="Y414" i="5" s="1"/>
  <c r="W509" i="5"/>
  <c r="Y509" i="5" s="1"/>
  <c r="W461" i="5"/>
  <c r="X461" i="5" s="1"/>
  <c r="W407" i="5"/>
  <c r="X407" i="5" s="1"/>
  <c r="W305" i="5"/>
  <c r="Y305" i="5" s="1"/>
  <c r="W387" i="5"/>
  <c r="Y387" i="5" s="1"/>
  <c r="W401" i="5"/>
  <c r="W328" i="5"/>
  <c r="Y328" i="5" s="1"/>
  <c r="W277" i="5"/>
  <c r="X277" i="5" s="1"/>
  <c r="W275" i="5"/>
  <c r="Y275" i="5" s="1"/>
  <c r="W203" i="5"/>
  <c r="Y203" i="5" s="1"/>
  <c r="W139" i="5"/>
  <c r="W97" i="5"/>
  <c r="X97" i="5" s="1"/>
  <c r="W85" i="5"/>
  <c r="Y85" i="5" s="1"/>
  <c r="W34" i="5"/>
  <c r="Y34" i="5" s="1"/>
  <c r="W530" i="5"/>
  <c r="X530" i="5" s="1"/>
  <c r="W385" i="5"/>
  <c r="X385" i="5" s="1"/>
  <c r="W446" i="5"/>
  <c r="X446" i="5" s="1"/>
  <c r="W388" i="5"/>
  <c r="X388" i="5" s="1"/>
  <c r="W540" i="5"/>
  <c r="Y540" i="5" s="1"/>
  <c r="W475" i="5"/>
  <c r="Y475" i="5" s="1"/>
  <c r="W296" i="5"/>
  <c r="Y296" i="5" s="1"/>
  <c r="W466" i="5"/>
  <c r="X466" i="5" s="1"/>
  <c r="W343" i="5"/>
  <c r="X343" i="5" s="1"/>
  <c r="W490" i="5"/>
  <c r="X490" i="5" s="1"/>
  <c r="W440" i="5"/>
  <c r="X440" i="5" s="1"/>
  <c r="W390" i="5"/>
  <c r="Y390" i="5" s="1"/>
  <c r="W186" i="5"/>
  <c r="X186" i="5" s="1"/>
  <c r="W364" i="5"/>
  <c r="Y364" i="5" s="1"/>
  <c r="W360" i="5"/>
  <c r="Y360" i="5" s="1"/>
  <c r="W288" i="5"/>
  <c r="X288" i="5" s="1"/>
  <c r="W252" i="5"/>
  <c r="X252" i="5" s="1"/>
  <c r="W243" i="5"/>
  <c r="Y243" i="5" s="1"/>
  <c r="W246" i="5"/>
  <c r="X246" i="5" s="1"/>
  <c r="W164" i="5"/>
  <c r="Y164" i="5" s="1"/>
  <c r="W152" i="5"/>
  <c r="Y152" i="5" s="1"/>
  <c r="W58" i="5"/>
  <c r="Y58" i="5" s="1"/>
  <c r="W29" i="5"/>
  <c r="X29" i="5" s="1"/>
  <c r="O9" i="5"/>
  <c r="W8" i="5"/>
  <c r="W35" i="5"/>
  <c r="Y35" i="5" s="1"/>
  <c r="W21" i="5"/>
  <c r="Y21" i="5" s="1"/>
  <c r="W49" i="5"/>
  <c r="Y49" i="5" s="1"/>
  <c r="W64" i="5"/>
  <c r="Y64" i="5" s="1"/>
  <c r="W65" i="5"/>
  <c r="X65" i="5" s="1"/>
  <c r="W74" i="5"/>
  <c r="Y74" i="5" s="1"/>
  <c r="W73" i="5"/>
  <c r="Y73" i="5" s="1"/>
  <c r="W87" i="5"/>
  <c r="X87" i="5" s="1"/>
  <c r="W119" i="5"/>
  <c r="X119" i="5" s="1"/>
  <c r="W115" i="5"/>
  <c r="Y115" i="5" s="1"/>
  <c r="W110" i="5"/>
  <c r="W134" i="5"/>
  <c r="X134" i="5" s="1"/>
  <c r="W137" i="5"/>
  <c r="Y137" i="5" s="1"/>
  <c r="W171" i="5"/>
  <c r="X171" i="5" s="1"/>
  <c r="W148" i="5"/>
  <c r="X148" i="5" s="1"/>
  <c r="W202" i="5"/>
  <c r="Y202" i="5" s="1"/>
  <c r="W226" i="5"/>
  <c r="Y226" i="5" s="1"/>
  <c r="W172" i="5"/>
  <c r="X172" i="5" s="1"/>
  <c r="W209" i="5"/>
  <c r="X209" i="5" s="1"/>
  <c r="W239" i="5"/>
  <c r="X239" i="5" s="1"/>
  <c r="W229" i="5"/>
  <c r="X229" i="5" s="1"/>
  <c r="W225" i="5"/>
  <c r="Y225" i="5" s="1"/>
  <c r="W283" i="5"/>
  <c r="Y283" i="5" s="1"/>
  <c r="W315" i="5"/>
  <c r="Y315" i="5" s="1"/>
  <c r="W213" i="5"/>
  <c r="X213" i="5" s="1"/>
  <c r="W260" i="5"/>
  <c r="Y260" i="5" s="1"/>
  <c r="W279" i="5"/>
  <c r="X279" i="5" s="1"/>
  <c r="W318" i="5"/>
  <c r="X318" i="5" s="1"/>
  <c r="W251" i="5"/>
  <c r="X251" i="5" s="1"/>
  <c r="W302" i="5"/>
  <c r="Y302" i="5" s="1"/>
  <c r="W333" i="5"/>
  <c r="Y333" i="5" s="1"/>
  <c r="W268" i="5"/>
  <c r="X268" i="5" s="1"/>
  <c r="W351" i="5"/>
  <c r="Y351" i="5" s="1"/>
  <c r="W377" i="5"/>
  <c r="Y377" i="5" s="1"/>
  <c r="W412" i="5"/>
  <c r="X412" i="5" s="1"/>
  <c r="W259" i="5"/>
  <c r="Y259" i="5" s="1"/>
  <c r="W346" i="5"/>
  <c r="X346" i="5" s="1"/>
  <c r="W367" i="5"/>
  <c r="Y367" i="5" s="1"/>
  <c r="W394" i="5"/>
  <c r="X394" i="5" s="1"/>
  <c r="W403" i="5"/>
  <c r="W420" i="5"/>
  <c r="Y420" i="5" s="1"/>
  <c r="W256" i="5"/>
  <c r="Y256" i="5" s="1"/>
  <c r="W341" i="5"/>
  <c r="Y341" i="5" s="1"/>
  <c r="W371" i="5"/>
  <c r="X371" i="5" s="1"/>
  <c r="W380" i="5"/>
  <c r="X380" i="5" s="1"/>
  <c r="W393" i="5"/>
  <c r="Y393" i="5" s="1"/>
  <c r="W409" i="5"/>
  <c r="W281" i="5"/>
  <c r="X281" i="5" s="1"/>
  <c r="W423" i="5"/>
  <c r="X423" i="5" s="1"/>
  <c r="W445" i="5"/>
  <c r="Y445" i="5" s="1"/>
  <c r="W463" i="5"/>
  <c r="W473" i="5"/>
  <c r="X473" i="5" s="1"/>
  <c r="W487" i="5"/>
  <c r="X487" i="5" s="1"/>
  <c r="W497" i="5"/>
  <c r="Y497" i="5" s="1"/>
  <c r="W510" i="5"/>
  <c r="W528" i="5"/>
  <c r="Y528" i="5" s="1"/>
  <c r="W217" i="5"/>
  <c r="X217" i="5" s="1"/>
  <c r="W363" i="5"/>
  <c r="Y363" i="5" s="1"/>
  <c r="W417" i="5"/>
  <c r="X417" i="5" s="1"/>
  <c r="W441" i="5"/>
  <c r="Y441" i="5" s="1"/>
  <c r="W450" i="5"/>
  <c r="X450" i="5" s="1"/>
  <c r="W478" i="5"/>
  <c r="Y478" i="5" s="1"/>
  <c r="W494" i="5"/>
  <c r="X494" i="5" s="1"/>
  <c r="W508" i="5"/>
  <c r="Y508" i="5" s="1"/>
  <c r="W284" i="5"/>
  <c r="X284" i="5" s="1"/>
  <c r="W383" i="5"/>
  <c r="X383" i="5" s="1"/>
  <c r="W433" i="5"/>
  <c r="X433" i="5" s="1"/>
  <c r="W456" i="5"/>
  <c r="X456" i="5" s="1"/>
  <c r="W471" i="5"/>
  <c r="Y471" i="5" s="1"/>
  <c r="W483" i="5"/>
  <c r="Y483" i="5" s="1"/>
  <c r="W501" i="5"/>
  <c r="Y501" i="5" s="1"/>
  <c r="W517" i="5"/>
  <c r="W527" i="5"/>
  <c r="X527" i="5" s="1"/>
  <c r="W550" i="5"/>
  <c r="Y550" i="5" s="1"/>
  <c r="W435" i="5"/>
  <c r="Y435" i="5" s="1"/>
  <c r="W468" i="5"/>
  <c r="Y468" i="5" s="1"/>
  <c r="W557" i="5"/>
  <c r="Y557" i="5" s="1"/>
  <c r="W424" i="5"/>
  <c r="X424" i="5" s="1"/>
  <c r="W511" i="5"/>
  <c r="W541" i="5"/>
  <c r="Y541" i="5" s="1"/>
  <c r="W538" i="5"/>
  <c r="Y538" i="5" s="1"/>
  <c r="W477" i="5"/>
  <c r="X477" i="5" s="1"/>
  <c r="W522" i="5"/>
  <c r="W41" i="5"/>
  <c r="X41" i="5" s="1"/>
  <c r="W31" i="5"/>
  <c r="Y31" i="5" s="1"/>
  <c r="W69" i="5"/>
  <c r="Y69" i="5" s="1"/>
  <c r="W22" i="5"/>
  <c r="X22" i="5" s="1"/>
  <c r="W72" i="5"/>
  <c r="X72" i="5" s="1"/>
  <c r="W86" i="5"/>
  <c r="Y86" i="5" s="1"/>
  <c r="W96" i="5"/>
  <c r="Y96" i="5" s="1"/>
  <c r="W92" i="5"/>
  <c r="X92" i="5" s="1"/>
  <c r="W143" i="5"/>
  <c r="X143" i="5" s="1"/>
  <c r="W126" i="5"/>
  <c r="X126" i="5" s="1"/>
  <c r="W116" i="5"/>
  <c r="X116" i="5" s="1"/>
  <c r="W147" i="5"/>
  <c r="X147" i="5" s="1"/>
  <c r="W160" i="5"/>
  <c r="Y160" i="5" s="1"/>
  <c r="W177" i="5"/>
  <c r="Y177" i="5" s="1"/>
  <c r="W169" i="5"/>
  <c r="X169" i="5" s="1"/>
  <c r="W167" i="5"/>
  <c r="W231" i="5"/>
  <c r="Y231" i="5" s="1"/>
  <c r="W196" i="5"/>
  <c r="X196" i="5" s="1"/>
  <c r="W218" i="5"/>
  <c r="X218" i="5" s="1"/>
  <c r="W189" i="5"/>
  <c r="X189" i="5" s="1"/>
  <c r="W238" i="5"/>
  <c r="Y238" i="5" s="1"/>
  <c r="W235" i="5"/>
  <c r="X235" i="5" s="1"/>
  <c r="W287" i="5"/>
  <c r="X287" i="5" s="1"/>
  <c r="W319" i="5"/>
  <c r="W240" i="5"/>
  <c r="W265" i="5"/>
  <c r="X265" i="5" s="1"/>
  <c r="W289" i="5"/>
  <c r="Y289" i="5" s="1"/>
  <c r="W324" i="5"/>
  <c r="Y324" i="5" s="1"/>
  <c r="W266" i="5"/>
  <c r="X266" i="5" s="1"/>
  <c r="W313" i="5"/>
  <c r="Y313" i="5" s="1"/>
  <c r="W340" i="5"/>
  <c r="Y340" i="5" s="1"/>
  <c r="W298" i="5"/>
  <c r="X298" i="5" s="1"/>
  <c r="W357" i="5"/>
  <c r="X357" i="5" s="1"/>
  <c r="W384" i="5"/>
  <c r="X384" i="5" s="1"/>
  <c r="W416" i="5"/>
  <c r="X416" i="5" s="1"/>
  <c r="W300" i="5"/>
  <c r="W356" i="5"/>
  <c r="W378" i="5"/>
  <c r="Y378" i="5" s="1"/>
  <c r="W397" i="5"/>
  <c r="X397" i="5" s="1"/>
  <c r="W406" i="5"/>
  <c r="W421" i="5"/>
  <c r="X421" i="5" s="1"/>
  <c r="W261" i="5"/>
  <c r="Y261" i="5" s="1"/>
  <c r="W349" i="5"/>
  <c r="Y349" i="5" s="1"/>
  <c r="W372" i="5"/>
  <c r="Y372" i="5" s="1"/>
  <c r="W386" i="5"/>
  <c r="X386" i="5" s="1"/>
  <c r="W396" i="5"/>
  <c r="X396" i="5" s="1"/>
  <c r="W418" i="5"/>
  <c r="X418" i="5" s="1"/>
  <c r="W293" i="5"/>
  <c r="X293" i="5" s="1"/>
  <c r="W426" i="5"/>
  <c r="W449" i="5"/>
  <c r="Y449" i="5" s="1"/>
  <c r="W465" i="5"/>
  <c r="Y465" i="5" s="1"/>
  <c r="W476" i="5"/>
  <c r="W488" i="5"/>
  <c r="Y488" i="5" s="1"/>
  <c r="W503" i="5"/>
  <c r="X503" i="5" s="1"/>
  <c r="W518" i="5"/>
  <c r="X518" i="5" s="1"/>
  <c r="W529" i="5"/>
  <c r="W307" i="5"/>
  <c r="X307" i="5" s="1"/>
  <c r="W402" i="5"/>
  <c r="X402" i="5" s="1"/>
  <c r="W428" i="5"/>
  <c r="Y428" i="5" s="1"/>
  <c r="W443" i="5"/>
  <c r="X443" i="5" s="1"/>
  <c r="W451" i="5"/>
  <c r="Y451" i="5" s="1"/>
  <c r="W481" i="5"/>
  <c r="Y481" i="5" s="1"/>
  <c r="W499" i="5"/>
  <c r="Y499" i="5" s="1"/>
  <c r="W513" i="5"/>
  <c r="X513" i="5" s="1"/>
  <c r="W290" i="5"/>
  <c r="W389" i="5"/>
  <c r="X389" i="5" s="1"/>
  <c r="W436" i="5"/>
  <c r="X436" i="5" s="1"/>
  <c r="W458" i="5"/>
  <c r="W472" i="5"/>
  <c r="Y472" i="5" s="1"/>
  <c r="W485" i="5"/>
  <c r="X485" i="5" s="1"/>
  <c r="W504" i="5"/>
  <c r="Y504" i="5" s="1"/>
  <c r="W519" i="5"/>
  <c r="W537" i="5"/>
  <c r="Y537" i="5" s="1"/>
  <c r="W555" i="5"/>
  <c r="X555" i="5" s="1"/>
  <c r="W437" i="5"/>
  <c r="X437" i="5" s="1"/>
  <c r="W505" i="5"/>
  <c r="Y505" i="5" s="1"/>
  <c r="W547" i="5"/>
  <c r="Y547" i="5" s="1"/>
  <c r="W454" i="5"/>
  <c r="X454" i="5" s="1"/>
  <c r="W532" i="5"/>
  <c r="Y532" i="5" s="1"/>
  <c r="W542" i="5"/>
  <c r="Y542" i="5" s="1"/>
  <c r="W543" i="5"/>
  <c r="W493" i="5"/>
  <c r="X493" i="5" s="1"/>
  <c r="W548" i="5"/>
  <c r="Y548" i="5" s="1"/>
  <c r="U10" i="5"/>
  <c r="V10" i="5"/>
  <c r="W23" i="5"/>
  <c r="Y23" i="5" s="1"/>
  <c r="W241" i="5"/>
  <c r="W197" i="5"/>
  <c r="X197" i="5" s="1"/>
  <c r="W191" i="5"/>
  <c r="Y191" i="5" s="1"/>
  <c r="W163" i="5"/>
  <c r="W179" i="5"/>
  <c r="W168" i="5"/>
  <c r="W112" i="5"/>
  <c r="W140" i="5"/>
  <c r="Y140" i="5" s="1"/>
  <c r="W118" i="5"/>
  <c r="Y118" i="5" s="1"/>
  <c r="W141" i="5"/>
  <c r="X141" i="5" s="1"/>
  <c r="W108" i="5"/>
  <c r="Y108" i="5" s="1"/>
  <c r="W130" i="5"/>
  <c r="W95" i="5"/>
  <c r="W106" i="5"/>
  <c r="X106" i="5" s="1"/>
  <c r="W91" i="5"/>
  <c r="Y91" i="5" s="1"/>
  <c r="W81" i="5"/>
  <c r="X81" i="5" s="1"/>
  <c r="W79" i="5"/>
  <c r="W50" i="5"/>
  <c r="Y50" i="5" s="1"/>
  <c r="W53" i="5"/>
  <c r="X53" i="5" s="1"/>
  <c r="W60" i="5"/>
  <c r="Y60" i="5" s="1"/>
  <c r="W39" i="5"/>
  <c r="W33" i="5"/>
  <c r="X33" i="5" s="1"/>
  <c r="W20" i="5"/>
  <c r="W37" i="5"/>
  <c r="X37" i="5" s="1"/>
  <c r="W30" i="5"/>
  <c r="X30" i="5" s="1"/>
  <c r="W46" i="5"/>
  <c r="W32" i="5"/>
  <c r="Y32" i="5" s="1"/>
  <c r="W51" i="5"/>
  <c r="X51" i="5" s="1"/>
  <c r="W57" i="5"/>
  <c r="W71" i="5"/>
  <c r="W52" i="5"/>
  <c r="W68" i="5"/>
  <c r="X68" i="5" s="1"/>
  <c r="W48" i="5"/>
  <c r="X48" i="5" s="1"/>
  <c r="W62" i="5"/>
  <c r="W75" i="5"/>
  <c r="X75" i="5" s="1"/>
  <c r="W70" i="5"/>
  <c r="X70" i="5" s="1"/>
  <c r="W77" i="5"/>
  <c r="X77" i="5" s="1"/>
  <c r="W90" i="5"/>
  <c r="X90" i="5" s="1"/>
  <c r="W88" i="5"/>
  <c r="W82" i="5"/>
  <c r="X82" i="5" s="1"/>
  <c r="W104" i="5"/>
  <c r="Y104" i="5" s="1"/>
  <c r="W84" i="5"/>
  <c r="X84" i="5" s="1"/>
  <c r="W93" i="5"/>
  <c r="X93" i="5" s="1"/>
  <c r="W105" i="5"/>
  <c r="X105" i="5" s="1"/>
  <c r="W122" i="5"/>
  <c r="Y122" i="5" s="1"/>
  <c r="W146" i="5"/>
  <c r="Y146" i="5" s="1"/>
  <c r="W159" i="5"/>
  <c r="W121" i="5"/>
  <c r="X121" i="5" s="1"/>
  <c r="W136" i="5"/>
  <c r="Y136" i="5" s="1"/>
  <c r="W101" i="5"/>
  <c r="Y101" i="5" s="1"/>
  <c r="W117" i="5"/>
  <c r="Y117" i="5" s="1"/>
  <c r="W125" i="5"/>
  <c r="Y125" i="5" s="1"/>
  <c r="W135" i="5"/>
  <c r="Y135" i="5" s="1"/>
  <c r="W149" i="5"/>
  <c r="W155" i="5"/>
  <c r="W156" i="5"/>
  <c r="Y156" i="5" s="1"/>
  <c r="W166" i="5"/>
  <c r="Y166" i="5" s="1"/>
  <c r="W180" i="5"/>
  <c r="X180" i="5" s="1"/>
  <c r="W178" i="5"/>
  <c r="Y178" i="5" s="1"/>
  <c r="W124" i="5"/>
  <c r="Y124" i="5" s="1"/>
  <c r="W151" i="5"/>
  <c r="Y151" i="5" s="1"/>
  <c r="W170" i="5"/>
  <c r="Y170" i="5" s="1"/>
  <c r="W188" i="5"/>
  <c r="W205" i="5"/>
  <c r="X205" i="5" s="1"/>
  <c r="W195" i="5"/>
  <c r="Y195" i="5" s="1"/>
  <c r="W219" i="5"/>
  <c r="W237" i="5"/>
  <c r="X237" i="5" s="1"/>
  <c r="W247" i="5"/>
  <c r="Y247" i="5" s="1"/>
  <c r="W175" i="5"/>
  <c r="X175" i="5" s="1"/>
  <c r="W201" i="5"/>
  <c r="W215" i="5"/>
  <c r="W224" i="5"/>
  <c r="Y224" i="5" s="1"/>
  <c r="W245" i="5"/>
  <c r="X245" i="5" s="1"/>
  <c r="W212" i="5"/>
  <c r="Y212" i="5" s="1"/>
  <c r="W232" i="5"/>
  <c r="W129" i="5"/>
  <c r="Y129" i="5" s="1"/>
  <c r="W230" i="5"/>
  <c r="X230" i="5" s="1"/>
  <c r="W272" i="5"/>
  <c r="Y272" i="5" s="1"/>
  <c r="W286" i="5"/>
  <c r="W304" i="5"/>
  <c r="Y304" i="5" s="1"/>
  <c r="W317" i="5"/>
  <c r="Y317" i="5" s="1"/>
  <c r="W330" i="5"/>
  <c r="X330" i="5" s="1"/>
  <c r="W221" i="5"/>
  <c r="X221" i="5" s="1"/>
  <c r="W254" i="5"/>
  <c r="Y254" i="5" s="1"/>
  <c r="W263" i="5"/>
  <c r="Y263" i="5" s="1"/>
  <c r="W274" i="5"/>
  <c r="X274" i="5" s="1"/>
  <c r="W282" i="5"/>
  <c r="W306" i="5"/>
  <c r="Y306" i="5" s="1"/>
  <c r="W322" i="5"/>
  <c r="W185" i="5"/>
  <c r="X185" i="5" s="1"/>
  <c r="W258" i="5"/>
  <c r="X258" i="5" s="1"/>
  <c r="W291" i="5"/>
  <c r="Y291" i="5" s="1"/>
  <c r="W311" i="5"/>
  <c r="Y311" i="5" s="1"/>
  <c r="W325" i="5"/>
  <c r="Y325" i="5" s="1"/>
  <c r="W336" i="5"/>
  <c r="W347" i="5"/>
  <c r="X347" i="5" s="1"/>
  <c r="W271" i="5"/>
  <c r="Y271" i="5" s="1"/>
  <c r="W338" i="5"/>
  <c r="W352" i="5"/>
  <c r="X352" i="5" s="1"/>
  <c r="W368" i="5"/>
  <c r="Y368" i="5" s="1"/>
  <c r="W382" i="5"/>
  <c r="Y382" i="5" s="1"/>
  <c r="W399" i="5"/>
  <c r="X399" i="5" s="1"/>
  <c r="W413" i="5"/>
  <c r="W432" i="5"/>
  <c r="Y432" i="5" s="1"/>
  <c r="W264" i="5"/>
  <c r="X264" i="5" s="1"/>
  <c r="W334" i="5"/>
  <c r="W350" i="5"/>
  <c r="Y350" i="5" s="1"/>
  <c r="W25" i="5"/>
  <c r="Y25" i="5" s="1"/>
  <c r="W28" i="5"/>
  <c r="X28" i="5" s="1"/>
  <c r="W38" i="5"/>
  <c r="W24" i="5"/>
  <c r="Y24" i="5" s="1"/>
  <c r="W42" i="5"/>
  <c r="W47" i="5"/>
  <c r="X47" i="5" s="1"/>
  <c r="W61" i="5"/>
  <c r="X61" i="5" s="1"/>
  <c r="W36" i="5"/>
  <c r="Y36" i="5" s="1"/>
  <c r="W54" i="5"/>
  <c r="W26" i="5"/>
  <c r="X26" i="5" s="1"/>
  <c r="W56" i="5"/>
  <c r="W67" i="5"/>
  <c r="W55" i="5"/>
  <c r="X55" i="5" s="1"/>
  <c r="W80" i="5"/>
  <c r="W83" i="5"/>
  <c r="W78" i="5"/>
  <c r="W63" i="5"/>
  <c r="X63" i="5" s="1"/>
  <c r="W98" i="5"/>
  <c r="X98" i="5" s="1"/>
  <c r="W109" i="5"/>
  <c r="W89" i="5"/>
  <c r="W100" i="5"/>
  <c r="W114" i="5"/>
  <c r="Y114" i="5" s="1"/>
  <c r="W138" i="5"/>
  <c r="W157" i="5"/>
  <c r="X157" i="5" s="1"/>
  <c r="W113" i="5"/>
  <c r="W127" i="5"/>
  <c r="X127" i="5" s="1"/>
  <c r="W145" i="5"/>
  <c r="W111" i="5"/>
  <c r="W120" i="5"/>
  <c r="Y120" i="5" s="1"/>
  <c r="W133" i="5"/>
  <c r="Y133" i="5" s="1"/>
  <c r="W144" i="5"/>
  <c r="W153" i="5"/>
  <c r="W131" i="5"/>
  <c r="X131" i="5" s="1"/>
  <c r="W162" i="5"/>
  <c r="X162" i="5" s="1"/>
  <c r="W174" i="5"/>
  <c r="W173" i="5"/>
  <c r="W183" i="5"/>
  <c r="W142" i="5"/>
  <c r="X142" i="5" s="1"/>
  <c r="W165" i="5"/>
  <c r="Y165" i="5" s="1"/>
  <c r="W182" i="5"/>
  <c r="W199" i="5"/>
  <c r="W187" i="5"/>
  <c r="X187" i="5" s="1"/>
  <c r="W204" i="5"/>
  <c r="W228" i="5"/>
  <c r="W244" i="5"/>
  <c r="X244" i="5" s="1"/>
  <c r="W161" i="5"/>
  <c r="Y161" i="5" s="1"/>
  <c r="W198" i="5"/>
  <c r="W208" i="5"/>
  <c r="W220" i="5"/>
  <c r="X220" i="5" s="1"/>
  <c r="W234" i="5"/>
  <c r="X234" i="5" s="1"/>
  <c r="W193" i="5"/>
  <c r="W222" i="5"/>
  <c r="Y222" i="5" s="1"/>
  <c r="W242" i="5"/>
  <c r="W210" i="5"/>
  <c r="Y210" i="5" s="1"/>
  <c r="W262" i="5"/>
  <c r="W280" i="5"/>
  <c r="Y280" i="5" s="1"/>
  <c r="W294" i="5"/>
  <c r="W312" i="5"/>
  <c r="Y312" i="5" s="1"/>
  <c r="W326" i="5"/>
  <c r="X326" i="5" s="1"/>
  <c r="W192" i="5"/>
  <c r="W249" i="5"/>
  <c r="X249" i="5" s="1"/>
  <c r="W257" i="5"/>
  <c r="W270" i="5"/>
  <c r="W278" i="5"/>
  <c r="W295" i="5"/>
  <c r="Y295" i="5" s="1"/>
  <c r="W314" i="5"/>
  <c r="X314" i="5" s="1"/>
  <c r="W327" i="5"/>
  <c r="Y327" i="5" s="1"/>
  <c r="W250" i="5"/>
  <c r="W276" i="5"/>
  <c r="W299" i="5"/>
  <c r="X299" i="5" s="1"/>
  <c r="W316" i="5"/>
  <c r="Y316" i="5" s="1"/>
  <c r="W331" i="5"/>
  <c r="W344" i="5"/>
  <c r="W359" i="5"/>
  <c r="X359" i="5" s="1"/>
  <c r="W321" i="5"/>
  <c r="X321" i="5" s="1"/>
  <c r="W348" i="5"/>
  <c r="Y348" i="5" s="1"/>
  <c r="W358" i="5"/>
  <c r="X358" i="5" s="1"/>
  <c r="W374" i="5"/>
  <c r="X374" i="5" s="1"/>
  <c r="W392" i="5"/>
  <c r="W408" i="5"/>
  <c r="Y408" i="5" s="1"/>
  <c r="W419" i="5"/>
  <c r="X419" i="5" s="1"/>
  <c r="W233" i="5"/>
  <c r="X233" i="5" s="1"/>
  <c r="W303" i="5"/>
  <c r="Y303" i="5" s="1"/>
  <c r="W342" i="5"/>
  <c r="W362" i="5"/>
  <c r="AF7" i="5" l="1"/>
  <c r="AF10" i="5"/>
  <c r="AF522" i="5"/>
  <c r="AF245" i="5"/>
  <c r="AF453" i="5"/>
  <c r="AF196" i="5"/>
  <c r="AF505" i="5"/>
  <c r="AF289" i="5"/>
  <c r="AF90" i="5"/>
  <c r="AF366" i="5"/>
  <c r="AF206" i="5"/>
  <c r="AF543" i="5"/>
  <c r="AF470" i="5"/>
  <c r="AF422" i="5"/>
  <c r="AF262" i="5"/>
  <c r="AF113" i="5"/>
  <c r="AF19" i="5"/>
  <c r="AF504" i="5"/>
  <c r="AF414" i="5"/>
  <c r="AF286" i="5"/>
  <c r="AF68" i="5"/>
  <c r="AF401" i="5"/>
  <c r="AF322" i="5"/>
  <c r="AF449" i="5"/>
  <c r="AF421" i="5"/>
  <c r="AF419" i="5"/>
  <c r="AF405" i="5"/>
  <c r="AF296" i="5"/>
  <c r="AF221" i="5"/>
  <c r="AF110" i="5"/>
  <c r="AF493" i="5"/>
  <c r="AF546" i="5"/>
  <c r="AF492" i="5"/>
  <c r="AF477" i="5"/>
  <c r="AF464" i="5"/>
  <c r="AF353" i="5"/>
  <c r="AF317" i="5"/>
  <c r="AF244" i="5"/>
  <c r="AF108" i="5"/>
  <c r="AF51" i="5"/>
  <c r="AF73" i="5"/>
  <c r="AF135" i="5"/>
  <c r="AF200" i="5"/>
  <c r="AF236" i="5"/>
  <c r="AF292" i="5"/>
  <c r="AF323" i="5"/>
  <c r="AF252" i="5"/>
  <c r="AF441" i="5"/>
  <c r="AF418" i="5"/>
  <c r="AF388" i="5"/>
  <c r="AF43" i="5"/>
  <c r="AF86" i="5"/>
  <c r="AF120" i="5"/>
  <c r="AF232" i="5"/>
  <c r="AF219" i="5"/>
  <c r="AF183" i="5"/>
  <c r="AF290" i="5"/>
  <c r="AF354" i="5"/>
  <c r="AF315" i="5"/>
  <c r="AF371" i="5"/>
  <c r="AF442" i="5"/>
  <c r="AF163" i="5"/>
  <c r="AF156" i="5"/>
  <c r="AF69" i="5"/>
  <c r="AF21" i="5"/>
  <c r="AF152" i="5"/>
  <c r="AF154" i="5"/>
  <c r="AF85" i="5"/>
  <c r="AF76" i="5"/>
  <c r="AF22" i="5"/>
  <c r="AF511" i="5"/>
  <c r="AF523" i="5"/>
  <c r="AF364" i="5"/>
  <c r="AF459" i="5"/>
  <c r="AF272" i="5"/>
  <c r="AF520" i="5"/>
  <c r="AF304" i="5"/>
  <c r="AF213" i="5"/>
  <c r="AF383" i="5"/>
  <c r="AF194" i="5"/>
  <c r="AF406" i="5"/>
  <c r="AF130" i="5"/>
  <c r="AF12" i="5"/>
  <c r="AF471" i="5"/>
  <c r="AF243" i="5"/>
  <c r="AF517" i="5"/>
  <c r="AF199" i="5"/>
  <c r="AF437" i="5"/>
  <c r="AF235" i="5"/>
  <c r="AF510" i="5"/>
  <c r="AF483" i="5"/>
  <c r="AF146" i="5"/>
  <c r="AF559" i="5"/>
  <c r="AF446" i="5"/>
  <c r="AF412" i="5"/>
  <c r="AF285" i="5"/>
  <c r="AF91" i="5"/>
  <c r="AF560" i="5"/>
  <c r="AF468" i="5"/>
  <c r="AF332" i="5"/>
  <c r="AF226" i="5"/>
  <c r="AF55" i="5"/>
  <c r="AF541" i="5"/>
  <c r="AF545" i="5"/>
  <c r="AF432" i="5"/>
  <c r="AF536" i="5"/>
  <c r="AF389" i="5"/>
  <c r="AF372" i="5"/>
  <c r="AF261" i="5"/>
  <c r="AF187" i="5"/>
  <c r="AF109" i="5"/>
  <c r="AF549" i="5"/>
  <c r="AF499" i="5"/>
  <c r="AF476" i="5"/>
  <c r="AF462" i="5"/>
  <c r="AF435" i="5"/>
  <c r="AF309" i="5"/>
  <c r="AF275" i="5"/>
  <c r="AF210" i="5"/>
  <c r="AF136" i="5"/>
  <c r="AF28" i="5"/>
  <c r="AF71" i="5"/>
  <c r="AF153" i="5"/>
  <c r="AF179" i="5"/>
  <c r="AF177" i="5"/>
  <c r="AF308" i="5"/>
  <c r="AF234" i="5"/>
  <c r="AF274" i="5"/>
  <c r="AF254" i="5"/>
  <c r="AF334" i="5"/>
  <c r="AF403" i="5"/>
  <c r="AF41" i="5"/>
  <c r="AF106" i="5"/>
  <c r="AF181" i="5"/>
  <c r="AF178" i="5"/>
  <c r="AF237" i="5"/>
  <c r="AF259" i="5"/>
  <c r="AF305" i="5"/>
  <c r="AF368" i="5"/>
  <c r="AF347" i="5"/>
  <c r="AF384" i="5"/>
  <c r="AF458" i="5"/>
  <c r="AF143" i="5"/>
  <c r="AF124" i="5"/>
  <c r="AF66" i="5"/>
  <c r="AF211" i="5"/>
  <c r="AF122" i="5"/>
  <c r="AF147" i="5"/>
  <c r="AF99" i="5"/>
  <c r="AF53" i="5"/>
  <c r="AF36" i="5"/>
  <c r="AF448" i="5"/>
  <c r="AF207" i="5"/>
  <c r="AF488" i="5"/>
  <c r="AF205" i="5"/>
  <c r="AF516" i="5"/>
  <c r="AF64" i="5"/>
  <c r="AF288" i="5"/>
  <c r="AF79" i="5"/>
  <c r="AF247" i="5"/>
  <c r="AF117" i="5"/>
  <c r="AF13" i="5"/>
  <c r="AF537" i="5"/>
  <c r="AF540" i="5"/>
  <c r="AF415" i="5"/>
  <c r="AF151" i="5"/>
  <c r="AF501" i="5"/>
  <c r="AF180" i="5"/>
  <c r="AF547" i="5"/>
  <c r="AF408" i="5"/>
  <c r="AF24" i="5"/>
  <c r="AF548" i="5"/>
  <c r="AF223" i="5"/>
  <c r="AF338" i="5"/>
  <c r="AF319" i="5"/>
  <c r="AF92" i="5"/>
  <c r="AF502" i="5"/>
  <c r="AF424" i="5"/>
  <c r="AF428" i="5"/>
  <c r="AF233" i="5"/>
  <c r="AF67" i="5"/>
  <c r="AF557" i="5"/>
  <c r="AF528" i="5"/>
  <c r="AF345" i="5"/>
  <c r="AF527" i="5"/>
  <c r="AF363" i="5"/>
  <c r="AF340" i="5"/>
  <c r="AF328" i="5"/>
  <c r="AF220" i="5"/>
  <c r="AF98" i="5"/>
  <c r="AF538" i="5"/>
  <c r="AF431" i="5"/>
  <c r="AF465" i="5"/>
  <c r="AF452" i="5"/>
  <c r="AF400" i="5"/>
  <c r="AF239" i="5"/>
  <c r="AF218" i="5"/>
  <c r="AF139" i="5"/>
  <c r="AF150" i="5"/>
  <c r="AF32" i="5"/>
  <c r="AF87" i="5"/>
  <c r="AF114" i="5"/>
  <c r="AF209" i="5"/>
  <c r="AF202" i="5"/>
  <c r="AF325" i="5"/>
  <c r="AF267" i="5"/>
  <c r="AF301" i="5"/>
  <c r="AF283" i="5"/>
  <c r="AF346" i="5"/>
  <c r="AF425" i="5"/>
  <c r="AF60" i="5"/>
  <c r="AF148" i="5"/>
  <c r="AF137" i="5"/>
  <c r="AF195" i="5"/>
  <c r="AF246" i="5"/>
  <c r="AF271" i="5"/>
  <c r="AF326" i="5"/>
  <c r="AF386" i="5"/>
  <c r="AF369" i="5"/>
  <c r="AF399" i="5"/>
  <c r="AF475" i="5"/>
  <c r="AF115" i="5"/>
  <c r="AF104" i="5"/>
  <c r="AF47" i="5"/>
  <c r="AF189" i="5"/>
  <c r="AF184" i="5"/>
  <c r="AF133" i="5"/>
  <c r="AF100" i="5"/>
  <c r="AF30" i="5"/>
  <c r="AF45" i="5"/>
  <c r="AF256" i="5"/>
  <c r="AF248" i="5"/>
  <c r="AF298" i="5"/>
  <c r="AF444" i="5"/>
  <c r="AF281" i="5"/>
  <c r="AF398" i="5"/>
  <c r="AF526" i="5"/>
  <c r="AF455" i="5"/>
  <c r="AF544" i="5"/>
  <c r="AF434" i="5"/>
  <c r="AF525" i="5"/>
  <c r="AF265" i="5"/>
  <c r="AF167" i="5"/>
  <c r="AF393" i="5"/>
  <c r="AF186" i="5"/>
  <c r="AF335" i="5"/>
  <c r="AF11" i="5"/>
  <c r="AF534" i="5"/>
  <c r="AF531" i="5"/>
  <c r="AF337" i="5"/>
  <c r="AF494" i="5"/>
  <c r="AF382" i="5"/>
  <c r="AF89" i="5"/>
  <c r="AF551" i="5"/>
  <c r="AF373" i="5"/>
  <c r="AF553" i="5"/>
  <c r="AF552" i="5"/>
  <c r="AF480" i="5"/>
  <c r="AF375" i="5"/>
  <c r="AF258" i="5"/>
  <c r="AF23" i="5"/>
  <c r="AF535" i="5"/>
  <c r="AF533" i="5"/>
  <c r="AF355" i="5"/>
  <c r="AF242" i="5"/>
  <c r="AF20" i="5"/>
  <c r="AF508" i="5"/>
  <c r="AF519" i="5"/>
  <c r="AF507" i="5"/>
  <c r="AF515" i="5"/>
  <c r="AF314" i="5"/>
  <c r="AF260" i="5"/>
  <c r="AF299" i="5"/>
  <c r="AF82" i="5"/>
  <c r="AF29" i="5"/>
  <c r="AF443" i="5"/>
  <c r="AF374" i="5"/>
  <c r="AF454" i="5"/>
  <c r="AF423" i="5"/>
  <c r="AF263" i="5"/>
  <c r="AF407" i="5"/>
  <c r="AF300" i="5"/>
  <c r="AF222" i="5"/>
  <c r="AF111" i="5"/>
  <c r="AF34" i="5"/>
  <c r="AF84" i="5"/>
  <c r="AF145" i="5"/>
  <c r="AF229" i="5"/>
  <c r="AF214" i="5"/>
  <c r="AF171" i="5"/>
  <c r="AF284" i="5"/>
  <c r="AF349" i="5"/>
  <c r="AF312" i="5"/>
  <c r="AF370" i="5"/>
  <c r="AF436" i="5"/>
  <c r="AF49" i="5"/>
  <c r="AF102" i="5"/>
  <c r="AF175" i="5"/>
  <c r="AF217" i="5"/>
  <c r="AF270" i="5"/>
  <c r="AF291" i="5"/>
  <c r="AF341" i="5"/>
  <c r="AF396" i="5"/>
  <c r="AF385" i="5"/>
  <c r="AF416" i="5"/>
  <c r="AF174" i="5"/>
  <c r="AF88" i="5"/>
  <c r="AF95" i="5"/>
  <c r="AF65" i="5"/>
  <c r="AF158" i="5"/>
  <c r="AF169" i="5"/>
  <c r="AF125" i="5"/>
  <c r="AF83" i="5"/>
  <c r="AF58" i="5"/>
  <c r="AF539" i="5"/>
  <c r="AF81" i="5"/>
  <c r="AF473" i="5"/>
  <c r="AF132" i="5"/>
  <c r="AF320" i="5"/>
  <c r="AF93" i="5"/>
  <c r="AF331" i="5"/>
  <c r="AF155" i="5"/>
  <c r="AF277" i="5"/>
  <c r="AF74" i="5"/>
  <c r="AF31" i="5"/>
  <c r="AF466" i="5"/>
  <c r="AF445" i="5"/>
  <c r="AF273" i="5"/>
  <c r="AF487" i="5"/>
  <c r="AF417" i="5"/>
  <c r="AF379" i="5"/>
  <c r="AF555" i="5"/>
  <c r="AF387" i="5"/>
  <c r="AF450" i="5"/>
  <c r="AF469" i="5"/>
  <c r="AF457" i="5"/>
  <c r="AF280" i="5"/>
  <c r="AF197" i="5"/>
  <c r="AF165" i="5"/>
  <c r="AF509" i="5"/>
  <c r="AF497" i="5"/>
  <c r="AF360" i="5"/>
  <c r="AF176" i="5"/>
  <c r="AF524" i="5"/>
  <c r="AF356" i="5"/>
  <c r="AF503" i="5"/>
  <c r="AF486" i="5"/>
  <c r="AF491" i="5"/>
  <c r="AF390" i="5"/>
  <c r="AF344" i="5"/>
  <c r="AF276" i="5"/>
  <c r="AF185" i="5"/>
  <c r="AF59" i="5"/>
  <c r="AF542" i="5"/>
  <c r="AF554" i="5"/>
  <c r="AF440" i="5"/>
  <c r="AF359" i="5"/>
  <c r="AF392" i="5"/>
  <c r="AF376" i="5"/>
  <c r="AF264" i="5"/>
  <c r="AF190" i="5"/>
  <c r="AF101" i="5"/>
  <c r="AF26" i="5"/>
  <c r="AF94" i="5"/>
  <c r="AF170" i="5"/>
  <c r="AF251" i="5"/>
  <c r="AF231" i="5"/>
  <c r="AF253" i="5"/>
  <c r="AF302" i="5"/>
  <c r="AF367" i="5"/>
  <c r="AF343" i="5"/>
  <c r="AF380" i="5"/>
  <c r="AF456" i="5"/>
  <c r="AF38" i="5"/>
  <c r="AF123" i="5"/>
  <c r="AF166" i="5"/>
  <c r="AF230" i="5"/>
  <c r="AF282" i="5"/>
  <c r="AF307" i="5"/>
  <c r="AF358" i="5"/>
  <c r="AF410" i="5"/>
  <c r="AF411" i="5"/>
  <c r="AF348" i="5"/>
  <c r="AF118" i="5"/>
  <c r="AF149" i="5"/>
  <c r="AF57" i="5"/>
  <c r="AF52" i="5"/>
  <c r="AF192" i="5"/>
  <c r="AF138" i="5"/>
  <c r="AF112" i="5"/>
  <c r="AF97" i="5"/>
  <c r="AF72" i="5"/>
  <c r="AF467" i="5"/>
  <c r="AF293" i="5"/>
  <c r="AF128" i="5"/>
  <c r="AF306" i="5"/>
  <c r="AF512" i="5"/>
  <c r="AF173" i="5"/>
  <c r="AF266" i="5"/>
  <c r="AF490" i="5"/>
  <c r="AF311" i="5"/>
  <c r="AF134" i="5"/>
  <c r="AF8" i="5"/>
  <c r="AF482" i="5"/>
  <c r="AF521" i="5"/>
  <c r="AF287" i="5"/>
  <c r="AF427" i="5"/>
  <c r="AF438" i="5"/>
  <c r="AF339" i="5"/>
  <c r="AF495" i="5"/>
  <c r="AF329" i="5"/>
  <c r="AF481" i="5"/>
  <c r="AF556" i="5"/>
  <c r="AF378" i="5"/>
  <c r="AF391" i="5"/>
  <c r="AF212" i="5"/>
  <c r="AF129" i="5"/>
  <c r="AF479" i="5"/>
  <c r="AF447" i="5"/>
  <c r="AF294" i="5"/>
  <c r="AF161" i="5"/>
  <c r="AF489" i="5"/>
  <c r="AF530" i="5"/>
  <c r="AF484" i="5"/>
  <c r="AF474" i="5"/>
  <c r="AF460" i="5"/>
  <c r="AF351" i="5"/>
  <c r="AF310" i="5"/>
  <c r="AF241" i="5"/>
  <c r="AF188" i="5"/>
  <c r="AF50" i="5"/>
  <c r="AF558" i="5"/>
  <c r="AF529" i="5"/>
  <c r="AF420" i="5"/>
  <c r="AF532" i="5"/>
  <c r="AF365" i="5"/>
  <c r="AF342" i="5"/>
  <c r="AF333" i="5"/>
  <c r="AF224" i="5"/>
  <c r="AF80" i="5"/>
  <c r="AF56" i="5"/>
  <c r="AF126" i="5"/>
  <c r="AF119" i="5"/>
  <c r="AF191" i="5"/>
  <c r="AF201" i="5"/>
  <c r="AF269" i="5"/>
  <c r="AF321" i="5"/>
  <c r="AF381" i="5"/>
  <c r="AF361" i="5"/>
  <c r="AF395" i="5"/>
  <c r="AF472" i="5"/>
  <c r="AF77" i="5"/>
  <c r="AF140" i="5"/>
  <c r="AF204" i="5"/>
  <c r="AF238" i="5"/>
  <c r="AF297" i="5"/>
  <c r="AF198" i="5"/>
  <c r="AF255" i="5"/>
  <c r="AF193" i="5"/>
  <c r="AF249" i="5"/>
  <c r="AF394" i="5"/>
  <c r="AF162" i="5"/>
  <c r="AF131" i="5"/>
  <c r="AF61" i="5"/>
  <c r="AF25" i="5"/>
  <c r="AF168" i="5"/>
  <c r="AF141" i="5"/>
  <c r="AF105" i="5"/>
  <c r="AF48" i="5"/>
  <c r="AF62" i="5"/>
  <c r="AF313" i="5"/>
  <c r="AF27" i="5"/>
  <c r="AF46" i="5"/>
  <c r="AF413" i="5"/>
  <c r="AF257" i="5"/>
  <c r="AF430" i="5"/>
  <c r="AF250" i="5"/>
  <c r="AF377" i="5"/>
  <c r="AF208" i="5"/>
  <c r="AF496" i="5"/>
  <c r="AF164" i="5"/>
  <c r="AF39" i="5"/>
  <c r="AF295" i="5"/>
  <c r="AF172" i="5"/>
  <c r="AF37" i="5"/>
  <c r="AF96" i="5"/>
  <c r="AF121" i="5"/>
  <c r="AF70" i="5"/>
  <c r="AF116" i="5"/>
  <c r="AF42" i="5"/>
  <c r="AF362" i="5"/>
  <c r="AF513" i="5"/>
  <c r="AF227" i="5"/>
  <c r="AF215" i="5"/>
  <c r="AF402" i="5"/>
  <c r="AF225" i="5"/>
  <c r="AF357" i="5"/>
  <c r="AF33" i="5"/>
  <c r="AF426" i="5"/>
  <c r="AF514" i="5"/>
  <c r="AF500" i="5"/>
  <c r="AF54" i="5"/>
  <c r="AF240" i="5"/>
  <c r="AF350" i="5"/>
  <c r="AF279" i="5"/>
  <c r="AF127" i="5"/>
  <c r="AF433" i="5"/>
  <c r="AF103" i="5"/>
  <c r="AF439" i="5"/>
  <c r="AF498" i="5"/>
  <c r="AF44" i="5"/>
  <c r="AF316" i="5"/>
  <c r="AF485" i="5"/>
  <c r="AF518" i="5"/>
  <c r="AF144" i="5"/>
  <c r="AF278" i="5"/>
  <c r="AF303" i="5"/>
  <c r="AF216" i="5"/>
  <c r="AF182" i="5"/>
  <c r="AF160" i="5"/>
  <c r="AF352" i="5"/>
  <c r="AF107" i="5"/>
  <c r="AF142" i="5"/>
  <c r="AF75" i="5"/>
  <c r="AF40" i="5"/>
  <c r="AF9" i="5"/>
  <c r="AF461" i="5"/>
  <c r="AF330" i="5"/>
  <c r="AF429" i="5"/>
  <c r="AF550" i="5"/>
  <c r="AF159" i="5"/>
  <c r="AF203" i="5"/>
  <c r="AF506" i="5"/>
  <c r="AF35" i="5"/>
  <c r="AF336" i="5"/>
  <c r="AF318" i="5"/>
  <c r="AF157" i="5"/>
  <c r="AF463" i="5"/>
  <c r="AF451" i="5"/>
  <c r="AF63" i="5"/>
  <c r="AF409" i="5"/>
  <c r="AF327" i="5"/>
  <c r="AF78" i="5"/>
  <c r="AF268" i="5"/>
  <c r="AF478" i="5"/>
  <c r="AF324" i="5"/>
  <c r="AF228" i="5"/>
  <c r="AF404" i="5"/>
  <c r="AF397" i="5"/>
  <c r="V8" i="4"/>
  <c r="Y8" i="4" s="1"/>
  <c r="AI8" i="4" s="1"/>
  <c r="B144" i="2"/>
  <c r="V41" i="1" s="1"/>
  <c r="B136" i="2"/>
  <c r="N41" i="1" s="1"/>
  <c r="B128" i="2"/>
  <c r="H41" i="1" s="1"/>
  <c r="V112" i="4"/>
  <c r="W112" i="4" s="1"/>
  <c r="V156" i="4"/>
  <c r="Z156" i="4" s="1"/>
  <c r="V146" i="4"/>
  <c r="W146" i="4" s="1"/>
  <c r="V107" i="4"/>
  <c r="Y107" i="4" s="1"/>
  <c r="AI107" i="4" s="1"/>
  <c r="V62" i="4"/>
  <c r="W62" i="4" s="1"/>
  <c r="V67" i="4"/>
  <c r="W67" i="4" s="1"/>
  <c r="V152" i="4"/>
  <c r="W152" i="4" s="1"/>
  <c r="V69" i="4"/>
  <c r="W69" i="4" s="1"/>
  <c r="V137" i="4"/>
  <c r="W137" i="4" s="1"/>
  <c r="V84" i="4"/>
  <c r="Y84" i="4" s="1"/>
  <c r="V133" i="4"/>
  <c r="V147" i="4"/>
  <c r="Y147" i="4" s="1"/>
  <c r="V56" i="4"/>
  <c r="V129" i="4"/>
  <c r="Y129" i="4" s="1"/>
  <c r="V100" i="4"/>
  <c r="Y100" i="4" s="1"/>
  <c r="V54" i="4"/>
  <c r="W54" i="4" s="1"/>
  <c r="V47" i="4"/>
  <c r="W47" i="4" s="1"/>
  <c r="V39" i="4"/>
  <c r="V57" i="4"/>
  <c r="Y57" i="4" s="1"/>
  <c r="V74" i="4"/>
  <c r="Y74" i="4" s="1"/>
  <c r="V150" i="4"/>
  <c r="W150" i="4" s="1"/>
  <c r="V89" i="4"/>
  <c r="Y89" i="4" s="1"/>
  <c r="V50" i="4"/>
  <c r="Y50" i="4" s="1"/>
  <c r="V40" i="4"/>
  <c r="Y40" i="4" s="1"/>
  <c r="V143" i="4"/>
  <c r="Z143" i="4" s="1"/>
  <c r="V140" i="4"/>
  <c r="Z140" i="4" s="1"/>
  <c r="V145" i="4"/>
  <c r="W145" i="4" s="1"/>
  <c r="V113" i="4"/>
  <c r="W113" i="4" s="1"/>
  <c r="V126" i="4"/>
  <c r="W126" i="4" s="1"/>
  <c r="V131" i="4"/>
  <c r="Y131" i="4" s="1"/>
  <c r="V120" i="4"/>
  <c r="Y120" i="4" s="1"/>
  <c r="V111" i="4"/>
  <c r="W111" i="4" s="1"/>
  <c r="V75" i="4"/>
  <c r="V132" i="4"/>
  <c r="Y132" i="4" s="1"/>
  <c r="V79" i="4"/>
  <c r="W79" i="4" s="1"/>
  <c r="V64" i="4"/>
  <c r="W64" i="4" s="1"/>
  <c r="V52" i="4"/>
  <c r="W52" i="4" s="1"/>
  <c r="V157" i="4"/>
  <c r="Z157" i="4" s="1"/>
  <c r="V59" i="4"/>
  <c r="Z59" i="4" s="1"/>
  <c r="V102" i="4"/>
  <c r="W102" i="4" s="1"/>
  <c r="V122" i="4"/>
  <c r="Z122" i="4" s="1"/>
  <c r="V88" i="4"/>
  <c r="Y88" i="4" s="1"/>
  <c r="V142" i="4"/>
  <c r="W142" i="4" s="1"/>
  <c r="V76" i="4"/>
  <c r="Y76" i="4" s="1"/>
  <c r="V81" i="4"/>
  <c r="W81" i="4" s="1"/>
  <c r="V91" i="4"/>
  <c r="W91" i="4" s="1"/>
  <c r="V37" i="4"/>
  <c r="W37" i="4" s="1"/>
  <c r="V124" i="4"/>
  <c r="Z124" i="4" s="1"/>
  <c r="V108" i="4"/>
  <c r="Z108" i="4" s="1"/>
  <c r="V130" i="4"/>
  <c r="W130" i="4" s="1"/>
  <c r="V68" i="4"/>
  <c r="Y68" i="4" s="1"/>
  <c r="V41" i="4"/>
  <c r="V65" i="4"/>
  <c r="W65" i="4" s="1"/>
  <c r="V114" i="4"/>
  <c r="Y114" i="4" s="1"/>
  <c r="V92" i="4"/>
  <c r="Y92" i="4" s="1"/>
  <c r="V106" i="4"/>
  <c r="W106" i="4" s="1"/>
  <c r="V104" i="4"/>
  <c r="W104" i="4" s="1"/>
  <c r="V82" i="4"/>
  <c r="Z82" i="4" s="1"/>
  <c r="V123" i="4"/>
  <c r="W123" i="4" s="1"/>
  <c r="V155" i="4"/>
  <c r="Y155" i="4" s="1"/>
  <c r="V94" i="4"/>
  <c r="Z94" i="4" s="1"/>
  <c r="V60" i="4"/>
  <c r="Y60" i="4" s="1"/>
  <c r="V45" i="4"/>
  <c r="Y45" i="4" s="1"/>
  <c r="V61" i="4"/>
  <c r="Y61" i="4" s="1"/>
  <c r="V90" i="4"/>
  <c r="W90" i="4" s="1"/>
  <c r="V154" i="4"/>
  <c r="W154" i="4" s="1"/>
  <c r="V46" i="4"/>
  <c r="W46" i="4" s="1"/>
  <c r="V110" i="4"/>
  <c r="W110" i="4" s="1"/>
  <c r="V97" i="4"/>
  <c r="W97" i="4" s="1"/>
  <c r="V153" i="4"/>
  <c r="Y153" i="4" s="1"/>
  <c r="V116" i="4"/>
  <c r="W116" i="4" s="1"/>
  <c r="W25" i="4"/>
  <c r="X25" i="4" s="1"/>
  <c r="W55" i="4"/>
  <c r="X55" i="4" s="1"/>
  <c r="W20" i="4"/>
  <c r="W14" i="4"/>
  <c r="X14" i="4" s="1"/>
  <c r="W21" i="4"/>
  <c r="Y11" i="4"/>
  <c r="W15" i="4"/>
  <c r="W13" i="4"/>
  <c r="X13" i="4" s="1"/>
  <c r="W36" i="4"/>
  <c r="X36" i="4" s="1"/>
  <c r="W17" i="4"/>
  <c r="W19" i="4"/>
  <c r="W34" i="4"/>
  <c r="W29" i="4"/>
  <c r="X29" i="4" s="1"/>
  <c r="W63" i="4"/>
  <c r="X63" i="4" s="1"/>
  <c r="W9" i="4"/>
  <c r="W12" i="4"/>
  <c r="W10" i="4"/>
  <c r="W27" i="4"/>
  <c r="Y28" i="4"/>
  <c r="Y38" i="4"/>
  <c r="W71" i="4"/>
  <c r="X71" i="4" s="1"/>
  <c r="W87" i="4"/>
  <c r="X87" i="4" s="1"/>
  <c r="W30" i="4"/>
  <c r="W18" i="4"/>
  <c r="Y35" i="4"/>
  <c r="W26" i="4"/>
  <c r="W31" i="4"/>
  <c r="W33" i="4"/>
  <c r="W22" i="4"/>
  <c r="W23" i="4"/>
  <c r="X23" i="4" s="1"/>
  <c r="W32" i="4"/>
  <c r="W24" i="4"/>
  <c r="W7" i="4"/>
  <c r="X7" i="4" s="1"/>
  <c r="W80" i="4"/>
  <c r="X80" i="4" s="1"/>
  <c r="W70" i="4"/>
  <c r="X70" i="4" s="1"/>
  <c r="W44" i="4"/>
  <c r="X44" i="4" s="1"/>
  <c r="Y121" i="4"/>
  <c r="AP121" i="4" s="1"/>
  <c r="W83" i="4"/>
  <c r="X83" i="4" s="1"/>
  <c r="W77" i="4"/>
  <c r="X77" i="4" s="1"/>
  <c r="W95" i="4"/>
  <c r="X95" i="4" s="1"/>
  <c r="W127" i="4"/>
  <c r="X127" i="4" s="1"/>
  <c r="W78" i="4"/>
  <c r="X78" i="4" s="1"/>
  <c r="W98" i="4"/>
  <c r="X98" i="4" s="1"/>
  <c r="W96" i="4"/>
  <c r="X96" i="4" s="1"/>
  <c r="W86" i="4"/>
  <c r="X86" i="4" s="1"/>
  <c r="Y138" i="4"/>
  <c r="W115" i="4"/>
  <c r="X115" i="4" s="1"/>
  <c r="W139" i="4"/>
  <c r="X139" i="4" s="1"/>
  <c r="W85" i="4"/>
  <c r="X85" i="4" s="1"/>
  <c r="Y103" i="4"/>
  <c r="W119" i="4"/>
  <c r="X119" i="4" s="1"/>
  <c r="W135" i="4"/>
  <c r="X135" i="4" s="1"/>
  <c r="W151" i="4"/>
  <c r="X151" i="4" s="1"/>
  <c r="W66" i="4"/>
  <c r="X66" i="4" s="1"/>
  <c r="Y63" i="4"/>
  <c r="Y95" i="4"/>
  <c r="W105" i="4"/>
  <c r="X105" i="4" s="1"/>
  <c r="W49" i="4"/>
  <c r="X49" i="4" s="1"/>
  <c r="W148" i="4"/>
  <c r="X148" i="4" s="1"/>
  <c r="W144" i="4"/>
  <c r="X144" i="4" s="1"/>
  <c r="W101" i="4"/>
  <c r="X101" i="4" s="1"/>
  <c r="W117" i="4"/>
  <c r="X117" i="4" s="1"/>
  <c r="W149" i="4"/>
  <c r="X149" i="4" s="1"/>
  <c r="W128" i="4"/>
  <c r="X128" i="4" s="1"/>
  <c r="W118" i="4"/>
  <c r="X118" i="4" s="1"/>
  <c r="W72" i="4"/>
  <c r="X72" i="4" s="1"/>
  <c r="W73" i="4"/>
  <c r="X73" i="4" s="1"/>
  <c r="W51" i="4"/>
  <c r="X51" i="4" s="1"/>
  <c r="W99" i="4"/>
  <c r="X99" i="4" s="1"/>
  <c r="W42" i="4"/>
  <c r="X42" i="4" s="1"/>
  <c r="W134" i="4"/>
  <c r="X134" i="4" s="1"/>
  <c r="W43" i="4"/>
  <c r="X43" i="4" s="1"/>
  <c r="W48" i="4"/>
  <c r="X48" i="4" s="1"/>
  <c r="W53" i="4"/>
  <c r="X53" i="4" s="1"/>
  <c r="W93" i="4"/>
  <c r="X93" i="4" s="1"/>
  <c r="W109" i="4"/>
  <c r="X109" i="4" s="1"/>
  <c r="W125" i="4"/>
  <c r="X125" i="4" s="1"/>
  <c r="Y58" i="4"/>
  <c r="W136" i="4"/>
  <c r="X136" i="4" s="1"/>
  <c r="W141" i="4"/>
  <c r="X141" i="4" s="1"/>
  <c r="W138" i="4"/>
  <c r="X138" i="4" s="1"/>
  <c r="Z18" i="4"/>
  <c r="Y25" i="4"/>
  <c r="Y101" i="4"/>
  <c r="Y33" i="4"/>
  <c r="Y71" i="4"/>
  <c r="Y18" i="4"/>
  <c r="Y93" i="4"/>
  <c r="W28" i="4"/>
  <c r="W103" i="4"/>
  <c r="X103" i="4" s="1"/>
  <c r="Y44" i="4"/>
  <c r="Y22" i="4"/>
  <c r="Y43" i="4"/>
  <c r="Y125" i="4"/>
  <c r="Y127" i="4"/>
  <c r="Y99" i="4"/>
  <c r="W121" i="4"/>
  <c r="X121" i="4" s="1"/>
  <c r="Y115" i="4"/>
  <c r="Y17" i="4"/>
  <c r="W35" i="4"/>
  <c r="W11" i="4"/>
  <c r="Y51" i="4"/>
  <c r="W58" i="4"/>
  <c r="X58" i="4" s="1"/>
  <c r="Y135" i="4"/>
  <c r="Y80" i="4"/>
  <c r="Y109" i="4"/>
  <c r="Y16" i="4"/>
  <c r="W16" i="4"/>
  <c r="W38" i="4"/>
  <c r="X38" i="4" s="1"/>
  <c r="Y23" i="4"/>
  <c r="Y83" i="4"/>
  <c r="Y29" i="4"/>
  <c r="Y141" i="4"/>
  <c r="Y128" i="4"/>
  <c r="Y73" i="4"/>
  <c r="Y72" i="4"/>
  <c r="Y78" i="4"/>
  <c r="Y85" i="4"/>
  <c r="Y87" i="4"/>
  <c r="Y27" i="4"/>
  <c r="Y36" i="4"/>
  <c r="Y139" i="4"/>
  <c r="Y77" i="4"/>
  <c r="Y96" i="4"/>
  <c r="Y34" i="4"/>
  <c r="Y14" i="4"/>
  <c r="Y53" i="4"/>
  <c r="Y55" i="4"/>
  <c r="Y31" i="4"/>
  <c r="Y98" i="4"/>
  <c r="Y144" i="4"/>
  <c r="Y134" i="4"/>
  <c r="Y30" i="4"/>
  <c r="Y151" i="4"/>
  <c r="Y15" i="4"/>
  <c r="Y86" i="4"/>
  <c r="Y66" i="4"/>
  <c r="Y9" i="4"/>
  <c r="Y70" i="4"/>
  <c r="Y20" i="4"/>
  <c r="Y10" i="4"/>
  <c r="Y12" i="4"/>
  <c r="Y105" i="4"/>
  <c r="Y13" i="4"/>
  <c r="Y42" i="4"/>
  <c r="Z117" i="4"/>
  <c r="Y119" i="4"/>
  <c r="Q403" i="10"/>
  <c r="R403" i="10" s="1"/>
  <c r="Q300" i="10"/>
  <c r="R300" i="10" s="1"/>
  <c r="Z7" i="4"/>
  <c r="AA7" i="4" s="1"/>
  <c r="AB7" i="4" s="1"/>
  <c r="Q185" i="10"/>
  <c r="R185" i="10" s="1"/>
  <c r="Q365" i="10"/>
  <c r="R365" i="10" s="1"/>
  <c r="Q92" i="10"/>
  <c r="R92" i="10" s="1"/>
  <c r="Q353" i="10"/>
  <c r="S353" i="10" s="1"/>
  <c r="Q174" i="10"/>
  <c r="R174" i="10" s="1"/>
  <c r="Q122" i="10"/>
  <c r="S122" i="10" s="1"/>
  <c r="Q455" i="10"/>
  <c r="R455" i="10" s="1"/>
  <c r="Q513" i="10"/>
  <c r="R513" i="10" s="1"/>
  <c r="Q377" i="10"/>
  <c r="R377" i="10" s="1"/>
  <c r="Q348" i="10"/>
  <c r="R348" i="10" s="1"/>
  <c r="Q56" i="10"/>
  <c r="Q291" i="10"/>
  <c r="R291" i="10" s="1"/>
  <c r="Q548" i="10"/>
  <c r="S548" i="10" s="1"/>
  <c r="Q54" i="10"/>
  <c r="S54" i="10" s="1"/>
  <c r="Q165" i="10"/>
  <c r="R165" i="10" s="1"/>
  <c r="Q127" i="10"/>
  <c r="S127" i="10" s="1"/>
  <c r="Q465" i="10"/>
  <c r="R465" i="10" s="1"/>
  <c r="Q444" i="10"/>
  <c r="R444" i="10" s="1"/>
  <c r="Q502" i="10"/>
  <c r="Q116" i="10"/>
  <c r="S116" i="10" s="1"/>
  <c r="Q544" i="10"/>
  <c r="R544" i="10" s="1"/>
  <c r="Q514" i="10"/>
  <c r="Q82" i="10"/>
  <c r="S82" i="10" s="1"/>
  <c r="Q325" i="10"/>
  <c r="S325" i="10" s="1"/>
  <c r="Q126" i="10"/>
  <c r="R126" i="10" s="1"/>
  <c r="Q356" i="10"/>
  <c r="S356" i="10" s="1"/>
  <c r="Q558" i="10"/>
  <c r="S558" i="10" s="1"/>
  <c r="Q440" i="10"/>
  <c r="R440" i="10" s="1"/>
  <c r="Q129" i="10"/>
  <c r="S129" i="10" s="1"/>
  <c r="Q164" i="10"/>
  <c r="S164" i="10" s="1"/>
  <c r="Q141" i="10"/>
  <c r="S141" i="10" s="1"/>
  <c r="Q326" i="10"/>
  <c r="R326" i="10" s="1"/>
  <c r="Q432" i="10"/>
  <c r="S432" i="10" s="1"/>
  <c r="Q526" i="10"/>
  <c r="S526" i="10" s="1"/>
  <c r="Q85" i="10"/>
  <c r="S85" i="10" s="1"/>
  <c r="Q69" i="10"/>
  <c r="R69" i="10" s="1"/>
  <c r="Q412" i="10"/>
  <c r="S412" i="10" s="1"/>
  <c r="Q317" i="10"/>
  <c r="R317" i="10" s="1"/>
  <c r="Q272" i="10"/>
  <c r="S272" i="10" s="1"/>
  <c r="Q110" i="10"/>
  <c r="R110" i="10" s="1"/>
  <c r="Q509" i="10"/>
  <c r="S509" i="10" s="1"/>
  <c r="Q340" i="10"/>
  <c r="Q77" i="10"/>
  <c r="R77" i="10" s="1"/>
  <c r="Q543" i="10"/>
  <c r="S543" i="10" s="1"/>
  <c r="Q534" i="10"/>
  <c r="Q426" i="10"/>
  <c r="Q301" i="10"/>
  <c r="S301" i="10" s="1"/>
  <c r="Q113" i="10"/>
  <c r="R113" i="10" s="1"/>
  <c r="Q58" i="10"/>
  <c r="Q180" i="10"/>
  <c r="R180" i="10" s="1"/>
  <c r="Q157" i="10"/>
  <c r="S157" i="10" s="1"/>
  <c r="Q259" i="10"/>
  <c r="R259" i="10" s="1"/>
  <c r="Q342" i="10"/>
  <c r="Q335" i="10"/>
  <c r="Q437" i="10"/>
  <c r="S437" i="10" s="1"/>
  <c r="Q478" i="10"/>
  <c r="R478" i="10" s="1"/>
  <c r="Q552" i="10"/>
  <c r="Q222" i="10"/>
  <c r="R222" i="10" s="1"/>
  <c r="Q420" i="10"/>
  <c r="S420" i="10" s="1"/>
  <c r="Q280" i="10"/>
  <c r="S280" i="10" s="1"/>
  <c r="Q522" i="10"/>
  <c r="R522" i="10" s="1"/>
  <c r="Q93" i="10"/>
  <c r="R93" i="10" s="1"/>
  <c r="Q510" i="10"/>
  <c r="R510" i="10" s="1"/>
  <c r="Q304" i="10"/>
  <c r="Q33" i="10"/>
  <c r="R33" i="10" s="1"/>
  <c r="Q251" i="10"/>
  <c r="S251" i="10" s="1"/>
  <c r="Q319" i="10"/>
  <c r="S319" i="10" s="1"/>
  <c r="Q462" i="10"/>
  <c r="S462" i="10" s="1"/>
  <c r="Q556" i="10"/>
  <c r="Q380" i="10"/>
  <c r="R380" i="10" s="1"/>
  <c r="Q182" i="10"/>
  <c r="S182" i="10" s="1"/>
  <c r="Q516" i="10"/>
  <c r="S516" i="10" s="1"/>
  <c r="Q393" i="10"/>
  <c r="R393" i="10" s="1"/>
  <c r="Q197" i="10"/>
  <c r="S197" i="10" s="1"/>
  <c r="Q73" i="10"/>
  <c r="S73" i="10" s="1"/>
  <c r="Q413" i="10"/>
  <c r="S413" i="10" s="1"/>
  <c r="Q475" i="10"/>
  <c r="R475" i="10" s="1"/>
  <c r="Q202" i="10"/>
  <c r="S202" i="10" s="1"/>
  <c r="Q138" i="10"/>
  <c r="R138" i="10" s="1"/>
  <c r="Q364" i="10"/>
  <c r="Q471" i="10"/>
  <c r="R471" i="10" s="1"/>
  <c r="Q361" i="10"/>
  <c r="S361" i="10" s="1"/>
  <c r="Q253" i="10"/>
  <c r="Q118" i="10"/>
  <c r="R118" i="10" s="1"/>
  <c r="Q100" i="10"/>
  <c r="R100" i="10" s="1"/>
  <c r="Q244" i="10"/>
  <c r="R244" i="10" s="1"/>
  <c r="Q111" i="10"/>
  <c r="R111" i="10" s="1"/>
  <c r="Q283" i="10"/>
  <c r="S283" i="10" s="1"/>
  <c r="Q215" i="10"/>
  <c r="R215" i="10" s="1"/>
  <c r="Q382" i="10"/>
  <c r="R382" i="10" s="1"/>
  <c r="Q422" i="10"/>
  <c r="S422" i="10" s="1"/>
  <c r="Q503" i="10"/>
  <c r="Q553" i="10"/>
  <c r="Q430" i="10"/>
  <c r="Q159" i="10"/>
  <c r="S159" i="10" s="1"/>
  <c r="Q62" i="10"/>
  <c r="S62" i="10" s="1"/>
  <c r="Q130" i="10"/>
  <c r="Q533" i="10"/>
  <c r="R533" i="10" s="1"/>
  <c r="Q472" i="10"/>
  <c r="S472" i="10" s="1"/>
  <c r="Q448" i="10"/>
  <c r="S448" i="10" s="1"/>
  <c r="Q349" i="10"/>
  <c r="Q312" i="10"/>
  <c r="Q147" i="10"/>
  <c r="S147" i="10" s="1"/>
  <c r="Q234" i="10"/>
  <c r="S234" i="10" s="1"/>
  <c r="Q196" i="10"/>
  <c r="Q37" i="10"/>
  <c r="Q523" i="10"/>
  <c r="S523" i="10" s="1"/>
  <c r="Q493" i="10"/>
  <c r="S493" i="10" s="1"/>
  <c r="Q372" i="10"/>
  <c r="R372" i="10" s="1"/>
  <c r="Q225" i="10"/>
  <c r="Q230" i="10"/>
  <c r="S230" i="10" s="1"/>
  <c r="Q178" i="10"/>
  <c r="Q200" i="10"/>
  <c r="Q443" i="10"/>
  <c r="Q201" i="10"/>
  <c r="S201" i="10" s="1"/>
  <c r="Q480" i="10"/>
  <c r="R480" i="10" s="1"/>
  <c r="Q400" i="10"/>
  <c r="Q401" i="10"/>
  <c r="R401" i="10" s="1"/>
  <c r="Q320" i="10"/>
  <c r="Q269" i="10"/>
  <c r="S269" i="10" s="1"/>
  <c r="Q252" i="10"/>
  <c r="Q35" i="10"/>
  <c r="O11" i="10"/>
  <c r="Q11" i="10" s="1"/>
  <c r="Q53" i="10"/>
  <c r="Q148" i="10"/>
  <c r="Q228" i="10"/>
  <c r="S228" i="10" s="1"/>
  <c r="Q88" i="10"/>
  <c r="Q95" i="10"/>
  <c r="Q191" i="10"/>
  <c r="Q275" i="10"/>
  <c r="R275" i="10" s="1"/>
  <c r="Q310" i="10"/>
  <c r="R310" i="10" s="1"/>
  <c r="Q199" i="10"/>
  <c r="S199" i="10" s="1"/>
  <c r="Q481" i="10"/>
  <c r="R481" i="10" s="1"/>
  <c r="Q367" i="10"/>
  <c r="R367" i="10" s="1"/>
  <c r="Q442" i="10"/>
  <c r="R442" i="10" s="1"/>
  <c r="Q406" i="10"/>
  <c r="Q449" i="10"/>
  <c r="Q500" i="10"/>
  <c r="Q10" i="10"/>
  <c r="R10" i="10" s="1"/>
  <c r="Q7" i="10"/>
  <c r="Q559" i="10"/>
  <c r="Q560" i="10"/>
  <c r="R560" i="10" s="1"/>
  <c r="Q537" i="10"/>
  <c r="S537" i="10" s="1"/>
  <c r="Q536" i="10"/>
  <c r="R536" i="10" s="1"/>
  <c r="Q517" i="10"/>
  <c r="Q507" i="10"/>
  <c r="Q524" i="10"/>
  <c r="S524" i="10" s="1"/>
  <c r="Q528" i="10"/>
  <c r="R528" i="10" s="1"/>
  <c r="Q482" i="10"/>
  <c r="Q466" i="10"/>
  <c r="Q453" i="10"/>
  <c r="S453" i="10" s="1"/>
  <c r="Q495" i="10"/>
  <c r="S495" i="10" s="1"/>
  <c r="Q459" i="10"/>
  <c r="Q492" i="10"/>
  <c r="Q410" i="10"/>
  <c r="S410" i="10" s="1"/>
  <c r="Q394" i="10"/>
  <c r="S394" i="10" s="1"/>
  <c r="Q477" i="10"/>
  <c r="Q436" i="10"/>
  <c r="R436" i="10" s="1"/>
  <c r="Q446" i="10"/>
  <c r="S446" i="10" s="1"/>
  <c r="Q423" i="10"/>
  <c r="Q407" i="10"/>
  <c r="Q391" i="10"/>
  <c r="Q370" i="10"/>
  <c r="S370" i="10" s="1"/>
  <c r="Q355" i="10"/>
  <c r="R355" i="10" s="1"/>
  <c r="Q339" i="10"/>
  <c r="Q323" i="10"/>
  <c r="Q306" i="10"/>
  <c r="R306" i="10" s="1"/>
  <c r="Q375" i="10"/>
  <c r="R375" i="10" s="1"/>
  <c r="Q235" i="10"/>
  <c r="Q219" i="10"/>
  <c r="R219" i="10" s="1"/>
  <c r="Q203" i="10"/>
  <c r="Q362" i="10"/>
  <c r="Q346" i="10"/>
  <c r="Q330" i="10"/>
  <c r="Q314" i="10"/>
  <c r="Q302" i="10"/>
  <c r="Q294" i="10"/>
  <c r="Q286" i="10"/>
  <c r="Q278" i="10"/>
  <c r="Q270" i="10"/>
  <c r="R270" i="10" s="1"/>
  <c r="Q262" i="10"/>
  <c r="S262" i="10" s="1"/>
  <c r="Q254" i="10"/>
  <c r="S254" i="10" s="1"/>
  <c r="Q246" i="10"/>
  <c r="S246" i="10" s="1"/>
  <c r="Q179" i="10"/>
  <c r="S179" i="10" s="1"/>
  <c r="Q131" i="10"/>
  <c r="Q115" i="10"/>
  <c r="Q99" i="10"/>
  <c r="S99" i="10" s="1"/>
  <c r="Q83" i="10"/>
  <c r="S83" i="10" s="1"/>
  <c r="Q161" i="10"/>
  <c r="Q145" i="10"/>
  <c r="S145" i="10" s="1"/>
  <c r="Q20" i="10"/>
  <c r="S20" i="10" s="1"/>
  <c r="Q63" i="10"/>
  <c r="Q24" i="10"/>
  <c r="S24" i="10" s="1"/>
  <c r="Q72" i="10"/>
  <c r="Q232" i="10"/>
  <c r="R232" i="10" s="1"/>
  <c r="Q216" i="10"/>
  <c r="S216" i="10" s="1"/>
  <c r="Q184" i="10"/>
  <c r="Q168" i="10"/>
  <c r="R168" i="10" s="1"/>
  <c r="Q152" i="10"/>
  <c r="S152" i="10" s="1"/>
  <c r="Q136" i="10"/>
  <c r="Q120" i="10"/>
  <c r="Q104" i="10"/>
  <c r="S104" i="10" s="1"/>
  <c r="Q55" i="10"/>
  <c r="B43" i="10"/>
  <c r="Q68" i="10"/>
  <c r="S68" i="10" s="1"/>
  <c r="Q39" i="10"/>
  <c r="Q19" i="10"/>
  <c r="R19" i="10" s="1"/>
  <c r="Q30" i="10"/>
  <c r="Q49" i="10"/>
  <c r="Q102" i="10"/>
  <c r="Q28" i="10"/>
  <c r="Q81" i="10"/>
  <c r="S81" i="10" s="1"/>
  <c r="Q109" i="10"/>
  <c r="Q125" i="10"/>
  <c r="S125" i="10" s="1"/>
  <c r="Q242" i="10"/>
  <c r="Q276" i="10"/>
  <c r="Q155" i="10"/>
  <c r="Q249" i="10"/>
  <c r="Q265" i="10"/>
  <c r="R265" i="10" s="1"/>
  <c r="Q281" i="10"/>
  <c r="S281" i="10" s="1"/>
  <c r="Q297" i="10"/>
  <c r="R297" i="10" s="1"/>
  <c r="Q387" i="10"/>
  <c r="Q237" i="10"/>
  <c r="S237" i="10" s="1"/>
  <c r="Q313" i="10"/>
  <c r="R313" i="10" s="1"/>
  <c r="Q345" i="10"/>
  <c r="Q385" i="10"/>
  <c r="S385" i="10" s="1"/>
  <c r="Q457" i="10"/>
  <c r="R457" i="10" s="1"/>
  <c r="Q392" i="10"/>
  <c r="S392" i="10" s="1"/>
  <c r="Q424" i="10"/>
  <c r="R424" i="10" s="1"/>
  <c r="Q491" i="10"/>
  <c r="Q530" i="10"/>
  <c r="S530" i="10" s="1"/>
  <c r="Q177" i="10"/>
  <c r="R177" i="10" s="1"/>
  <c r="Q332" i="10"/>
  <c r="Q452" i="10"/>
  <c r="Q532" i="10"/>
  <c r="S532" i="10" s="1"/>
  <c r="Q42" i="10"/>
  <c r="R42" i="10" s="1"/>
  <c r="Q106" i="10"/>
  <c r="S106" i="10" s="1"/>
  <c r="Q170" i="10"/>
  <c r="Q71" i="10"/>
  <c r="S71" i="10" s="1"/>
  <c r="Q214" i="10"/>
  <c r="Q169" i="10"/>
  <c r="Q209" i="10"/>
  <c r="Q324" i="10"/>
  <c r="S324" i="10" s="1"/>
  <c r="Q368" i="10"/>
  <c r="S368" i="10" s="1"/>
  <c r="Q421" i="10"/>
  <c r="S421" i="10" s="1"/>
  <c r="Q494" i="10"/>
  <c r="Q476" i="10"/>
  <c r="R476" i="10" s="1"/>
  <c r="Q538" i="10"/>
  <c r="Q198" i="10"/>
  <c r="Q490" i="10"/>
  <c r="S490" i="10" s="1"/>
  <c r="Q86" i="10"/>
  <c r="S86" i="10" s="1"/>
  <c r="Q158" i="10"/>
  <c r="R158" i="10" s="1"/>
  <c r="Q50" i="10"/>
  <c r="R50" i="10" s="1"/>
  <c r="Q218" i="10"/>
  <c r="R218" i="10" s="1"/>
  <c r="Q264" i="10"/>
  <c r="S264" i="10" s="1"/>
  <c r="Q296" i="10"/>
  <c r="Q189" i="10"/>
  <c r="Q229" i="10"/>
  <c r="S229" i="10" s="1"/>
  <c r="Q309" i="10"/>
  <c r="R309" i="10" s="1"/>
  <c r="Q341" i="10"/>
  <c r="S341" i="10" s="1"/>
  <c r="Q376" i="10"/>
  <c r="R376" i="10" s="1"/>
  <c r="Q425" i="10"/>
  <c r="S425" i="10" s="1"/>
  <c r="Q404" i="10"/>
  <c r="R404" i="10" s="1"/>
  <c r="Q456" i="10"/>
  <c r="Q506" i="10"/>
  <c r="Q551" i="10"/>
  <c r="S551" i="10" s="1"/>
  <c r="Q27" i="10"/>
  <c r="S27" i="10" s="1"/>
  <c r="Q114" i="10"/>
  <c r="Q166" i="10"/>
  <c r="Q204" i="10"/>
  <c r="S204" i="10" s="1"/>
  <c r="Q45" i="10"/>
  <c r="R45" i="10" s="1"/>
  <c r="Q143" i="10"/>
  <c r="Q217" i="10"/>
  <c r="Q469" i="10"/>
  <c r="Q460" i="10"/>
  <c r="R460" i="10" s="1"/>
  <c r="Q542" i="10"/>
  <c r="R542" i="10" s="1"/>
  <c r="Q549" i="10"/>
  <c r="Q541" i="10"/>
  <c r="Q540" i="10"/>
  <c r="Q525" i="10"/>
  <c r="R525" i="10" s="1"/>
  <c r="Q512" i="10"/>
  <c r="Q499" i="10"/>
  <c r="Q511" i="10"/>
  <c r="R511" i="10" s="1"/>
  <c r="Q489" i="10"/>
  <c r="Q474" i="10"/>
  <c r="Q458" i="10"/>
  <c r="Q445" i="10"/>
  <c r="R445" i="10" s="1"/>
  <c r="Q467" i="10"/>
  <c r="Q434" i="10"/>
  <c r="R434" i="10" s="1"/>
  <c r="Q418" i="10"/>
  <c r="R418" i="10" s="1"/>
  <c r="Q402" i="10"/>
  <c r="S402" i="10" s="1"/>
  <c r="Q386" i="10"/>
  <c r="Q433" i="10"/>
  <c r="Q473" i="10"/>
  <c r="Q431" i="10"/>
  <c r="R431" i="10" s="1"/>
  <c r="Q415" i="10"/>
  <c r="Q399" i="10"/>
  <c r="Q378" i="10"/>
  <c r="Q363" i="10"/>
  <c r="Q347" i="10"/>
  <c r="Q331" i="10"/>
  <c r="Q315" i="10"/>
  <c r="Q383" i="10"/>
  <c r="S383" i="10" s="1"/>
  <c r="Q243" i="10"/>
  <c r="Q227" i="10"/>
  <c r="S227" i="10" s="1"/>
  <c r="Q211" i="10"/>
  <c r="Q195" i="10"/>
  <c r="S195" i="10" s="1"/>
  <c r="Q354" i="10"/>
  <c r="Q338" i="10"/>
  <c r="Q322" i="10"/>
  <c r="R322" i="10" s="1"/>
  <c r="Q307" i="10"/>
  <c r="S307" i="10" s="1"/>
  <c r="Q298" i="10"/>
  <c r="R298" i="10" s="1"/>
  <c r="Q290" i="10"/>
  <c r="Q282" i="10"/>
  <c r="R282" i="10" s="1"/>
  <c r="Q274" i="10"/>
  <c r="Q266" i="10"/>
  <c r="R266" i="10" s="1"/>
  <c r="Q258" i="10"/>
  <c r="Q250" i="10"/>
  <c r="Q187" i="10"/>
  <c r="R187" i="10" s="1"/>
  <c r="Q171" i="10"/>
  <c r="Q123" i="10"/>
  <c r="Q107" i="10"/>
  <c r="R107" i="10" s="1"/>
  <c r="Q91" i="10"/>
  <c r="S91" i="10" s="1"/>
  <c r="Q75" i="10"/>
  <c r="Q153" i="10"/>
  <c r="Q137" i="10"/>
  <c r="Q84" i="10"/>
  <c r="R84" i="10" s="1"/>
  <c r="Q48" i="10"/>
  <c r="Q80" i="10"/>
  <c r="Q240" i="10"/>
  <c r="S240" i="10" s="1"/>
  <c r="Q224" i="10"/>
  <c r="Q192" i="10"/>
  <c r="Q176" i="10"/>
  <c r="S176" i="10" s="1"/>
  <c r="Q160" i="10"/>
  <c r="Q144" i="10"/>
  <c r="R144" i="10" s="1"/>
  <c r="Q128" i="10"/>
  <c r="Q112" i="10"/>
  <c r="S112" i="10" s="1"/>
  <c r="Q61" i="10"/>
  <c r="S61" i="10" s="1"/>
  <c r="Q51" i="10"/>
  <c r="Q29" i="10"/>
  <c r="S29" i="10" s="1"/>
  <c r="Q43" i="10"/>
  <c r="Q31" i="10"/>
  <c r="R31" i="10" s="1"/>
  <c r="Q40" i="10"/>
  <c r="S40" i="10" s="1"/>
  <c r="Q66" i="10"/>
  <c r="Q78" i="10"/>
  <c r="S78" i="10" s="1"/>
  <c r="Q134" i="10"/>
  <c r="S134" i="10" s="1"/>
  <c r="Q52" i="10"/>
  <c r="S52" i="10" s="1"/>
  <c r="Q101" i="10"/>
  <c r="Q117" i="10"/>
  <c r="Q210" i="10"/>
  <c r="S210" i="10" s="1"/>
  <c r="Q260" i="10"/>
  <c r="R260" i="10" s="1"/>
  <c r="Q292" i="10"/>
  <c r="Q181" i="10"/>
  <c r="Q257" i="10"/>
  <c r="Q273" i="10"/>
  <c r="R273" i="10" s="1"/>
  <c r="Q289" i="10"/>
  <c r="R289" i="10" s="1"/>
  <c r="Q305" i="10"/>
  <c r="Q205" i="10"/>
  <c r="R205" i="10" s="1"/>
  <c r="Q336" i="10"/>
  <c r="S336" i="10" s="1"/>
  <c r="Q329" i="10"/>
  <c r="Q8" i="10"/>
  <c r="Q545" i="10"/>
  <c r="S545" i="10" s="1"/>
  <c r="Q555" i="10"/>
  <c r="S555" i="10" s="1"/>
  <c r="Q531" i="10"/>
  <c r="R531" i="10" s="1"/>
  <c r="Q521" i="10"/>
  <c r="S521" i="10" s="1"/>
  <c r="Q508" i="10"/>
  <c r="Q504" i="10"/>
  <c r="S504" i="10" s="1"/>
  <c r="Q496" i="10"/>
  <c r="Q486" i="10"/>
  <c r="R486" i="10" s="1"/>
  <c r="Q470" i="10"/>
  <c r="R470" i="10" s="1"/>
  <c r="Q454" i="10"/>
  <c r="S454" i="10" s="1"/>
  <c r="Q441" i="10"/>
  <c r="Q463" i="10"/>
  <c r="Q428" i="10"/>
  <c r="Q414" i="10"/>
  <c r="R414" i="10" s="1"/>
  <c r="Q398" i="10"/>
  <c r="Q485" i="10"/>
  <c r="Q438" i="10"/>
  <c r="R438" i="10" s="1"/>
  <c r="Q450" i="10"/>
  <c r="R450" i="10" s="1"/>
  <c r="Q427" i="10"/>
  <c r="Q411" i="10"/>
  <c r="Q395" i="10"/>
  <c r="Q374" i="10"/>
  <c r="R374" i="10" s="1"/>
  <c r="Q359" i="10"/>
  <c r="S359" i="10" s="1"/>
  <c r="Q343" i="10"/>
  <c r="S343" i="10" s="1"/>
  <c r="Q327" i="10"/>
  <c r="S327" i="10" s="1"/>
  <c r="Q311" i="10"/>
  <c r="S311" i="10" s="1"/>
  <c r="Q379" i="10"/>
  <c r="Q239" i="10"/>
  <c r="S239" i="10" s="1"/>
  <c r="Q223" i="10"/>
  <c r="Q207" i="10"/>
  <c r="S207" i="10" s="1"/>
  <c r="Q366" i="10"/>
  <c r="S366" i="10" s="1"/>
  <c r="Q350" i="10"/>
  <c r="R350" i="10" s="1"/>
  <c r="Q334" i="10"/>
  <c r="S334" i="10" s="1"/>
  <c r="Q318" i="10"/>
  <c r="Q303" i="10"/>
  <c r="Q295" i="10"/>
  <c r="Q287" i="10"/>
  <c r="R287" i="10" s="1"/>
  <c r="Q279" i="10"/>
  <c r="Q271" i="10"/>
  <c r="S271" i="10" s="1"/>
  <c r="Q263" i="10"/>
  <c r="Q255" i="10"/>
  <c r="R255" i="10" s="1"/>
  <c r="Q247" i="10"/>
  <c r="R247" i="10" s="1"/>
  <c r="Q183" i="10"/>
  <c r="Q167" i="10"/>
  <c r="S167" i="10" s="1"/>
  <c r="Q119" i="10"/>
  <c r="R119" i="10" s="1"/>
  <c r="Q103" i="10"/>
  <c r="S103" i="10" s="1"/>
  <c r="Q87" i="10"/>
  <c r="Q67" i="10"/>
  <c r="S67" i="10" s="1"/>
  <c r="Q149" i="10"/>
  <c r="S149" i="10" s="1"/>
  <c r="Q44" i="10"/>
  <c r="S44" i="10" s="1"/>
  <c r="Q65" i="10"/>
  <c r="Q26" i="10"/>
  <c r="R26" i="10" s="1"/>
  <c r="Q76" i="10"/>
  <c r="Q236" i="10"/>
  <c r="Q220" i="10"/>
  <c r="Q188" i="10"/>
  <c r="Q172" i="10"/>
  <c r="Q156" i="10"/>
  <c r="R156" i="10" s="1"/>
  <c r="Q140" i="10"/>
  <c r="Q124" i="10"/>
  <c r="Q108" i="10"/>
  <c r="Q59" i="10"/>
  <c r="Q46" i="10"/>
  <c r="S46" i="10" s="1"/>
  <c r="Q96" i="10"/>
  <c r="Q41" i="10"/>
  <c r="Q23" i="10"/>
  <c r="R23" i="10" s="1"/>
  <c r="Q21" i="10"/>
  <c r="S21" i="10" s="1"/>
  <c r="Q47" i="10"/>
  <c r="Q94" i="10"/>
  <c r="R94" i="10" s="1"/>
  <c r="Q150" i="10"/>
  <c r="S150" i="10" s="1"/>
  <c r="Q57" i="10"/>
  <c r="Q105" i="10"/>
  <c r="R105" i="10" s="1"/>
  <c r="Q121" i="10"/>
  <c r="Q226" i="10"/>
  <c r="S226" i="10" s="1"/>
  <c r="Q268" i="10"/>
  <c r="Q139" i="10"/>
  <c r="Q245" i="10"/>
  <c r="Q261" i="10"/>
  <c r="S261" i="10" s="1"/>
  <c r="Q277" i="10"/>
  <c r="R277" i="10" s="1"/>
  <c r="Q293" i="10"/>
  <c r="S293" i="10" s="1"/>
  <c r="Q381" i="10"/>
  <c r="S381" i="10" s="1"/>
  <c r="Q221" i="10"/>
  <c r="Q352" i="10"/>
  <c r="S352" i="10" s="1"/>
  <c r="Q337" i="10"/>
  <c r="Q435" i="10"/>
  <c r="S435" i="10" s="1"/>
  <c r="Q461" i="10"/>
  <c r="R461" i="10" s="1"/>
  <c r="Q384" i="10"/>
  <c r="Q416" i="10"/>
  <c r="Q464" i="10"/>
  <c r="Q520" i="10"/>
  <c r="Q527" i="10"/>
  <c r="Q316" i="10"/>
  <c r="R316" i="10" s="1"/>
  <c r="Q397" i="10"/>
  <c r="R397" i="10" s="1"/>
  <c r="Q484" i="10"/>
  <c r="S484" i="10" s="1"/>
  <c r="Q32" i="10"/>
  <c r="Q90" i="10"/>
  <c r="Q154" i="10"/>
  <c r="R154" i="10" s="1"/>
  <c r="Q194" i="10"/>
  <c r="Q133" i="10"/>
  <c r="S133" i="10" s="1"/>
  <c r="Q151" i="10"/>
  <c r="S151" i="10" s="1"/>
  <c r="Q373" i="10"/>
  <c r="Q308" i="10"/>
  <c r="S308" i="10" s="1"/>
  <c r="Q360" i="10"/>
  <c r="R360" i="10" s="1"/>
  <c r="Q405" i="10"/>
  <c r="Q468" i="10"/>
  <c r="Q505" i="10"/>
  <c r="R505" i="10" s="1"/>
  <c r="Q515" i="10"/>
  <c r="Q535" i="10"/>
  <c r="S535" i="10" s="1"/>
  <c r="Q447" i="10"/>
  <c r="S447" i="10" s="1"/>
  <c r="Q70" i="10"/>
  <c r="R70" i="10" s="1"/>
  <c r="Q142" i="10"/>
  <c r="Q38" i="10"/>
  <c r="Q89" i="10"/>
  <c r="Q256" i="10"/>
  <c r="R256" i="10" s="1"/>
  <c r="Q288" i="10"/>
  <c r="Q173" i="10"/>
  <c r="Q213" i="10"/>
  <c r="R213" i="10" s="1"/>
  <c r="Q344" i="10"/>
  <c r="S344" i="10" s="1"/>
  <c r="Q333" i="10"/>
  <c r="Q369" i="10"/>
  <c r="R369" i="10" s="1"/>
  <c r="Q409" i="10"/>
  <c r="R409" i="10" s="1"/>
  <c r="Q396" i="10"/>
  <c r="S396" i="10" s="1"/>
  <c r="Q479" i="10"/>
  <c r="Q501" i="10"/>
  <c r="Q519" i="10"/>
  <c r="S519" i="10" s="1"/>
  <c r="Q557" i="10"/>
  <c r="Q98" i="10"/>
  <c r="S98" i="10" s="1"/>
  <c r="Q162" i="10"/>
  <c r="R162" i="10" s="1"/>
  <c r="Q190" i="10"/>
  <c r="S190" i="10" s="1"/>
  <c r="Q22" i="10"/>
  <c r="R22" i="10" s="1"/>
  <c r="Q238" i="10"/>
  <c r="Q206" i="10"/>
  <c r="Q429" i="10"/>
  <c r="R429" i="10" s="1"/>
  <c r="Q451" i="10"/>
  <c r="R451" i="10" s="1"/>
  <c r="Q550" i="10"/>
  <c r="Q547" i="10"/>
  <c r="R547" i="10" s="1"/>
  <c r="Q554" i="10"/>
  <c r="R554" i="10" s="1"/>
  <c r="Q439" i="10"/>
  <c r="R439" i="10" s="1"/>
  <c r="Q193" i="10"/>
  <c r="Q208" i="10"/>
  <c r="Q146" i="10"/>
  <c r="Q539" i="10"/>
  <c r="R539" i="10" s="1"/>
  <c r="Q498" i="10"/>
  <c r="Q388" i="10"/>
  <c r="Q357" i="10"/>
  <c r="S357" i="10" s="1"/>
  <c r="Q328" i="10"/>
  <c r="R328" i="10" s="1"/>
  <c r="Q163" i="10"/>
  <c r="Q248" i="10"/>
  <c r="R248" i="10" s="1"/>
  <c r="Q25" i="10"/>
  <c r="R25" i="10" s="1"/>
  <c r="Q64" i="10"/>
  <c r="R64" i="10" s="1"/>
  <c r="Q546" i="10"/>
  <c r="Q487" i="10"/>
  <c r="Q389" i="10"/>
  <c r="S389" i="10" s="1"/>
  <c r="Q241" i="10"/>
  <c r="Q135" i="10"/>
  <c r="Q186" i="10"/>
  <c r="Q74" i="10"/>
  <c r="R74" i="10" s="1"/>
  <c r="Q483" i="10"/>
  <c r="R483" i="10" s="1"/>
  <c r="Q233" i="10"/>
  <c r="Q497" i="10"/>
  <c r="Q408" i="10"/>
  <c r="S408" i="10" s="1"/>
  <c r="Q417" i="10"/>
  <c r="S417" i="10" s="1"/>
  <c r="Q321" i="10"/>
  <c r="Q285" i="10"/>
  <c r="R285" i="10" s="1"/>
  <c r="Q284" i="10"/>
  <c r="R284" i="10" s="1"/>
  <c r="Q97" i="10"/>
  <c r="S97" i="10" s="1"/>
  <c r="Q34" i="10"/>
  <c r="Q36" i="10"/>
  <c r="S36" i="10" s="1"/>
  <c r="Q132" i="10"/>
  <c r="Q212" i="10"/>
  <c r="S212" i="10" s="1"/>
  <c r="Q60" i="10"/>
  <c r="Q79" i="10"/>
  <c r="Q175" i="10"/>
  <c r="S175" i="10" s="1"/>
  <c r="Q267" i="10"/>
  <c r="S267" i="10" s="1"/>
  <c r="Q299" i="10"/>
  <c r="R299" i="10" s="1"/>
  <c r="Q358" i="10"/>
  <c r="Q371" i="10"/>
  <c r="Q351" i="10"/>
  <c r="Q419" i="10"/>
  <c r="Q390" i="10"/>
  <c r="Q488" i="10"/>
  <c r="Q518" i="10"/>
  <c r="Q529" i="10"/>
  <c r="R7" i="5"/>
  <c r="Q274" i="5"/>
  <c r="R274" i="5" s="1"/>
  <c r="Q481" i="5"/>
  <c r="S481" i="5" s="1"/>
  <c r="Q205" i="5"/>
  <c r="R205" i="5" s="1"/>
  <c r="Q288" i="5"/>
  <c r="R288" i="5" s="1"/>
  <c r="Q52" i="5"/>
  <c r="R52" i="5" s="1"/>
  <c r="Q397" i="5"/>
  <c r="R397" i="5" s="1"/>
  <c r="Q422" i="5"/>
  <c r="R422" i="5" s="1"/>
  <c r="Q115" i="5"/>
  <c r="S115" i="5" s="1"/>
  <c r="Q470" i="5"/>
  <c r="S470" i="5" s="1"/>
  <c r="X7" i="10"/>
  <c r="Y7" i="10"/>
  <c r="T9" i="10"/>
  <c r="Q9" i="10"/>
  <c r="W9" i="10"/>
  <c r="AG9" i="10"/>
  <c r="X8" i="10"/>
  <c r="Y8" i="10"/>
  <c r="X10" i="10"/>
  <c r="Y10" i="10"/>
  <c r="Q117" i="5"/>
  <c r="S117" i="5" s="1"/>
  <c r="Q440" i="5"/>
  <c r="R440" i="5" s="1"/>
  <c r="Q540" i="5"/>
  <c r="S540" i="5" s="1"/>
  <c r="Q22" i="5"/>
  <c r="S22" i="5" s="1"/>
  <c r="Q138" i="5"/>
  <c r="S138" i="5" s="1"/>
  <c r="Q229" i="5"/>
  <c r="R229" i="5" s="1"/>
  <c r="Q408" i="5"/>
  <c r="R408" i="5" s="1"/>
  <c r="Q437" i="5"/>
  <c r="R437" i="5" s="1"/>
  <c r="Q89" i="5"/>
  <c r="S89" i="5" s="1"/>
  <c r="Q204" i="5"/>
  <c r="R204" i="5" s="1"/>
  <c r="Q73" i="5"/>
  <c r="S73" i="5" s="1"/>
  <c r="Q216" i="5"/>
  <c r="R216" i="5" s="1"/>
  <c r="Q346" i="5"/>
  <c r="S346" i="5" s="1"/>
  <c r="Q504" i="5"/>
  <c r="R504" i="5" s="1"/>
  <c r="Q525" i="5"/>
  <c r="R525" i="5" s="1"/>
  <c r="Q306" i="5"/>
  <c r="S306" i="5" s="1"/>
  <c r="X473" i="10"/>
  <c r="Y473" i="10"/>
  <c r="X415" i="10"/>
  <c r="Y415" i="10"/>
  <c r="Y313" i="10"/>
  <c r="X313" i="10"/>
  <c r="X152" i="10"/>
  <c r="Y152" i="10"/>
  <c r="X284" i="10"/>
  <c r="Y284" i="10"/>
  <c r="Y79" i="10"/>
  <c r="X79" i="10"/>
  <c r="X186" i="10"/>
  <c r="Y186" i="10"/>
  <c r="Y546" i="10"/>
  <c r="X546" i="10"/>
  <c r="Y513" i="10"/>
  <c r="X513" i="10"/>
  <c r="Y443" i="10"/>
  <c r="X443" i="10"/>
  <c r="X427" i="10"/>
  <c r="Y427" i="10"/>
  <c r="X322" i="10"/>
  <c r="Y322" i="10"/>
  <c r="Y340" i="10"/>
  <c r="X340" i="10"/>
  <c r="Y227" i="10"/>
  <c r="X227" i="10"/>
  <c r="X377" i="10"/>
  <c r="Y377" i="10"/>
  <c r="Y141" i="10"/>
  <c r="X141" i="10"/>
  <c r="Y105" i="10"/>
  <c r="X105" i="10"/>
  <c r="Y139" i="10"/>
  <c r="X139" i="10"/>
  <c r="Y119" i="10"/>
  <c r="X119" i="10"/>
  <c r="Y196" i="10"/>
  <c r="X196" i="10"/>
  <c r="X44" i="10"/>
  <c r="Y44" i="10"/>
  <c r="Y66" i="10"/>
  <c r="X66" i="10"/>
  <c r="Y537" i="10"/>
  <c r="X537" i="10"/>
  <c r="Y501" i="10"/>
  <c r="X501" i="10"/>
  <c r="Y390" i="10"/>
  <c r="X390" i="10"/>
  <c r="X291" i="10"/>
  <c r="Y291" i="10"/>
  <c r="Y312" i="10"/>
  <c r="X312" i="10"/>
  <c r="Y153" i="10"/>
  <c r="X153" i="10"/>
  <c r="Y550" i="10"/>
  <c r="X550" i="10"/>
  <c r="Y523" i="10"/>
  <c r="X523" i="10"/>
  <c r="Y497" i="10"/>
  <c r="X497" i="10"/>
  <c r="Y439" i="10"/>
  <c r="X439" i="10"/>
  <c r="Y453" i="10"/>
  <c r="X453" i="10"/>
  <c r="X437" i="10"/>
  <c r="Y437" i="10"/>
  <c r="Y402" i="10"/>
  <c r="X402" i="10"/>
  <c r="X436" i="10"/>
  <c r="Y436" i="10"/>
  <c r="Y400" i="10"/>
  <c r="X400" i="10"/>
  <c r="X407" i="10"/>
  <c r="Y407" i="10"/>
  <c r="Y351" i="10"/>
  <c r="X351" i="10"/>
  <c r="Y319" i="10"/>
  <c r="X319" i="10"/>
  <c r="X267" i="10"/>
  <c r="Y267" i="10"/>
  <c r="X365" i="10"/>
  <c r="Y365" i="10"/>
  <c r="Y333" i="10"/>
  <c r="X333" i="10"/>
  <c r="Y364" i="10"/>
  <c r="X364" i="10"/>
  <c r="Y239" i="10"/>
  <c r="X239" i="10"/>
  <c r="Y175" i="10"/>
  <c r="X175" i="10"/>
  <c r="Y293" i="10"/>
  <c r="X293" i="10"/>
  <c r="Y277" i="10"/>
  <c r="X277" i="10"/>
  <c r="Y261" i="10"/>
  <c r="X261" i="10"/>
  <c r="Y245" i="10"/>
  <c r="X245" i="10"/>
  <c r="Y77" i="10"/>
  <c r="X77" i="10"/>
  <c r="X132" i="10"/>
  <c r="Y132" i="10"/>
  <c r="X100" i="10"/>
  <c r="Y100" i="10"/>
  <c r="X272" i="10"/>
  <c r="Y272" i="10"/>
  <c r="Y159" i="10"/>
  <c r="X159" i="10"/>
  <c r="X84" i="10"/>
  <c r="Y84" i="10"/>
  <c r="Y24" i="10"/>
  <c r="X24" i="10"/>
  <c r="X190" i="10"/>
  <c r="Y190" i="10"/>
  <c r="Y64" i="10"/>
  <c r="X64" i="10"/>
  <c r="Y57" i="10"/>
  <c r="X57" i="10"/>
  <c r="Y42" i="10"/>
  <c r="X42" i="10"/>
  <c r="Y462" i="10"/>
  <c r="X462" i="10"/>
  <c r="Y382" i="10"/>
  <c r="X382" i="10"/>
  <c r="Y331" i="10"/>
  <c r="X331" i="10"/>
  <c r="Y345" i="10"/>
  <c r="X345" i="10"/>
  <c r="Y549" i="10"/>
  <c r="X549" i="10"/>
  <c r="Y553" i="10"/>
  <c r="X553" i="10"/>
  <c r="Y521" i="10"/>
  <c r="X521" i="10"/>
  <c r="X516" i="10"/>
  <c r="Y516" i="10"/>
  <c r="Y493" i="10"/>
  <c r="X493" i="10"/>
  <c r="Y451" i="10"/>
  <c r="X451" i="10"/>
  <c r="Y370" i="10"/>
  <c r="X370" i="10"/>
  <c r="X279" i="10"/>
  <c r="Y279" i="10"/>
  <c r="Y376" i="10"/>
  <c r="X376" i="10"/>
  <c r="X334" i="10"/>
  <c r="Y334" i="10"/>
  <c r="Y348" i="10"/>
  <c r="X348" i="10"/>
  <c r="Y219" i="10"/>
  <c r="X219" i="10"/>
  <c r="X373" i="10"/>
  <c r="Y373" i="10"/>
  <c r="Y133" i="10"/>
  <c r="X133" i="10"/>
  <c r="Y101" i="10"/>
  <c r="X101" i="10"/>
  <c r="Y147" i="10"/>
  <c r="X147" i="10"/>
  <c r="Y204" i="10"/>
  <c r="X204" i="10"/>
  <c r="X58" i="10"/>
  <c r="Y58" i="10"/>
  <c r="Y47" i="10"/>
  <c r="X47" i="10"/>
  <c r="Y200" i="10"/>
  <c r="X200" i="10"/>
  <c r="Y40" i="10"/>
  <c r="X40" i="10"/>
  <c r="Y134" i="10"/>
  <c r="X134" i="10"/>
  <c r="Y61" i="10"/>
  <c r="X61" i="10"/>
  <c r="X214" i="10"/>
  <c r="Y214" i="10"/>
  <c r="X230" i="10"/>
  <c r="Y230" i="10"/>
  <c r="Y106" i="10"/>
  <c r="X106" i="10"/>
  <c r="Y138" i="10"/>
  <c r="X138" i="10"/>
  <c r="Y168" i="10"/>
  <c r="X168" i="10"/>
  <c r="Y184" i="10"/>
  <c r="X184" i="10"/>
  <c r="Y154" i="10"/>
  <c r="X154" i="10"/>
  <c r="Y169" i="10"/>
  <c r="X169" i="10"/>
  <c r="Y185" i="10"/>
  <c r="X185" i="10"/>
  <c r="X216" i="10"/>
  <c r="Y216" i="10"/>
  <c r="X232" i="10"/>
  <c r="Y232" i="10"/>
  <c r="Y209" i="10"/>
  <c r="X209" i="10"/>
  <c r="Y225" i="10"/>
  <c r="X225" i="10"/>
  <c r="Y241" i="10"/>
  <c r="X241" i="10"/>
  <c r="X258" i="10"/>
  <c r="Y258" i="10"/>
  <c r="X274" i="10"/>
  <c r="Y274" i="10"/>
  <c r="X290" i="10"/>
  <c r="Y290" i="10"/>
  <c r="X306" i="10"/>
  <c r="Y306" i="10"/>
  <c r="X389" i="10"/>
  <c r="Y389" i="10"/>
  <c r="X405" i="10"/>
  <c r="Y405" i="10"/>
  <c r="X421" i="10"/>
  <c r="Y421" i="10"/>
  <c r="X375" i="10"/>
  <c r="Y375" i="10"/>
  <c r="Y455" i="10"/>
  <c r="X455" i="10"/>
  <c r="Y494" i="10"/>
  <c r="X494" i="10"/>
  <c r="Y448" i="10"/>
  <c r="X448" i="10"/>
  <c r="Y489" i="10"/>
  <c r="X489" i="10"/>
  <c r="Y538" i="10"/>
  <c r="X538" i="10"/>
  <c r="Y515" i="10"/>
  <c r="X515" i="10"/>
  <c r="X540" i="10"/>
  <c r="Y540" i="10"/>
  <c r="Q9" i="5"/>
  <c r="Q65" i="5"/>
  <c r="S65" i="5" s="1"/>
  <c r="Q160" i="5"/>
  <c r="R160" i="5" s="1"/>
  <c r="Q188" i="5"/>
  <c r="S188" i="5" s="1"/>
  <c r="Q266" i="5"/>
  <c r="R266" i="5" s="1"/>
  <c r="Q287" i="5"/>
  <c r="R287" i="5" s="1"/>
  <c r="Q363" i="5"/>
  <c r="S363" i="5" s="1"/>
  <c r="Q483" i="5"/>
  <c r="S483" i="5" s="1"/>
  <c r="Q492" i="5"/>
  <c r="R492" i="5" s="1"/>
  <c r="Q515" i="5"/>
  <c r="R515" i="5" s="1"/>
  <c r="Q95" i="5"/>
  <c r="R95" i="5" s="1"/>
  <c r="Q329" i="5"/>
  <c r="R329" i="5" s="1"/>
  <c r="Q33" i="5"/>
  <c r="S33" i="5" s="1"/>
  <c r="X560" i="10"/>
  <c r="Y560" i="10"/>
  <c r="Y509" i="10"/>
  <c r="X509" i="10"/>
  <c r="Y447" i="10"/>
  <c r="X447" i="10"/>
  <c r="Y366" i="10"/>
  <c r="X366" i="10"/>
  <c r="Y355" i="10"/>
  <c r="X355" i="10"/>
  <c r="Y372" i="10"/>
  <c r="X372" i="10"/>
  <c r="Y328" i="10"/>
  <c r="X328" i="10"/>
  <c r="Y137" i="10"/>
  <c r="X137" i="10"/>
  <c r="X144" i="10"/>
  <c r="Y144" i="10"/>
  <c r="X112" i="10"/>
  <c r="Y112" i="10"/>
  <c r="X276" i="10"/>
  <c r="Y276" i="10"/>
  <c r="Y151" i="10"/>
  <c r="X151" i="10"/>
  <c r="Y63" i="10"/>
  <c r="X63" i="10"/>
  <c r="X55" i="10"/>
  <c r="Y55" i="10"/>
  <c r="Y38" i="10"/>
  <c r="X38" i="10"/>
  <c r="X178" i="10"/>
  <c r="Y178" i="10"/>
  <c r="X86" i="10"/>
  <c r="Y86" i="10"/>
  <c r="Y545" i="10"/>
  <c r="X545" i="10"/>
  <c r="Y529" i="10"/>
  <c r="X529" i="10"/>
  <c r="X511" i="10"/>
  <c r="Y511" i="10"/>
  <c r="X520" i="10"/>
  <c r="Y520" i="10"/>
  <c r="Y458" i="10"/>
  <c r="X458" i="10"/>
  <c r="Y471" i="10"/>
  <c r="X471" i="10"/>
  <c r="Y430" i="10"/>
  <c r="X430" i="10"/>
  <c r="Y424" i="10"/>
  <c r="X424" i="10"/>
  <c r="X411" i="10"/>
  <c r="Y411" i="10"/>
  <c r="X287" i="10"/>
  <c r="Y287" i="10"/>
  <c r="X346" i="10"/>
  <c r="Y346" i="10"/>
  <c r="X314" i="10"/>
  <c r="Y314" i="10"/>
  <c r="Y324" i="10"/>
  <c r="X324" i="10"/>
  <c r="Y211" i="10"/>
  <c r="X211" i="10"/>
  <c r="Y305" i="10"/>
  <c r="X305" i="10"/>
  <c r="Y129" i="10"/>
  <c r="X129" i="10"/>
  <c r="Y97" i="10"/>
  <c r="X97" i="10"/>
  <c r="Y131" i="10"/>
  <c r="X131" i="10"/>
  <c r="Y115" i="10"/>
  <c r="X115" i="10"/>
  <c r="Y99" i="10"/>
  <c r="X99" i="10"/>
  <c r="X88" i="10"/>
  <c r="Y88" i="10"/>
  <c r="Y20" i="10"/>
  <c r="X20" i="10"/>
  <c r="X98" i="10"/>
  <c r="Y98" i="10"/>
  <c r="X536" i="10"/>
  <c r="Y536" i="10"/>
  <c r="X491" i="10"/>
  <c r="Y491" i="10"/>
  <c r="Y396" i="10"/>
  <c r="X396" i="10"/>
  <c r="Y321" i="10"/>
  <c r="X321" i="10"/>
  <c r="Y215" i="10"/>
  <c r="X215" i="10"/>
  <c r="X556" i="10"/>
  <c r="Y556" i="10"/>
  <c r="X531" i="10"/>
  <c r="Y531" i="10"/>
  <c r="Y504" i="10"/>
  <c r="X504" i="10"/>
  <c r="Y505" i="10"/>
  <c r="X505" i="10"/>
  <c r="Y490" i="10"/>
  <c r="X490" i="10"/>
  <c r="Y449" i="10"/>
  <c r="X449" i="10"/>
  <c r="Y426" i="10"/>
  <c r="X426" i="10"/>
  <c r="Y394" i="10"/>
  <c r="X394" i="10"/>
  <c r="X432" i="10"/>
  <c r="Y432" i="10"/>
  <c r="Y392" i="10"/>
  <c r="X392" i="10"/>
  <c r="X391" i="10"/>
  <c r="Y391" i="10"/>
  <c r="Y343" i="10"/>
  <c r="X343" i="10"/>
  <c r="Y311" i="10"/>
  <c r="X311" i="10"/>
  <c r="X251" i="10"/>
  <c r="Y251" i="10"/>
  <c r="Y357" i="10"/>
  <c r="X357" i="10"/>
  <c r="Y325" i="10"/>
  <c r="X325" i="10"/>
  <c r="Y352" i="10"/>
  <c r="X352" i="10"/>
  <c r="Y223" i="10"/>
  <c r="X223" i="10"/>
  <c r="X300" i="10"/>
  <c r="Y300" i="10"/>
  <c r="Y289" i="10"/>
  <c r="X289" i="10"/>
  <c r="Y273" i="10"/>
  <c r="X273" i="10"/>
  <c r="Y257" i="10"/>
  <c r="X257" i="10"/>
  <c r="Y161" i="10"/>
  <c r="X161" i="10"/>
  <c r="X156" i="10"/>
  <c r="Y156" i="10"/>
  <c r="X124" i="10"/>
  <c r="Y124" i="10"/>
  <c r="X296" i="10"/>
  <c r="Y296" i="10"/>
  <c r="X264" i="10"/>
  <c r="Y264" i="10"/>
  <c r="Y143" i="10"/>
  <c r="X143" i="10"/>
  <c r="Y53" i="10"/>
  <c r="X53" i="10"/>
  <c r="X41" i="10"/>
  <c r="Y41" i="10"/>
  <c r="X182" i="10"/>
  <c r="Y182" i="10"/>
  <c r="Y56" i="10"/>
  <c r="X56" i="10"/>
  <c r="Y54" i="10"/>
  <c r="X54" i="10"/>
  <c r="X555" i="10"/>
  <c r="Y555" i="10"/>
  <c r="X485" i="10"/>
  <c r="Y485" i="10"/>
  <c r="Y420" i="10"/>
  <c r="X420" i="10"/>
  <c r="Y307" i="10"/>
  <c r="X307" i="10"/>
  <c r="Y337" i="10"/>
  <c r="X337" i="10"/>
  <c r="X559" i="10"/>
  <c r="Y559" i="10"/>
  <c r="Y542" i="10"/>
  <c r="X542" i="10"/>
  <c r="X532" i="10"/>
  <c r="Y532" i="10"/>
  <c r="Y492" i="10"/>
  <c r="X492" i="10"/>
  <c r="Y484" i="10"/>
  <c r="X484" i="10"/>
  <c r="X450" i="10"/>
  <c r="Y450" i="10"/>
  <c r="X419" i="10"/>
  <c r="Y419" i="10"/>
  <c r="X263" i="10"/>
  <c r="Y263" i="10"/>
  <c r="X358" i="10"/>
  <c r="Y358" i="10"/>
  <c r="X326" i="10"/>
  <c r="Y326" i="10"/>
  <c r="Y332" i="10"/>
  <c r="X332" i="10"/>
  <c r="Y203" i="10"/>
  <c r="X203" i="10"/>
  <c r="X206" i="10"/>
  <c r="Y206" i="10"/>
  <c r="Y125" i="10"/>
  <c r="X125" i="10"/>
  <c r="Y89" i="10"/>
  <c r="X89" i="10"/>
  <c r="Y91" i="10"/>
  <c r="X91" i="10"/>
  <c r="X96" i="10"/>
  <c r="Y96" i="10"/>
  <c r="X33" i="10"/>
  <c r="Y33" i="10"/>
  <c r="X43" i="10"/>
  <c r="Y43" i="10"/>
  <c r="X90" i="10"/>
  <c r="Y90" i="10"/>
  <c r="Y21" i="10"/>
  <c r="X21" i="10"/>
  <c r="Y27" i="10"/>
  <c r="X27" i="10"/>
  <c r="Y114" i="10"/>
  <c r="X114" i="10"/>
  <c r="Y146" i="10"/>
  <c r="X146" i="10"/>
  <c r="Y197" i="10"/>
  <c r="X197" i="10"/>
  <c r="X218" i="10"/>
  <c r="Y218" i="10"/>
  <c r="X234" i="10"/>
  <c r="Y234" i="10"/>
  <c r="Y110" i="10"/>
  <c r="X110" i="10"/>
  <c r="Y142" i="10"/>
  <c r="X142" i="10"/>
  <c r="Y172" i="10"/>
  <c r="X172" i="10"/>
  <c r="Y188" i="10"/>
  <c r="X188" i="10"/>
  <c r="Y162" i="10"/>
  <c r="X162" i="10"/>
  <c r="Y173" i="10"/>
  <c r="X173" i="10"/>
  <c r="Y189" i="10"/>
  <c r="X189" i="10"/>
  <c r="X220" i="10"/>
  <c r="Y220" i="10"/>
  <c r="X236" i="10"/>
  <c r="Y236" i="10"/>
  <c r="Y213" i="10"/>
  <c r="X213" i="10"/>
  <c r="Y229" i="10"/>
  <c r="X229" i="10"/>
  <c r="X246" i="10"/>
  <c r="Y246" i="10"/>
  <c r="X262" i="10"/>
  <c r="Y262" i="10"/>
  <c r="X278" i="10"/>
  <c r="Y278" i="10"/>
  <c r="X294" i="10"/>
  <c r="Y294" i="10"/>
  <c r="Y363" i="10"/>
  <c r="X363" i="10"/>
  <c r="X393" i="10"/>
  <c r="Y393" i="10"/>
  <c r="X409" i="10"/>
  <c r="Y409" i="10"/>
  <c r="X425" i="10"/>
  <c r="Y425" i="10"/>
  <c r="X379" i="10"/>
  <c r="Y379" i="10"/>
  <c r="Y463" i="10"/>
  <c r="X463" i="10"/>
  <c r="Y434" i="10"/>
  <c r="X434" i="10"/>
  <c r="Y452" i="10"/>
  <c r="X452" i="10"/>
  <c r="Y486" i="10"/>
  <c r="X486" i="10"/>
  <c r="X495" i="10"/>
  <c r="Y495" i="10"/>
  <c r="Y519" i="10"/>
  <c r="X519" i="10"/>
  <c r="X544" i="10"/>
  <c r="Y544" i="10"/>
  <c r="X496" i="10"/>
  <c r="Y496" i="10"/>
  <c r="Y398" i="10"/>
  <c r="X398" i="10"/>
  <c r="X275" i="10"/>
  <c r="Y275" i="10"/>
  <c r="Y167" i="10"/>
  <c r="X167" i="10"/>
  <c r="X120" i="10"/>
  <c r="Y120" i="10"/>
  <c r="X252" i="10"/>
  <c r="Y252" i="10"/>
  <c r="X68" i="10"/>
  <c r="Y68" i="10"/>
  <c r="X39" i="10"/>
  <c r="Y39" i="10"/>
  <c r="Y62" i="10"/>
  <c r="X62" i="10"/>
  <c r="Y45" i="10"/>
  <c r="X45" i="10"/>
  <c r="X534" i="10"/>
  <c r="Y534" i="10"/>
  <c r="Y482" i="10"/>
  <c r="X482" i="10"/>
  <c r="Y502" i="10"/>
  <c r="X502" i="10"/>
  <c r="Y428" i="10"/>
  <c r="X428" i="10"/>
  <c r="X303" i="10"/>
  <c r="Y303" i="10"/>
  <c r="X354" i="10"/>
  <c r="Y354" i="10"/>
  <c r="Y103" i="10"/>
  <c r="X103" i="10"/>
  <c r="S231" i="10"/>
  <c r="R231" i="10"/>
  <c r="Y525" i="10"/>
  <c r="X525" i="10"/>
  <c r="Y478" i="10"/>
  <c r="X478" i="10"/>
  <c r="Y464" i="10"/>
  <c r="X464" i="10"/>
  <c r="Y412" i="10"/>
  <c r="X412" i="10"/>
  <c r="Y339" i="10"/>
  <c r="X339" i="10"/>
  <c r="Y353" i="10"/>
  <c r="X353" i="10"/>
  <c r="Y231" i="10"/>
  <c r="X231" i="10"/>
  <c r="Y85" i="10"/>
  <c r="X85" i="10"/>
  <c r="X136" i="10"/>
  <c r="Y136" i="10"/>
  <c r="X104" i="10"/>
  <c r="Y104" i="10"/>
  <c r="X268" i="10"/>
  <c r="Y268" i="10"/>
  <c r="Y135" i="10"/>
  <c r="X135" i="10"/>
  <c r="X92" i="10"/>
  <c r="Y92" i="10"/>
  <c r="Y51" i="10"/>
  <c r="X51" i="10"/>
  <c r="Y28" i="10"/>
  <c r="X28" i="10"/>
  <c r="X170" i="10"/>
  <c r="Y170" i="10"/>
  <c r="X70" i="10"/>
  <c r="Y70" i="10"/>
  <c r="Y554" i="10"/>
  <c r="X554" i="10"/>
  <c r="Y530" i="10"/>
  <c r="X530" i="10"/>
  <c r="X507" i="10"/>
  <c r="Y507" i="10"/>
  <c r="Y488" i="10"/>
  <c r="X488" i="10"/>
  <c r="Y480" i="10"/>
  <c r="X480" i="10"/>
  <c r="X446" i="10"/>
  <c r="Y446" i="10"/>
  <c r="Y378" i="10"/>
  <c r="X378" i="10"/>
  <c r="X457" i="10"/>
  <c r="Y457" i="10"/>
  <c r="X395" i="10"/>
  <c r="Y395" i="10"/>
  <c r="X271" i="10"/>
  <c r="Y271" i="10"/>
  <c r="X338" i="10"/>
  <c r="Y338" i="10"/>
  <c r="X361" i="10"/>
  <c r="Y361" i="10"/>
  <c r="Y308" i="10"/>
  <c r="X308" i="10"/>
  <c r="Y195" i="10"/>
  <c r="X195" i="10"/>
  <c r="X202" i="10"/>
  <c r="Y202" i="10"/>
  <c r="Y121" i="10"/>
  <c r="X121" i="10"/>
  <c r="Y81" i="10"/>
  <c r="X81" i="10"/>
  <c r="Y127" i="10"/>
  <c r="X127" i="10"/>
  <c r="Y111" i="10"/>
  <c r="X111" i="10"/>
  <c r="Y83" i="10"/>
  <c r="X83" i="10"/>
  <c r="X72" i="10"/>
  <c r="Y72" i="10"/>
  <c r="X19" i="10"/>
  <c r="Y19" i="10"/>
  <c r="X82" i="10"/>
  <c r="Y82" i="10"/>
  <c r="Y517" i="10"/>
  <c r="X517" i="10"/>
  <c r="X477" i="10"/>
  <c r="Y477" i="10"/>
  <c r="Y347" i="10"/>
  <c r="X347" i="10"/>
  <c r="Y360" i="10"/>
  <c r="X360" i="10"/>
  <c r="X304" i="10"/>
  <c r="Y304" i="10"/>
  <c r="Y558" i="10"/>
  <c r="X558" i="10"/>
  <c r="X551" i="10"/>
  <c r="Y551" i="10"/>
  <c r="Y514" i="10"/>
  <c r="X514" i="10"/>
  <c r="Y470" i="10"/>
  <c r="X470" i="10"/>
  <c r="Y468" i="10"/>
  <c r="X468" i="10"/>
  <c r="Y445" i="10"/>
  <c r="X445" i="10"/>
  <c r="Y418" i="10"/>
  <c r="X418" i="10"/>
  <c r="Y386" i="10"/>
  <c r="X386" i="10"/>
  <c r="Y416" i="10"/>
  <c r="X416" i="10"/>
  <c r="Y384" i="10"/>
  <c r="X384" i="10"/>
  <c r="X469" i="10"/>
  <c r="Y469" i="10"/>
  <c r="Y335" i="10"/>
  <c r="X335" i="10"/>
  <c r="X299" i="10"/>
  <c r="Y299" i="10"/>
  <c r="Y435" i="10"/>
  <c r="X435" i="10"/>
  <c r="Y349" i="10"/>
  <c r="X349" i="10"/>
  <c r="Y317" i="10"/>
  <c r="X317" i="10"/>
  <c r="Y336" i="10"/>
  <c r="X336" i="10"/>
  <c r="Y207" i="10"/>
  <c r="X207" i="10"/>
  <c r="Y301" i="10"/>
  <c r="X301" i="10"/>
  <c r="Y285" i="10"/>
  <c r="X285" i="10"/>
  <c r="Y269" i="10"/>
  <c r="X269" i="10"/>
  <c r="Y253" i="10"/>
  <c r="X253" i="10"/>
  <c r="Y145" i="10"/>
  <c r="X145" i="10"/>
  <c r="X148" i="10"/>
  <c r="Y148" i="10"/>
  <c r="X116" i="10"/>
  <c r="Y116" i="10"/>
  <c r="X288" i="10"/>
  <c r="Y288" i="10"/>
  <c r="X256" i="10"/>
  <c r="Y256" i="10"/>
  <c r="Y87" i="10"/>
  <c r="X87" i="10"/>
  <c r="Y36" i="10"/>
  <c r="X36" i="10"/>
  <c r="Y35" i="10"/>
  <c r="X35" i="10"/>
  <c r="X174" i="10"/>
  <c r="Y174" i="10"/>
  <c r="X94" i="10"/>
  <c r="Y94" i="10"/>
  <c r="Y50" i="10"/>
  <c r="X50" i="10"/>
  <c r="Y526" i="10"/>
  <c r="X526" i="10"/>
  <c r="Y456" i="10"/>
  <c r="X456" i="10"/>
  <c r="Y388" i="10"/>
  <c r="X388" i="10"/>
  <c r="X259" i="10"/>
  <c r="Y259" i="10"/>
  <c r="Y368" i="10"/>
  <c r="X368" i="10"/>
  <c r="Y557" i="10"/>
  <c r="X557" i="10"/>
  <c r="Y533" i="10"/>
  <c r="X533" i="10"/>
  <c r="Y527" i="10"/>
  <c r="X527" i="10"/>
  <c r="Y474" i="10"/>
  <c r="X474" i="10"/>
  <c r="Y476" i="10"/>
  <c r="X476" i="10"/>
  <c r="X442" i="10"/>
  <c r="Y442" i="10"/>
  <c r="X403" i="10"/>
  <c r="Y403" i="10"/>
  <c r="X247" i="10"/>
  <c r="Y247" i="10"/>
  <c r="X350" i="10"/>
  <c r="Y350" i="10"/>
  <c r="X318" i="10"/>
  <c r="Y318" i="10"/>
  <c r="Y316" i="10"/>
  <c r="X316" i="10"/>
  <c r="Y187" i="10"/>
  <c r="X187" i="10"/>
  <c r="X198" i="10"/>
  <c r="Y198" i="10"/>
  <c r="Y117" i="10"/>
  <c r="X117" i="10"/>
  <c r="Y73" i="10"/>
  <c r="X73" i="10"/>
  <c r="Y75" i="10"/>
  <c r="X75" i="10"/>
  <c r="X80" i="10"/>
  <c r="Y80" i="10"/>
  <c r="Y22" i="10"/>
  <c r="X22" i="10"/>
  <c r="X31" i="10"/>
  <c r="Y31" i="10"/>
  <c r="X74" i="10"/>
  <c r="Y74" i="10"/>
  <c r="X30" i="10"/>
  <c r="Y30" i="10"/>
  <c r="Y34" i="10"/>
  <c r="X34" i="10"/>
  <c r="Y122" i="10"/>
  <c r="X122" i="10"/>
  <c r="Y150" i="10"/>
  <c r="X150" i="10"/>
  <c r="Y205" i="10"/>
  <c r="X205" i="10"/>
  <c r="X222" i="10"/>
  <c r="Y222" i="10"/>
  <c r="X238" i="10"/>
  <c r="Y238" i="10"/>
  <c r="Y118" i="10"/>
  <c r="X118" i="10"/>
  <c r="Y176" i="10"/>
  <c r="X176" i="10"/>
  <c r="Y192" i="10"/>
  <c r="X192" i="10"/>
  <c r="Y201" i="10"/>
  <c r="X201" i="10"/>
  <c r="Y177" i="10"/>
  <c r="X177" i="10"/>
  <c r="Y193" i="10"/>
  <c r="X193" i="10"/>
  <c r="X224" i="10"/>
  <c r="Y224" i="10"/>
  <c r="X240" i="10"/>
  <c r="Y240" i="10"/>
  <c r="Y217" i="10"/>
  <c r="X217" i="10"/>
  <c r="Y233" i="10"/>
  <c r="X233" i="10"/>
  <c r="X250" i="10"/>
  <c r="Y250" i="10"/>
  <c r="X266" i="10"/>
  <c r="Y266" i="10"/>
  <c r="X282" i="10"/>
  <c r="Y282" i="10"/>
  <c r="X298" i="10"/>
  <c r="Y298" i="10"/>
  <c r="Y367" i="10"/>
  <c r="X367" i="10"/>
  <c r="X397" i="10"/>
  <c r="Y397" i="10"/>
  <c r="X413" i="10"/>
  <c r="Y413" i="10"/>
  <c r="X429" i="10"/>
  <c r="Y429" i="10"/>
  <c r="X383" i="10"/>
  <c r="Y383" i="10"/>
  <c r="Y459" i="10"/>
  <c r="X459" i="10"/>
  <c r="Y440" i="10"/>
  <c r="X440" i="10"/>
  <c r="Y475" i="10"/>
  <c r="X475" i="10"/>
  <c r="Y498" i="10"/>
  <c r="X498" i="10"/>
  <c r="X499" i="10"/>
  <c r="Y499" i="10"/>
  <c r="Y543" i="10"/>
  <c r="X543" i="10"/>
  <c r="Q30" i="5"/>
  <c r="R30" i="5" s="1"/>
  <c r="Q90" i="5"/>
  <c r="S90" i="5" s="1"/>
  <c r="Q147" i="5"/>
  <c r="R147" i="5" s="1"/>
  <c r="Q194" i="5"/>
  <c r="S194" i="5" s="1"/>
  <c r="Q281" i="5"/>
  <c r="S281" i="5" s="1"/>
  <c r="Q411" i="5"/>
  <c r="R411" i="5" s="1"/>
  <c r="Q374" i="5"/>
  <c r="S374" i="5" s="1"/>
  <c r="Q519" i="5"/>
  <c r="R519" i="5" s="1"/>
  <c r="Q530" i="5"/>
  <c r="S530" i="5" s="1"/>
  <c r="Q403" i="5"/>
  <c r="S403" i="5" s="1"/>
  <c r="Q193" i="5"/>
  <c r="R193" i="5" s="1"/>
  <c r="Q252" i="5"/>
  <c r="S252" i="5" s="1"/>
  <c r="Q446" i="5"/>
  <c r="S446" i="5" s="1"/>
  <c r="X528" i="10"/>
  <c r="Y528" i="10"/>
  <c r="X481" i="10"/>
  <c r="Y481" i="10"/>
  <c r="Y414" i="10"/>
  <c r="X414" i="10"/>
  <c r="Y404" i="10"/>
  <c r="X404" i="10"/>
  <c r="Y315" i="10"/>
  <c r="X315" i="10"/>
  <c r="Y329" i="10"/>
  <c r="X329" i="10"/>
  <c r="Y183" i="10"/>
  <c r="X183" i="10"/>
  <c r="X160" i="10"/>
  <c r="Y160" i="10"/>
  <c r="X128" i="10"/>
  <c r="Y128" i="10"/>
  <c r="X292" i="10"/>
  <c r="Y292" i="10"/>
  <c r="X260" i="10"/>
  <c r="Y260" i="10"/>
  <c r="Y95" i="10"/>
  <c r="X95" i="10"/>
  <c r="X76" i="10"/>
  <c r="Y76" i="10"/>
  <c r="Y26" i="10"/>
  <c r="X26" i="10"/>
  <c r="X194" i="10"/>
  <c r="Y194" i="10"/>
  <c r="X71" i="10"/>
  <c r="Y71" i="10"/>
  <c r="Y52" i="10"/>
  <c r="X52" i="10"/>
  <c r="Y547" i="10"/>
  <c r="X547" i="10"/>
  <c r="Y512" i="10"/>
  <c r="X512" i="10"/>
  <c r="X522" i="10"/>
  <c r="Y522" i="10"/>
  <c r="X487" i="10"/>
  <c r="Y487" i="10"/>
  <c r="Y472" i="10"/>
  <c r="X472" i="10"/>
  <c r="X438" i="10"/>
  <c r="Y438" i="10"/>
  <c r="Y362" i="10"/>
  <c r="X362" i="10"/>
  <c r="Y431" i="10"/>
  <c r="X431" i="10"/>
  <c r="X461" i="10"/>
  <c r="Y461" i="10"/>
  <c r="X255" i="10"/>
  <c r="Y255" i="10"/>
  <c r="X330" i="10"/>
  <c r="Y330" i="10"/>
  <c r="Y356" i="10"/>
  <c r="X356" i="10"/>
  <c r="Y243" i="10"/>
  <c r="X243" i="10"/>
  <c r="Y179" i="10"/>
  <c r="X179" i="10"/>
  <c r="Y157" i="10"/>
  <c r="X157" i="10"/>
  <c r="Y113" i="10"/>
  <c r="X113" i="10"/>
  <c r="Y155" i="10"/>
  <c r="X155" i="10"/>
  <c r="Y123" i="10"/>
  <c r="X123" i="10"/>
  <c r="Y107" i="10"/>
  <c r="X107" i="10"/>
  <c r="Y60" i="10"/>
  <c r="X60" i="10"/>
  <c r="X59" i="10"/>
  <c r="Y59" i="10"/>
  <c r="X48" i="10"/>
  <c r="Y48" i="10"/>
  <c r="Y552" i="10"/>
  <c r="X552" i="10"/>
  <c r="Y510" i="10"/>
  <c r="X510" i="10"/>
  <c r="Y422" i="10"/>
  <c r="X422" i="10"/>
  <c r="Y323" i="10"/>
  <c r="X323" i="10"/>
  <c r="Y344" i="10"/>
  <c r="X344" i="10"/>
  <c r="X381" i="10"/>
  <c r="Y381" i="10"/>
  <c r="X541" i="10"/>
  <c r="Y541" i="10"/>
  <c r="X524" i="10"/>
  <c r="Y524" i="10"/>
  <c r="Y506" i="10"/>
  <c r="X506" i="10"/>
  <c r="Y454" i="10"/>
  <c r="X454" i="10"/>
  <c r="Y460" i="10"/>
  <c r="X460" i="10"/>
  <c r="Y441" i="10"/>
  <c r="X441" i="10"/>
  <c r="Y410" i="10"/>
  <c r="X410" i="10"/>
  <c r="Y374" i="10"/>
  <c r="X374" i="10"/>
  <c r="Y408" i="10"/>
  <c r="X408" i="10"/>
  <c r="X423" i="10"/>
  <c r="Y423" i="10"/>
  <c r="Y359" i="10"/>
  <c r="X359" i="10"/>
  <c r="Y327" i="10"/>
  <c r="X327" i="10"/>
  <c r="X283" i="10"/>
  <c r="Y283" i="10"/>
  <c r="Y380" i="10"/>
  <c r="X380" i="10"/>
  <c r="Y341" i="10"/>
  <c r="X341" i="10"/>
  <c r="Y309" i="10"/>
  <c r="X309" i="10"/>
  <c r="Y320" i="10"/>
  <c r="X320" i="10"/>
  <c r="Y191" i="10"/>
  <c r="X191" i="10"/>
  <c r="Y297" i="10"/>
  <c r="X297" i="10"/>
  <c r="Y281" i="10"/>
  <c r="X281" i="10"/>
  <c r="Y265" i="10"/>
  <c r="X265" i="10"/>
  <c r="Y249" i="10"/>
  <c r="X249" i="10"/>
  <c r="Y93" i="10"/>
  <c r="X93" i="10"/>
  <c r="X140" i="10"/>
  <c r="Y140" i="10"/>
  <c r="X108" i="10"/>
  <c r="Y108" i="10"/>
  <c r="X280" i="10"/>
  <c r="Y280" i="10"/>
  <c r="X248" i="10"/>
  <c r="Y248" i="10"/>
  <c r="Y67" i="10"/>
  <c r="X67" i="10"/>
  <c r="Y29" i="10"/>
  <c r="X29" i="10"/>
  <c r="Y25" i="10"/>
  <c r="X25" i="10"/>
  <c r="X166" i="10"/>
  <c r="Y166" i="10"/>
  <c r="X78" i="10"/>
  <c r="Y78" i="10"/>
  <c r="Y208" i="10"/>
  <c r="X208" i="10"/>
  <c r="Y508" i="10"/>
  <c r="X508" i="10"/>
  <c r="Y406" i="10"/>
  <c r="X406" i="10"/>
  <c r="X399" i="10"/>
  <c r="Y399" i="10"/>
  <c r="X369" i="10"/>
  <c r="Y369" i="10"/>
  <c r="Y199" i="10"/>
  <c r="X199" i="10"/>
  <c r="X548" i="10"/>
  <c r="Y548" i="10"/>
  <c r="Y535" i="10"/>
  <c r="X535" i="10"/>
  <c r="Y500" i="10"/>
  <c r="X500" i="10"/>
  <c r="Y466" i="10"/>
  <c r="X466" i="10"/>
  <c r="Y483" i="10"/>
  <c r="X483" i="10"/>
  <c r="X433" i="10"/>
  <c r="Y433" i="10"/>
  <c r="X295" i="10"/>
  <c r="Y295" i="10"/>
  <c r="X465" i="10"/>
  <c r="Y465" i="10"/>
  <c r="X342" i="10"/>
  <c r="Y342" i="10"/>
  <c r="X310" i="10"/>
  <c r="Y310" i="10"/>
  <c r="Y235" i="10"/>
  <c r="X235" i="10"/>
  <c r="Y171" i="10"/>
  <c r="X171" i="10"/>
  <c r="Y149" i="10"/>
  <c r="X149" i="10"/>
  <c r="Y109" i="10"/>
  <c r="X109" i="10"/>
  <c r="Y163" i="10"/>
  <c r="X163" i="10"/>
  <c r="Y65" i="10"/>
  <c r="X65" i="10"/>
  <c r="X46" i="10"/>
  <c r="Y46" i="10"/>
  <c r="Y49" i="10"/>
  <c r="X49" i="10"/>
  <c r="X23" i="10"/>
  <c r="Y23" i="10"/>
  <c r="X69" i="10"/>
  <c r="Y69" i="10"/>
  <c r="Y32" i="10"/>
  <c r="X32" i="10"/>
  <c r="Y37" i="10"/>
  <c r="X37" i="10"/>
  <c r="Y130" i="10"/>
  <c r="X130" i="10"/>
  <c r="Y158" i="10"/>
  <c r="X158" i="10"/>
  <c r="X210" i="10"/>
  <c r="Y210" i="10"/>
  <c r="X226" i="10"/>
  <c r="Y226" i="10"/>
  <c r="X242" i="10"/>
  <c r="Y242" i="10"/>
  <c r="Y126" i="10"/>
  <c r="X126" i="10"/>
  <c r="Y164" i="10"/>
  <c r="X164" i="10"/>
  <c r="Y180" i="10"/>
  <c r="X180" i="10"/>
  <c r="Y102" i="10"/>
  <c r="X102" i="10"/>
  <c r="Y165" i="10"/>
  <c r="X165" i="10"/>
  <c r="Y181" i="10"/>
  <c r="X181" i="10"/>
  <c r="X212" i="10"/>
  <c r="Y212" i="10"/>
  <c r="X228" i="10"/>
  <c r="Y228" i="10"/>
  <c r="X244" i="10"/>
  <c r="Y244" i="10"/>
  <c r="Y221" i="10"/>
  <c r="X221" i="10"/>
  <c r="Y237" i="10"/>
  <c r="X237" i="10"/>
  <c r="X254" i="10"/>
  <c r="Y254" i="10"/>
  <c r="X270" i="10"/>
  <c r="Y270" i="10"/>
  <c r="X286" i="10"/>
  <c r="Y286" i="10"/>
  <c r="X302" i="10"/>
  <c r="Y302" i="10"/>
  <c r="X387" i="10"/>
  <c r="Y387" i="10"/>
  <c r="X401" i="10"/>
  <c r="Y401" i="10"/>
  <c r="X417" i="10"/>
  <c r="Y417" i="10"/>
  <c r="X371" i="10"/>
  <c r="Y371" i="10"/>
  <c r="X385" i="10"/>
  <c r="Y385" i="10"/>
  <c r="Y467" i="10"/>
  <c r="X467" i="10"/>
  <c r="Y444" i="10"/>
  <c r="X444" i="10"/>
  <c r="Y479" i="10"/>
  <c r="X479" i="10"/>
  <c r="Y518" i="10"/>
  <c r="X518" i="10"/>
  <c r="X503" i="10"/>
  <c r="Y503" i="10"/>
  <c r="Y539" i="10"/>
  <c r="X539" i="10"/>
  <c r="Q207" i="5"/>
  <c r="R207" i="5" s="1"/>
  <c r="Q203" i="5"/>
  <c r="R203" i="5" s="1"/>
  <c r="Q305" i="5"/>
  <c r="S305" i="5" s="1"/>
  <c r="Q355" i="5"/>
  <c r="S355" i="5" s="1"/>
  <c r="Q388" i="5"/>
  <c r="S388" i="5" s="1"/>
  <c r="Q366" i="5"/>
  <c r="R366" i="5" s="1"/>
  <c r="Q434" i="5"/>
  <c r="S434" i="5" s="1"/>
  <c r="Q509" i="5"/>
  <c r="S509" i="5" s="1"/>
  <c r="Q400" i="5"/>
  <c r="S400" i="5" s="1"/>
  <c r="Q37" i="5"/>
  <c r="S37" i="5" s="1"/>
  <c r="Q189" i="5"/>
  <c r="S189" i="5" s="1"/>
  <c r="Q399" i="5"/>
  <c r="S399" i="5" s="1"/>
  <c r="Q100" i="5"/>
  <c r="R100" i="5" s="1"/>
  <c r="Q498" i="5"/>
  <c r="R498" i="5" s="1"/>
  <c r="Q190" i="5"/>
  <c r="R190" i="5" s="1"/>
  <c r="Q421" i="5"/>
  <c r="R421" i="5" s="1"/>
  <c r="Q522" i="5"/>
  <c r="R522" i="5" s="1"/>
  <c r="Q107" i="5"/>
  <c r="S107" i="5" s="1"/>
  <c r="Q60" i="5"/>
  <c r="R60" i="5" s="1"/>
  <c r="Q94" i="5"/>
  <c r="R94" i="5" s="1"/>
  <c r="Q83" i="5"/>
  <c r="R83" i="5" s="1"/>
  <c r="Q170" i="5"/>
  <c r="S170" i="5" s="1"/>
  <c r="Q240" i="5"/>
  <c r="R240" i="5" s="1"/>
  <c r="Q292" i="5"/>
  <c r="R292" i="5" s="1"/>
  <c r="Q239" i="5"/>
  <c r="S239" i="5" s="1"/>
  <c r="Q257" i="5"/>
  <c r="S257" i="5" s="1"/>
  <c r="Q279" i="5"/>
  <c r="R279" i="5" s="1"/>
  <c r="Q351" i="5"/>
  <c r="R351" i="5" s="1"/>
  <c r="Q393" i="5"/>
  <c r="S393" i="5" s="1"/>
  <c r="Q410" i="5"/>
  <c r="S410" i="5" s="1"/>
  <c r="Q342" i="5"/>
  <c r="S342" i="5" s="1"/>
  <c r="Q541" i="5"/>
  <c r="S541" i="5" s="1"/>
  <c r="Q549" i="5"/>
  <c r="S549" i="5" s="1"/>
  <c r="Q47" i="5"/>
  <c r="S47" i="5" s="1"/>
  <c r="Q146" i="5"/>
  <c r="S146" i="5" s="1"/>
  <c r="Q296" i="5"/>
  <c r="S296" i="5" s="1"/>
  <c r="Q394" i="5"/>
  <c r="R394" i="5" s="1"/>
  <c r="Q520" i="5"/>
  <c r="R520" i="5" s="1"/>
  <c r="Q70" i="5"/>
  <c r="R70" i="5" s="1"/>
  <c r="Q337" i="5"/>
  <c r="S337" i="5" s="1"/>
  <c r="Q126" i="5"/>
  <c r="S126" i="5" s="1"/>
  <c r="Q447" i="5"/>
  <c r="R447" i="5" s="1"/>
  <c r="Q42" i="5"/>
  <c r="S42" i="5" s="1"/>
  <c r="Q86" i="5"/>
  <c r="R86" i="5" s="1"/>
  <c r="Q148" i="5"/>
  <c r="R148" i="5" s="1"/>
  <c r="Q311" i="5"/>
  <c r="R311" i="5" s="1"/>
  <c r="Q347" i="5"/>
  <c r="S347" i="5" s="1"/>
  <c r="Q536" i="5"/>
  <c r="S536" i="5" s="1"/>
  <c r="Q36" i="5"/>
  <c r="S36" i="5" s="1"/>
  <c r="Q109" i="5"/>
  <c r="R109" i="5" s="1"/>
  <c r="Q176" i="5"/>
  <c r="S176" i="5" s="1"/>
  <c r="Q350" i="5"/>
  <c r="R350" i="5" s="1"/>
  <c r="Q383" i="5"/>
  <c r="R383" i="5" s="1"/>
  <c r="Q373" i="5"/>
  <c r="S373" i="5" s="1"/>
  <c r="Q19" i="5"/>
  <c r="R19" i="5" s="1"/>
  <c r="Q201" i="5"/>
  <c r="R201" i="5" s="1"/>
  <c r="B263" i="2"/>
  <c r="B223" i="2"/>
  <c r="B225" i="2" s="1"/>
  <c r="Q213" i="5"/>
  <c r="S213" i="5" s="1"/>
  <c r="Q496" i="5"/>
  <c r="R496" i="5" s="1"/>
  <c r="Q246" i="5"/>
  <c r="S246" i="5" s="1"/>
  <c r="Q227" i="5"/>
  <c r="R227" i="5" s="1"/>
  <c r="Q461" i="5"/>
  <c r="S461" i="5" s="1"/>
  <c r="Q335" i="5"/>
  <c r="S335" i="5" s="1"/>
  <c r="Q487" i="5"/>
  <c r="R487" i="5" s="1"/>
  <c r="Q450" i="5"/>
  <c r="R450" i="5" s="1"/>
  <c r="Q268" i="5"/>
  <c r="S268" i="5" s="1"/>
  <c r="Q460" i="5"/>
  <c r="R460" i="5" s="1"/>
  <c r="Q458" i="5"/>
  <c r="R458" i="5" s="1"/>
  <c r="Q81" i="5"/>
  <c r="R81" i="5" s="1"/>
  <c r="Q169" i="5"/>
  <c r="R169" i="5" s="1"/>
  <c r="Q196" i="5"/>
  <c r="S196" i="5" s="1"/>
  <c r="Q245" i="5"/>
  <c r="R245" i="5" s="1"/>
  <c r="Q512" i="5"/>
  <c r="S512" i="5" s="1"/>
  <c r="Q445" i="5"/>
  <c r="S445" i="5" s="1"/>
  <c r="Q466" i="5"/>
  <c r="R466" i="5" s="1"/>
  <c r="Q66" i="5"/>
  <c r="R66" i="5" s="1"/>
  <c r="Q144" i="5"/>
  <c r="S144" i="5" s="1"/>
  <c r="Q152" i="5"/>
  <c r="R152" i="5" s="1"/>
  <c r="Q97" i="5"/>
  <c r="S97" i="5" s="1"/>
  <c r="Q423" i="5"/>
  <c r="S423" i="5" s="1"/>
  <c r="Q362" i="5"/>
  <c r="R362" i="5" s="1"/>
  <c r="Q500" i="5"/>
  <c r="S500" i="5" s="1"/>
  <c r="Q58" i="5"/>
  <c r="R58" i="5" s="1"/>
  <c r="Q183" i="5"/>
  <c r="S183" i="5" s="1"/>
  <c r="Q482" i="5"/>
  <c r="R482" i="5" s="1"/>
  <c r="Q300" i="5"/>
  <c r="S300" i="5" s="1"/>
  <c r="Q29" i="5"/>
  <c r="R29" i="5" s="1"/>
  <c r="Q120" i="5"/>
  <c r="S120" i="5" s="1"/>
  <c r="Q200" i="5"/>
  <c r="S200" i="5" s="1"/>
  <c r="Q432" i="5"/>
  <c r="S432" i="5" s="1"/>
  <c r="Q230" i="5"/>
  <c r="R230" i="5" s="1"/>
  <c r="Q336" i="5"/>
  <c r="R336" i="5" s="1"/>
  <c r="Q265" i="5"/>
  <c r="R265" i="5" s="1"/>
  <c r="Q341" i="5"/>
  <c r="R341" i="5" s="1"/>
  <c r="Q116" i="5"/>
  <c r="S116" i="5" s="1"/>
  <c r="Q277" i="5"/>
  <c r="R277" i="5" s="1"/>
  <c r="Q64" i="5"/>
  <c r="S64" i="5" s="1"/>
  <c r="Q533" i="5"/>
  <c r="R533" i="5" s="1"/>
  <c r="Q262" i="5"/>
  <c r="S262" i="5" s="1"/>
  <c r="Q456" i="5"/>
  <c r="R456" i="5" s="1"/>
  <c r="Q272" i="5"/>
  <c r="S272" i="5" s="1"/>
  <c r="Q136" i="5"/>
  <c r="S136" i="5" s="1"/>
  <c r="Q334" i="5"/>
  <c r="R334" i="5" s="1"/>
  <c r="Q192" i="5"/>
  <c r="R192" i="5" s="1"/>
  <c r="Q202" i="5"/>
  <c r="S202" i="5" s="1"/>
  <c r="Q54" i="5"/>
  <c r="S54" i="5" s="1"/>
  <c r="Q486" i="5"/>
  <c r="R486" i="5" s="1"/>
  <c r="Q316" i="5"/>
  <c r="S316" i="5" s="1"/>
  <c r="Q118" i="5"/>
  <c r="S118" i="5" s="1"/>
  <c r="Q35" i="5"/>
  <c r="R35" i="5" s="1"/>
  <c r="Q554" i="5"/>
  <c r="S554" i="5" s="1"/>
  <c r="Q129" i="5"/>
  <c r="S129" i="5" s="1"/>
  <c r="Q165" i="5"/>
  <c r="R165" i="5" s="1"/>
  <c r="Q278" i="5"/>
  <c r="S278" i="5" s="1"/>
  <c r="Q354" i="5"/>
  <c r="R354" i="5" s="1"/>
  <c r="Q454" i="5"/>
  <c r="S454" i="5" s="1"/>
  <c r="Q489" i="5"/>
  <c r="R489" i="5" s="1"/>
  <c r="Q553" i="5"/>
  <c r="S553" i="5" s="1"/>
  <c r="Q429" i="5"/>
  <c r="R429" i="5" s="1"/>
  <c r="Q72" i="5"/>
  <c r="R72" i="5" s="1"/>
  <c r="Q104" i="5"/>
  <c r="R104" i="5" s="1"/>
  <c r="Q143" i="5"/>
  <c r="S143" i="5" s="1"/>
  <c r="Q180" i="5"/>
  <c r="S180" i="5" s="1"/>
  <c r="Q219" i="5"/>
  <c r="S219" i="5" s="1"/>
  <c r="Q247" i="5"/>
  <c r="R247" i="5" s="1"/>
  <c r="Q378" i="5"/>
  <c r="S378" i="5" s="1"/>
  <c r="Q518" i="5"/>
  <c r="S518" i="5" s="1"/>
  <c r="Q57" i="5"/>
  <c r="S57" i="5" s="1"/>
  <c r="Q367" i="5"/>
  <c r="R367" i="5" s="1"/>
  <c r="Q503" i="5"/>
  <c r="R503" i="5" s="1"/>
  <c r="Q270" i="5"/>
  <c r="S270" i="5" s="1"/>
  <c r="Q187" i="5"/>
  <c r="S187" i="5" s="1"/>
  <c r="Q128" i="5"/>
  <c r="S128" i="5" s="1"/>
  <c r="Q8" i="5"/>
  <c r="R8" i="5" s="1"/>
  <c r="Q271" i="5"/>
  <c r="S271" i="5" s="1"/>
  <c r="Q198" i="5"/>
  <c r="S198" i="5" s="1"/>
  <c r="Q123" i="5"/>
  <c r="R123" i="5" s="1"/>
  <c r="Q69" i="5"/>
  <c r="R69" i="5" s="1"/>
  <c r="Q443" i="5"/>
  <c r="R443" i="5" s="1"/>
  <c r="Q113" i="5"/>
  <c r="S113" i="5" s="1"/>
  <c r="Q469" i="5"/>
  <c r="R469" i="5" s="1"/>
  <c r="Q395" i="5"/>
  <c r="S395" i="5" s="1"/>
  <c r="Q32" i="5"/>
  <c r="S32" i="5" s="1"/>
  <c r="Q59" i="5"/>
  <c r="R59" i="5" s="1"/>
  <c r="Q80" i="5"/>
  <c r="Q142" i="5"/>
  <c r="S142" i="5" s="1"/>
  <c r="Q121" i="5"/>
  <c r="S121" i="5" s="1"/>
  <c r="Q179" i="5"/>
  <c r="R179" i="5" s="1"/>
  <c r="Q251" i="5"/>
  <c r="S251" i="5" s="1"/>
  <c r="Q226" i="5"/>
  <c r="R226" i="5" s="1"/>
  <c r="Q328" i="5"/>
  <c r="Q330" i="5"/>
  <c r="S330" i="5" s="1"/>
  <c r="Q315" i="5"/>
  <c r="R315" i="5" s="1"/>
  <c r="Q386" i="5"/>
  <c r="R386" i="5" s="1"/>
  <c r="Q343" i="5"/>
  <c r="S343" i="5" s="1"/>
  <c r="Q263" i="5"/>
  <c r="S263" i="5" s="1"/>
  <c r="Q415" i="5"/>
  <c r="R415" i="5" s="1"/>
  <c r="Q471" i="5"/>
  <c r="R471" i="5" s="1"/>
  <c r="Q526" i="5"/>
  <c r="Q452" i="5"/>
  <c r="R452" i="5" s="1"/>
  <c r="Q510" i="5"/>
  <c r="Q484" i="5"/>
  <c r="S484" i="5" s="1"/>
  <c r="Q546" i="5"/>
  <c r="S546" i="5" s="1"/>
  <c r="Q552" i="5"/>
  <c r="R552" i="5" s="1"/>
  <c r="Q557" i="5"/>
  <c r="S557" i="5" s="1"/>
  <c r="Q516" i="5"/>
  <c r="R516" i="5" s="1"/>
  <c r="Q38" i="5"/>
  <c r="Q154" i="5"/>
  <c r="S154" i="5" s="1"/>
  <c r="Q185" i="5"/>
  <c r="Q242" i="5"/>
  <c r="R242" i="5" s="1"/>
  <c r="Q211" i="5"/>
  <c r="S211" i="5" s="1"/>
  <c r="Q391" i="5"/>
  <c r="S391" i="5" s="1"/>
  <c r="Q338" i="5"/>
  <c r="S338" i="5" s="1"/>
  <c r="Q475" i="5"/>
  <c r="R475" i="5" s="1"/>
  <c r="Q467" i="5"/>
  <c r="S467" i="5" s="1"/>
  <c r="Q497" i="5"/>
  <c r="S497" i="5" s="1"/>
  <c r="Q550" i="5"/>
  <c r="R550" i="5" s="1"/>
  <c r="Q534" i="5"/>
  <c r="S534" i="5" s="1"/>
  <c r="Q24" i="5"/>
  <c r="Q75" i="5"/>
  <c r="R75" i="5" s="1"/>
  <c r="Q119" i="5"/>
  <c r="R119" i="5" s="1"/>
  <c r="Q96" i="5"/>
  <c r="R96" i="5" s="1"/>
  <c r="Q161" i="5"/>
  <c r="S161" i="5" s="1"/>
  <c r="Q235" i="5"/>
  <c r="S235" i="5" s="1"/>
  <c r="Q209" i="5"/>
  <c r="S209" i="5" s="1"/>
  <c r="Q260" i="5"/>
  <c r="S260" i="5" s="1"/>
  <c r="Q358" i="5"/>
  <c r="R358" i="5" s="1"/>
  <c r="Q477" i="5"/>
  <c r="S477" i="5" s="1"/>
  <c r="Q430" i="5"/>
  <c r="S430" i="5" s="1"/>
  <c r="Q114" i="5"/>
  <c r="R114" i="5" s="1"/>
  <c r="Q431" i="5"/>
  <c r="R431" i="5" s="1"/>
  <c r="Q528" i="5"/>
  <c r="R528" i="5" s="1"/>
  <c r="Q412" i="5"/>
  <c r="R412" i="5" s="1"/>
  <c r="Q380" i="5"/>
  <c r="S380" i="5" s="1"/>
  <c r="Q325" i="5"/>
  <c r="R325" i="5" s="1"/>
  <c r="Q175" i="5"/>
  <c r="S175" i="5" s="1"/>
  <c r="Q91" i="5"/>
  <c r="R91" i="5" s="1"/>
  <c r="Q418" i="5"/>
  <c r="R418" i="5" s="1"/>
  <c r="Q141" i="5"/>
  <c r="R141" i="5" s="1"/>
  <c r="Q206" i="5"/>
  <c r="R206" i="5" s="1"/>
  <c r="Q122" i="5"/>
  <c r="Q93" i="5"/>
  <c r="R93" i="5" s="1"/>
  <c r="Q39" i="5"/>
  <c r="S39" i="5" s="1"/>
  <c r="Q370" i="5"/>
  <c r="R370" i="5" s="1"/>
  <c r="Q340" i="5"/>
  <c r="Q43" i="5"/>
  <c r="Q502" i="5"/>
  <c r="S502" i="5" s="1"/>
  <c r="Q166" i="5"/>
  <c r="R166" i="5" s="1"/>
  <c r="Q449" i="5"/>
  <c r="S449" i="5" s="1"/>
  <c r="Q404" i="5"/>
  <c r="S404" i="5" s="1"/>
  <c r="Q184" i="5"/>
  <c r="R184" i="5" s="1"/>
  <c r="Q545" i="5"/>
  <c r="R545" i="5" s="1"/>
  <c r="Q312" i="5"/>
  <c r="R312" i="5" s="1"/>
  <c r="Q84" i="5"/>
  <c r="R84" i="5" s="1"/>
  <c r="Q478" i="5"/>
  <c r="S478" i="5" s="1"/>
  <c r="Q369" i="5"/>
  <c r="S369" i="5" s="1"/>
  <c r="Q382" i="5"/>
  <c r="S382" i="5" s="1"/>
  <c r="Q261" i="5"/>
  <c r="S261" i="5" s="1"/>
  <c r="Q92" i="5"/>
  <c r="R92" i="5" s="1"/>
  <c r="O11" i="5"/>
  <c r="Q49" i="5"/>
  <c r="Q50" i="5"/>
  <c r="R50" i="5" s="1"/>
  <c r="Q63" i="5"/>
  <c r="S63" i="5" s="1"/>
  <c r="Q77" i="5"/>
  <c r="S77" i="5" s="1"/>
  <c r="Q44" i="5"/>
  <c r="S44" i="5" s="1"/>
  <c r="Q137" i="5"/>
  <c r="R137" i="5" s="1"/>
  <c r="Q140" i="5"/>
  <c r="R140" i="5" s="1"/>
  <c r="Q127" i="5"/>
  <c r="R127" i="5" s="1"/>
  <c r="Q174" i="5"/>
  <c r="R174" i="5" s="1"/>
  <c r="Q168" i="5"/>
  <c r="S168" i="5" s="1"/>
  <c r="Q232" i="5"/>
  <c r="S232" i="5" s="1"/>
  <c r="Q221" i="5"/>
  <c r="S221" i="5" s="1"/>
  <c r="Q222" i="5"/>
  <c r="S222" i="5" s="1"/>
  <c r="Q264" i="5"/>
  <c r="S264" i="5" s="1"/>
  <c r="Q331" i="5"/>
  <c r="Q293" i="5"/>
  <c r="R293" i="5" s="1"/>
  <c r="Q220" i="5"/>
  <c r="Q286" i="5"/>
  <c r="S286" i="5" s="1"/>
  <c r="Q348" i="5"/>
  <c r="S348" i="5" s="1"/>
  <c r="Q372" i="5"/>
  <c r="S372" i="5" s="1"/>
  <c r="Q438" i="5"/>
  <c r="Q26" i="5"/>
  <c r="S26" i="5" s="1"/>
  <c r="Q41" i="5"/>
  <c r="S41" i="5" s="1"/>
  <c r="Q61" i="5"/>
  <c r="R61" i="5" s="1"/>
  <c r="Q87" i="5"/>
  <c r="S87" i="5" s="1"/>
  <c r="Q133" i="5"/>
  <c r="S133" i="5" s="1"/>
  <c r="Q149" i="5"/>
  <c r="R149" i="5" s="1"/>
  <c r="Q156" i="5"/>
  <c r="S156" i="5" s="1"/>
  <c r="Q132" i="5"/>
  <c r="R132" i="5" s="1"/>
  <c r="Q238" i="5"/>
  <c r="S238" i="5" s="1"/>
  <c r="Q195" i="5"/>
  <c r="R195" i="5" s="1"/>
  <c r="Q256" i="5"/>
  <c r="R256" i="5" s="1"/>
  <c r="Q212" i="5"/>
  <c r="Q321" i="5"/>
  <c r="R321" i="5" s="1"/>
  <c r="Q280" i="5"/>
  <c r="R280" i="5" s="1"/>
  <c r="Q357" i="5"/>
  <c r="R357" i="5" s="1"/>
  <c r="Q407" i="5"/>
  <c r="S407" i="5" s="1"/>
  <c r="Q314" i="5"/>
  <c r="S314" i="5" s="1"/>
  <c r="Q402" i="5"/>
  <c r="S402" i="5" s="1"/>
  <c r="Q368" i="5"/>
  <c r="R368" i="5" s="1"/>
  <c r="Q318" i="5"/>
  <c r="S318" i="5" s="1"/>
  <c r="Q464" i="5"/>
  <c r="S464" i="5" s="1"/>
  <c r="Q499" i="5"/>
  <c r="S499" i="5" s="1"/>
  <c r="Q547" i="5"/>
  <c r="S547" i="5" s="1"/>
  <c r="Q476" i="5"/>
  <c r="S476" i="5" s="1"/>
  <c r="Q436" i="5"/>
  <c r="R436" i="5" s="1"/>
  <c r="Q463" i="5"/>
  <c r="S463" i="5" s="1"/>
  <c r="Q417" i="5"/>
  <c r="R417" i="5" s="1"/>
  <c r="Q375" i="5"/>
  <c r="S375" i="5" s="1"/>
  <c r="Q310" i="5"/>
  <c r="S310" i="5" s="1"/>
  <c r="Q217" i="5"/>
  <c r="Q162" i="5"/>
  <c r="R162" i="5" s="1"/>
  <c r="Q131" i="5"/>
  <c r="S131" i="5" s="1"/>
  <c r="Q51" i="5"/>
  <c r="R51" i="5" s="1"/>
  <c r="Q531" i="5"/>
  <c r="Q459" i="5"/>
  <c r="S459" i="5" s="1"/>
  <c r="Q555" i="5"/>
  <c r="S555" i="5" s="1"/>
  <c r="Q548" i="5"/>
  <c r="R548" i="5" s="1"/>
  <c r="Q494" i="5"/>
  <c r="R494" i="5" s="1"/>
  <c r="Q514" i="5"/>
  <c r="S514" i="5" s="1"/>
  <c r="Q457" i="5"/>
  <c r="R457" i="5" s="1"/>
  <c r="Q527" i="5"/>
  <c r="S527" i="5" s="1"/>
  <c r="Q473" i="5"/>
  <c r="S473" i="5" s="1"/>
  <c r="Q416" i="5"/>
  <c r="S416" i="5" s="1"/>
  <c r="Q327" i="5"/>
  <c r="R327" i="5" s="1"/>
  <c r="Q349" i="5"/>
  <c r="S349" i="5" s="1"/>
  <c r="Q389" i="5"/>
  <c r="S389" i="5" s="1"/>
  <c r="Q324" i="5"/>
  <c r="S324" i="5" s="1"/>
  <c r="Q167" i="5"/>
  <c r="Q333" i="5"/>
  <c r="S333" i="5" s="1"/>
  <c r="Q237" i="5"/>
  <c r="R237" i="5" s="1"/>
  <c r="Q244" i="5"/>
  <c r="S244" i="5" s="1"/>
  <c r="Q135" i="5"/>
  <c r="R135" i="5" s="1"/>
  <c r="Q490" i="5"/>
  <c r="S490" i="5" s="1"/>
  <c r="Q283" i="5"/>
  <c r="S283" i="5" s="1"/>
  <c r="Q99" i="5"/>
  <c r="R99" i="5" s="1"/>
  <c r="Q506" i="5"/>
  <c r="Q323" i="5"/>
  <c r="R323" i="5" s="1"/>
  <c r="Q31" i="5"/>
  <c r="R31" i="5" s="1"/>
  <c r="Q529" i="5"/>
  <c r="S529" i="5" s="1"/>
  <c r="Q501" i="5"/>
  <c r="R501" i="5" s="1"/>
  <c r="Q439" i="5"/>
  <c r="R439" i="5" s="1"/>
  <c r="Q258" i="5"/>
  <c r="S258" i="5" s="1"/>
  <c r="Q125" i="5"/>
  <c r="R125" i="5" s="1"/>
  <c r="Q34" i="5"/>
  <c r="S34" i="5" s="1"/>
  <c r="Q48" i="5"/>
  <c r="Q68" i="5"/>
  <c r="R68" i="5" s="1"/>
  <c r="Q76" i="5"/>
  <c r="R76" i="5" s="1"/>
  <c r="Q106" i="5"/>
  <c r="R106" i="5" s="1"/>
  <c r="Q153" i="5"/>
  <c r="S153" i="5" s="1"/>
  <c r="Q157" i="5"/>
  <c r="S157" i="5" s="1"/>
  <c r="Q139" i="5"/>
  <c r="S139" i="5" s="1"/>
  <c r="Q145" i="5"/>
  <c r="S145" i="5" s="1"/>
  <c r="Q182" i="5"/>
  <c r="R182" i="5" s="1"/>
  <c r="Q241" i="5"/>
  <c r="S241" i="5" s="1"/>
  <c r="Q233" i="5"/>
  <c r="R233" i="5" s="1"/>
  <c r="Q234" i="5"/>
  <c r="S234" i="5" s="1"/>
  <c r="Q284" i="5"/>
  <c r="Q215" i="5"/>
  <c r="S215" i="5" s="1"/>
  <c r="Q303" i="5"/>
  <c r="R303" i="5" s="1"/>
  <c r="Q248" i="5"/>
  <c r="R248" i="5" s="1"/>
  <c r="Q304" i="5"/>
  <c r="S304" i="5" s="1"/>
  <c r="Q360" i="5"/>
  <c r="R360" i="5" s="1"/>
  <c r="Q385" i="5"/>
  <c r="B43" i="5"/>
  <c r="Q45" i="5"/>
  <c r="S45" i="5" s="1"/>
  <c r="Q27" i="5"/>
  <c r="S27" i="5" s="1"/>
  <c r="Q78" i="5"/>
  <c r="R78" i="5" s="1"/>
  <c r="Q110" i="5"/>
  <c r="R110" i="5" s="1"/>
  <c r="Q151" i="5"/>
  <c r="S151" i="5" s="1"/>
  <c r="Q105" i="5"/>
  <c r="S105" i="5" s="1"/>
  <c r="Q163" i="5"/>
  <c r="S163" i="5" s="1"/>
  <c r="Q178" i="5"/>
  <c r="S178" i="5" s="1"/>
  <c r="Q186" i="5"/>
  <c r="Q214" i="5"/>
  <c r="R214" i="5" s="1"/>
  <c r="Q276" i="5"/>
  <c r="Q255" i="5"/>
  <c r="R255" i="5" s="1"/>
  <c r="Q173" i="5"/>
  <c r="Q297" i="5"/>
  <c r="S297" i="5" s="1"/>
  <c r="Q295" i="5"/>
  <c r="S295" i="5" s="1"/>
  <c r="Q428" i="5"/>
  <c r="R428" i="5" s="1"/>
  <c r="Q353" i="5"/>
  <c r="R353" i="5" s="1"/>
  <c r="Q414" i="5"/>
  <c r="S414" i="5" s="1"/>
  <c r="Q384" i="5"/>
  <c r="Q381" i="5"/>
  <c r="S381" i="5" s="1"/>
  <c r="Q474" i="5"/>
  <c r="S474" i="5" s="1"/>
  <c r="Q544" i="5"/>
  <c r="S544" i="5" s="1"/>
  <c r="Q451" i="5"/>
  <c r="S451" i="5" s="1"/>
  <c r="Q424" i="5"/>
  <c r="Q345" i="5"/>
  <c r="R345" i="5" s="1"/>
  <c r="Q387" i="5"/>
  <c r="S387" i="5" s="1"/>
  <c r="Q379" i="5"/>
  <c r="R379" i="5" s="1"/>
  <c r="Q352" i="5"/>
  <c r="S352" i="5" s="1"/>
  <c r="Q259" i="5"/>
  <c r="S259" i="5" s="1"/>
  <c r="Q225" i="5"/>
  <c r="S225" i="5" s="1"/>
  <c r="Q150" i="5"/>
  <c r="S150" i="5" s="1"/>
  <c r="Q111" i="5"/>
  <c r="R111" i="5" s="1"/>
  <c r="Q40" i="5"/>
  <c r="R40" i="5" s="1"/>
  <c r="Q472" i="5"/>
  <c r="R472" i="5" s="1"/>
  <c r="Q558" i="5"/>
  <c r="R558" i="5" s="1"/>
  <c r="Q532" i="5"/>
  <c r="S532" i="5" s="1"/>
  <c r="Q542" i="5"/>
  <c r="S542" i="5" s="1"/>
  <c r="Q465" i="5"/>
  <c r="R465" i="5" s="1"/>
  <c r="Q493" i="5"/>
  <c r="S493" i="5" s="1"/>
  <c r="Q435" i="5"/>
  <c r="R435" i="5" s="1"/>
  <c r="Q521" i="5"/>
  <c r="Q462" i="5"/>
  <c r="S462" i="5" s="1"/>
  <c r="Q401" i="5"/>
  <c r="S401" i="5" s="1"/>
  <c r="Q413" i="5"/>
  <c r="S413" i="5" s="1"/>
  <c r="Q282" i="5"/>
  <c r="S282" i="5" s="1"/>
  <c r="Q371" i="5"/>
  <c r="R371" i="5" s="1"/>
  <c r="Q294" i="5"/>
  <c r="R294" i="5" s="1"/>
  <c r="Q307" i="5"/>
  <c r="S307" i="5" s="1"/>
  <c r="Q223" i="5"/>
  <c r="R223" i="5" s="1"/>
  <c r="Q339" i="5"/>
  <c r="R339" i="5" s="1"/>
  <c r="Q448" i="5"/>
  <c r="R448" i="5" s="1"/>
  <c r="Q455" i="5"/>
  <c r="S455" i="5" s="1"/>
  <c r="Q298" i="5"/>
  <c r="S298" i="5" s="1"/>
  <c r="Q28" i="5"/>
  <c r="S28" i="5" s="1"/>
  <c r="Q406" i="5"/>
  <c r="S406" i="5" s="1"/>
  <c r="Q250" i="5"/>
  <c r="S250" i="5" s="1"/>
  <c r="Q556" i="5"/>
  <c r="S556" i="5" s="1"/>
  <c r="Q426" i="5"/>
  <c r="S426" i="5" s="1"/>
  <c r="Q390" i="5"/>
  <c r="S390" i="5" s="1"/>
  <c r="Q254" i="5"/>
  <c r="S254" i="5" s="1"/>
  <c r="Q228" i="5"/>
  <c r="R228" i="5" s="1"/>
  <c r="Q82" i="5"/>
  <c r="S82" i="5" s="1"/>
  <c r="Q21" i="5"/>
  <c r="S21" i="5" s="1"/>
  <c r="Q25" i="5"/>
  <c r="S25" i="5" s="1"/>
  <c r="Q62" i="5"/>
  <c r="R62" i="5" s="1"/>
  <c r="Q74" i="5"/>
  <c r="S74" i="5" s="1"/>
  <c r="Q85" i="5"/>
  <c r="S85" i="5" s="1"/>
  <c r="Q108" i="5"/>
  <c r="R108" i="5" s="1"/>
  <c r="Q53" i="5"/>
  <c r="Q102" i="5"/>
  <c r="R102" i="5" s="1"/>
  <c r="Q155" i="5"/>
  <c r="R155" i="5" s="1"/>
  <c r="Q172" i="5"/>
  <c r="S172" i="5" s="1"/>
  <c r="Q208" i="5"/>
  <c r="R208" i="5" s="1"/>
  <c r="Q177" i="5"/>
  <c r="R177" i="5" s="1"/>
  <c r="Q171" i="5"/>
  <c r="R171" i="5" s="1"/>
  <c r="Q101" i="5"/>
  <c r="R101" i="5" s="1"/>
  <c r="Q299" i="5"/>
  <c r="Q253" i="5"/>
  <c r="R253" i="5" s="1"/>
  <c r="Q320" i="5"/>
  <c r="S320" i="5" s="1"/>
  <c r="Q267" i="5"/>
  <c r="R267" i="5" s="1"/>
  <c r="Q317" i="5"/>
  <c r="R317" i="5" s="1"/>
  <c r="Q289" i="5"/>
  <c r="S289" i="5" s="1"/>
  <c r="Q396" i="5"/>
  <c r="S396" i="5" s="1"/>
  <c r="Q23" i="5"/>
  <c r="R23" i="5" s="1"/>
  <c r="Q67" i="5"/>
  <c r="R67" i="5" s="1"/>
  <c r="Q71" i="5"/>
  <c r="R71" i="5" s="1"/>
  <c r="Q103" i="5"/>
  <c r="S103" i="5" s="1"/>
  <c r="Q98" i="5"/>
  <c r="R98" i="5" s="1"/>
  <c r="Q124" i="5"/>
  <c r="S124" i="5" s="1"/>
  <c r="Q130" i="5"/>
  <c r="S130" i="5" s="1"/>
  <c r="Q181" i="5"/>
  <c r="S181" i="5" s="1"/>
  <c r="Q210" i="5"/>
  <c r="R210" i="5" s="1"/>
  <c r="Q231" i="5"/>
  <c r="R231" i="5" s="1"/>
  <c r="Q302" i="5"/>
  <c r="R302" i="5" s="1"/>
  <c r="Q285" i="5"/>
  <c r="R285" i="5" s="1"/>
  <c r="Q243" i="5"/>
  <c r="S243" i="5" s="1"/>
  <c r="Q319" i="5"/>
  <c r="R319" i="5" s="1"/>
  <c r="Q356" i="5"/>
  <c r="S356" i="5" s="1"/>
  <c r="Q441" i="5"/>
  <c r="R441" i="5" s="1"/>
  <c r="Q365" i="5"/>
  <c r="S365" i="5" s="1"/>
  <c r="Q322" i="5"/>
  <c r="S322" i="5" s="1"/>
  <c r="Q398" i="5"/>
  <c r="R398" i="5" s="1"/>
  <c r="Q433" i="5"/>
  <c r="S433" i="5" s="1"/>
  <c r="Q485" i="5"/>
  <c r="R485" i="5" s="1"/>
  <c r="Q560" i="5"/>
  <c r="S560" i="5" s="1"/>
  <c r="Q543" i="5"/>
  <c r="R543" i="5" s="1"/>
  <c r="Q495" i="5"/>
  <c r="S495" i="5" s="1"/>
  <c r="Q523" i="5"/>
  <c r="S523" i="5" s="1"/>
  <c r="Q405" i="5"/>
  <c r="R405" i="5" s="1"/>
  <c r="Q308" i="5"/>
  <c r="S308" i="5" s="1"/>
  <c r="Q309" i="5"/>
  <c r="S309" i="5" s="1"/>
  <c r="Q313" i="5"/>
  <c r="S313" i="5" s="1"/>
  <c r="Q236" i="5"/>
  <c r="R236" i="5" s="1"/>
  <c r="Q112" i="5"/>
  <c r="R112" i="5" s="1"/>
  <c r="Q79" i="5"/>
  <c r="S79" i="5" s="1"/>
  <c r="Q10" i="5"/>
  <c r="R10" i="5" s="1"/>
  <c r="Q427" i="5"/>
  <c r="R427" i="5" s="1"/>
  <c r="Q507" i="5"/>
  <c r="S507" i="5" s="1"/>
  <c r="Q491" i="5"/>
  <c r="R491" i="5" s="1"/>
  <c r="Q535" i="5"/>
  <c r="R535" i="5" s="1"/>
  <c r="Q444" i="5"/>
  <c r="R444" i="5" s="1"/>
  <c r="Q488" i="5"/>
  <c r="R488" i="5" s="1"/>
  <c r="Q420" i="5"/>
  <c r="R420" i="5" s="1"/>
  <c r="Q511" i="5"/>
  <c r="R511" i="5" s="1"/>
  <c r="Q453" i="5"/>
  <c r="R453" i="5" s="1"/>
  <c r="Q377" i="5"/>
  <c r="Q392" i="5"/>
  <c r="R392" i="5" s="1"/>
  <c r="Q442" i="5"/>
  <c r="R442" i="5" s="1"/>
  <c r="Q273" i="5"/>
  <c r="R273" i="5" s="1"/>
  <c r="Q275" i="5"/>
  <c r="R275" i="5" s="1"/>
  <c r="Q290" i="5"/>
  <c r="S290" i="5" s="1"/>
  <c r="Q269" i="5"/>
  <c r="S269" i="5" s="1"/>
  <c r="Q479" i="5"/>
  <c r="R479" i="5" s="1"/>
  <c r="Q361" i="5"/>
  <c r="Q524" i="5"/>
  <c r="R524" i="5" s="1"/>
  <c r="Q46" i="5"/>
  <c r="S46" i="5" s="1"/>
  <c r="Q199" i="5"/>
  <c r="R199" i="5" s="1"/>
  <c r="Q332" i="5"/>
  <c r="R332" i="5" s="1"/>
  <c r="Q425" i="5"/>
  <c r="S425" i="5" s="1"/>
  <c r="Q538" i="5"/>
  <c r="R538" i="5" s="1"/>
  <c r="Q326" i="5"/>
  <c r="S326" i="5" s="1"/>
  <c r="Q359" i="5"/>
  <c r="S359" i="5" s="1"/>
  <c r="Q559" i="5"/>
  <c r="R559" i="5" s="1"/>
  <c r="Q505" i="5"/>
  <c r="S505" i="5" s="1"/>
  <c r="Q159" i="5"/>
  <c r="S159" i="5" s="1"/>
  <c r="Q291" i="5"/>
  <c r="S291" i="5" s="1"/>
  <c r="Q249" i="5"/>
  <c r="R249" i="5" s="1"/>
  <c r="Q517" i="5"/>
  <c r="R517" i="5" s="1"/>
  <c r="Q537" i="5"/>
  <c r="R537" i="5" s="1"/>
  <c r="Q56" i="5"/>
  <c r="S56" i="5" s="1"/>
  <c r="Q376" i="5"/>
  <c r="S376" i="5" s="1"/>
  <c r="Q551" i="5"/>
  <c r="R551" i="5" s="1"/>
  <c r="Q513" i="5"/>
  <c r="S513" i="5" s="1"/>
  <c r="Q539" i="5"/>
  <c r="R539" i="5" s="1"/>
  <c r="Q344" i="5"/>
  <c r="R344" i="5" s="1"/>
  <c r="Q419" i="5"/>
  <c r="R419" i="5" s="1"/>
  <c r="Q191" i="5"/>
  <c r="R191" i="5" s="1"/>
  <c r="Q158" i="5"/>
  <c r="R158" i="5" s="1"/>
  <c r="Q134" i="5"/>
  <c r="S134" i="5" s="1"/>
  <c r="Q55" i="5"/>
  <c r="R55" i="5" s="1"/>
  <c r="Q480" i="5"/>
  <c r="S480" i="5" s="1"/>
  <c r="Q218" i="5"/>
  <c r="R218" i="5" s="1"/>
  <c r="Q164" i="5"/>
  <c r="S164" i="5" s="1"/>
  <c r="Q224" i="5"/>
  <c r="S224" i="5" s="1"/>
  <c r="Q468" i="5"/>
  <c r="S468" i="5" s="1"/>
  <c r="Q88" i="5"/>
  <c r="R88" i="5" s="1"/>
  <c r="Q197" i="5"/>
  <c r="S197" i="5" s="1"/>
  <c r="Q409" i="5"/>
  <c r="S409" i="5" s="1"/>
  <c r="Q20" i="5"/>
  <c r="R20" i="5" s="1"/>
  <c r="Q301" i="5"/>
  <c r="S301" i="5" s="1"/>
  <c r="Q364" i="5"/>
  <c r="S364" i="5" s="1"/>
  <c r="B94" i="2"/>
  <c r="B102" i="2" s="1"/>
  <c r="B103" i="2" s="1"/>
  <c r="B189" i="2"/>
  <c r="B252" i="2" s="1"/>
  <c r="S508" i="5"/>
  <c r="Y59" i="5"/>
  <c r="X7" i="5"/>
  <c r="Y7" i="5"/>
  <c r="Z134" i="4"/>
  <c r="Z71" i="4"/>
  <c r="Z125" i="4"/>
  <c r="Z103" i="4"/>
  <c r="Z93" i="4"/>
  <c r="Z51" i="4"/>
  <c r="Z119" i="4"/>
  <c r="Z115" i="4"/>
  <c r="Z80" i="4"/>
  <c r="Z63" i="4"/>
  <c r="Z28" i="4"/>
  <c r="Z121" i="4"/>
  <c r="Z12" i="4"/>
  <c r="Z27" i="4"/>
  <c r="Z43" i="4"/>
  <c r="Z151" i="4"/>
  <c r="Z127" i="4"/>
  <c r="Z14" i="4"/>
  <c r="Z144" i="4"/>
  <c r="Z11" i="4"/>
  <c r="Z23" i="4"/>
  <c r="Z70" i="4"/>
  <c r="Z36" i="4"/>
  <c r="Z53" i="4"/>
  <c r="Z35" i="4"/>
  <c r="Z22" i="4"/>
  <c r="Z38" i="4"/>
  <c r="Z78" i="4"/>
  <c r="Z148" i="4"/>
  <c r="Z44" i="4"/>
  <c r="Z141" i="4"/>
  <c r="Z48" i="4"/>
  <c r="Z42" i="4"/>
  <c r="Z101" i="4"/>
  <c r="Z73" i="4"/>
  <c r="Z138" i="4"/>
  <c r="Z86" i="4"/>
  <c r="Z77" i="4"/>
  <c r="X434" i="5"/>
  <c r="X223" i="5"/>
  <c r="X64" i="5"/>
  <c r="X551" i="5"/>
  <c r="Y486" i="5"/>
  <c r="X525" i="5"/>
  <c r="Y154" i="5"/>
  <c r="X515" i="5"/>
  <c r="Y206" i="5"/>
  <c r="Y514" i="5"/>
  <c r="Y266" i="5"/>
  <c r="Y29" i="5"/>
  <c r="Y87" i="5"/>
  <c r="Y252" i="5"/>
  <c r="Y415" i="5"/>
  <c r="X427" i="5"/>
  <c r="Y373" i="5"/>
  <c r="Y216" i="5"/>
  <c r="Y281" i="5"/>
  <c r="X475" i="5"/>
  <c r="X448" i="5"/>
  <c r="Y380" i="5"/>
  <c r="Y396" i="5"/>
  <c r="X560" i="5"/>
  <c r="X557" i="5"/>
  <c r="Y555" i="5"/>
  <c r="Y45" i="5"/>
  <c r="X58" i="5"/>
  <c r="X310" i="5"/>
  <c r="Y337" i="5"/>
  <c r="Y200" i="5"/>
  <c r="X455" i="5"/>
  <c r="X552" i="5"/>
  <c r="Y235" i="5"/>
  <c r="X548" i="5"/>
  <c r="X152" i="5"/>
  <c r="X44" i="5"/>
  <c r="X202" i="5"/>
  <c r="Y410" i="5"/>
  <c r="X540" i="5"/>
  <c r="X125" i="5"/>
  <c r="X160" i="5"/>
  <c r="Y255" i="5"/>
  <c r="Y307" i="5"/>
  <c r="Y318" i="5"/>
  <c r="X528" i="5"/>
  <c r="X547" i="5"/>
  <c r="Y143" i="5"/>
  <c r="X315" i="5"/>
  <c r="Y268" i="5"/>
  <c r="Y343" i="5"/>
  <c r="Y376" i="5"/>
  <c r="Y353" i="5"/>
  <c r="Y365" i="5"/>
  <c r="Y72" i="5"/>
  <c r="Y134" i="5"/>
  <c r="X329" i="5"/>
  <c r="X335" i="5"/>
  <c r="Y186" i="5"/>
  <c r="X546" i="5"/>
  <c r="X27" i="5"/>
  <c r="X508" i="5"/>
  <c r="X472" i="5"/>
  <c r="Y379" i="5"/>
  <c r="Y239" i="5"/>
  <c r="Y467" i="5"/>
  <c r="Y253" i="5"/>
  <c r="Y444" i="5"/>
  <c r="X541" i="5"/>
  <c r="X488" i="5"/>
  <c r="Y440" i="5"/>
  <c r="Y531" i="5"/>
  <c r="X320" i="5"/>
  <c r="Y107" i="5"/>
  <c r="X498" i="5"/>
  <c r="X484" i="5"/>
  <c r="X115" i="5"/>
  <c r="X301" i="5"/>
  <c r="Y190" i="5"/>
  <c r="X214" i="5"/>
  <c r="X375" i="5"/>
  <c r="X559" i="5"/>
  <c r="X398" i="5"/>
  <c r="Y339" i="5"/>
  <c r="X536" i="5"/>
  <c r="Y524" i="5"/>
  <c r="Y554" i="5"/>
  <c r="Y99" i="5"/>
  <c r="Y332" i="5"/>
  <c r="Y446" i="5"/>
  <c r="X132" i="5"/>
  <c r="X243" i="5"/>
  <c r="Y346" i="5"/>
  <c r="Y236" i="5"/>
  <c r="X462" i="5"/>
  <c r="Y181" i="5"/>
  <c r="X378" i="5"/>
  <c r="Y402" i="5"/>
  <c r="X102" i="5"/>
  <c r="Y158" i="5"/>
  <c r="Y97" i="5"/>
  <c r="X194" i="5"/>
  <c r="X231" i="5"/>
  <c r="Y251" i="5"/>
  <c r="X259" i="5"/>
  <c r="Y361" i="5"/>
  <c r="Y411" i="5"/>
  <c r="X438" i="5"/>
  <c r="Y523" i="5"/>
  <c r="Y500" i="5"/>
  <c r="Y530" i="5"/>
  <c r="Y70" i="5"/>
  <c r="X305" i="5"/>
  <c r="Y407" i="5"/>
  <c r="Y430" i="5"/>
  <c r="X491" i="5"/>
  <c r="X453" i="5"/>
  <c r="Y544" i="5"/>
  <c r="X533" i="5"/>
  <c r="X128" i="5"/>
  <c r="X248" i="5"/>
  <c r="X238" i="5"/>
  <c r="Y308" i="5"/>
  <c r="X328" i="5"/>
  <c r="Y357" i="5"/>
  <c r="Y217" i="5"/>
  <c r="Y456" i="5"/>
  <c r="Y492" i="5"/>
  <c r="Y421" i="5"/>
  <c r="Y503" i="5"/>
  <c r="X451" i="5"/>
  <c r="X537" i="5"/>
  <c r="X273" i="5"/>
  <c r="X404" i="5"/>
  <c r="Y558" i="5"/>
  <c r="Y385" i="5"/>
  <c r="Y126" i="5"/>
  <c r="Y277" i="5"/>
  <c r="Y284" i="5"/>
  <c r="Y485" i="5"/>
  <c r="X35" i="5"/>
  <c r="X177" i="5"/>
  <c r="X351" i="5"/>
  <c r="X285" i="5"/>
  <c r="X535" i="5"/>
  <c r="Y502" i="5"/>
  <c r="X534" i="5"/>
  <c r="X136" i="5"/>
  <c r="Y369" i="5"/>
  <c r="Y545" i="5"/>
  <c r="X474" i="5"/>
  <c r="Y41" i="5"/>
  <c r="Y196" i="5"/>
  <c r="X370" i="5"/>
  <c r="Y371" i="5"/>
  <c r="Y487" i="5"/>
  <c r="X441" i="5"/>
  <c r="X468" i="5"/>
  <c r="X549" i="5"/>
  <c r="Y386" i="5"/>
  <c r="X481" i="5"/>
  <c r="X123" i="5"/>
  <c r="Y429" i="5"/>
  <c r="X275" i="5"/>
  <c r="X499" i="5"/>
  <c r="X43" i="5"/>
  <c r="X40" i="5"/>
  <c r="X86" i="5"/>
  <c r="X137" i="5"/>
  <c r="Y246" i="5"/>
  <c r="Y211" i="5"/>
  <c r="Y213" i="5"/>
  <c r="Y345" i="5"/>
  <c r="Y395" i="5"/>
  <c r="X364" i="5"/>
  <c r="Y490" i="5"/>
  <c r="X447" i="5"/>
  <c r="X296" i="5"/>
  <c r="X387" i="5"/>
  <c r="X470" i="5"/>
  <c r="X509" i="5"/>
  <c r="X414" i="5"/>
  <c r="Y464" i="5"/>
  <c r="Y425" i="5"/>
  <c r="X96" i="5"/>
  <c r="X227" i="5"/>
  <c r="Y265" i="5"/>
  <c r="X292" i="5"/>
  <c r="Y450" i="5"/>
  <c r="X471" i="5"/>
  <c r="X261" i="5"/>
  <c r="Y418" i="5"/>
  <c r="Y518" i="5"/>
  <c r="X428" i="5"/>
  <c r="Y389" i="5"/>
  <c r="Y454" i="5"/>
  <c r="Y556" i="5"/>
  <c r="X360" i="5"/>
  <c r="X479" i="5"/>
  <c r="Y391" i="5"/>
  <c r="X495" i="5"/>
  <c r="Y76" i="5"/>
  <c r="X31" i="5"/>
  <c r="Y119" i="5"/>
  <c r="Y229" i="5"/>
  <c r="Y354" i="5"/>
  <c r="Y460" i="5"/>
  <c r="Y439" i="5"/>
  <c r="X195" i="5"/>
  <c r="X422" i="5"/>
  <c r="X226" i="5"/>
  <c r="X313" i="5"/>
  <c r="Y416" i="5"/>
  <c r="X420" i="5"/>
  <c r="Y423" i="5"/>
  <c r="Y527" i="5"/>
  <c r="X538" i="5"/>
  <c r="X19" i="5"/>
  <c r="X349" i="5"/>
  <c r="X449" i="5"/>
  <c r="Y436" i="5"/>
  <c r="Y493" i="5"/>
  <c r="Y452" i="5"/>
  <c r="X103" i="5"/>
  <c r="X496" i="5"/>
  <c r="Y417" i="5"/>
  <c r="X507" i="5"/>
  <c r="Y176" i="5"/>
  <c r="Y169" i="5"/>
  <c r="Y180" i="5"/>
  <c r="Y366" i="5"/>
  <c r="Y469" i="5"/>
  <c r="Y480" i="5"/>
  <c r="Y150" i="5"/>
  <c r="X207" i="5"/>
  <c r="X340" i="5"/>
  <c r="Y394" i="5"/>
  <c r="X553" i="5"/>
  <c r="Y397" i="5"/>
  <c r="X465" i="5"/>
  <c r="Y443" i="5"/>
  <c r="Y513" i="5"/>
  <c r="X532" i="5"/>
  <c r="Y147" i="5"/>
  <c r="Y267" i="5"/>
  <c r="Y506" i="5"/>
  <c r="X431" i="5"/>
  <c r="X435" i="5"/>
  <c r="X85" i="5"/>
  <c r="Y297" i="5"/>
  <c r="X69" i="5"/>
  <c r="X184" i="5"/>
  <c r="Y288" i="5"/>
  <c r="X390" i="5"/>
  <c r="Y466" i="5"/>
  <c r="Y388" i="5"/>
  <c r="X23" i="5"/>
  <c r="Y218" i="5"/>
  <c r="Y287" i="5"/>
  <c r="X289" i="5"/>
  <c r="Y298" i="5"/>
  <c r="X504" i="5"/>
  <c r="Y437" i="5"/>
  <c r="Y458" i="5"/>
  <c r="X458" i="5"/>
  <c r="Y476" i="5"/>
  <c r="X476" i="5"/>
  <c r="Y300" i="5"/>
  <c r="X300" i="5"/>
  <c r="X463" i="5"/>
  <c r="Y463" i="5"/>
  <c r="Y110" i="5"/>
  <c r="X110" i="5"/>
  <c r="X34" i="5"/>
  <c r="X401" i="5"/>
  <c r="Y401" i="5"/>
  <c r="X73" i="5"/>
  <c r="Y66" i="5"/>
  <c r="Y148" i="5"/>
  <c r="Y209" i="5"/>
  <c r="Y323" i="5"/>
  <c r="Y381" i="5"/>
  <c r="X512" i="5"/>
  <c r="X400" i="5"/>
  <c r="X516" i="5"/>
  <c r="X324" i="5"/>
  <c r="X49" i="5"/>
  <c r="Y92" i="5"/>
  <c r="X164" i="5"/>
  <c r="Y279" i="5"/>
  <c r="X333" i="5"/>
  <c r="Y412" i="5"/>
  <c r="Y459" i="5"/>
  <c r="Y526" i="5"/>
  <c r="X482" i="5"/>
  <c r="X355" i="5"/>
  <c r="Y494" i="5"/>
  <c r="X442" i="5"/>
  <c r="X543" i="5"/>
  <c r="Y543" i="5"/>
  <c r="X290" i="5"/>
  <c r="Y290" i="5"/>
  <c r="Y426" i="5"/>
  <c r="X426" i="5"/>
  <c r="X356" i="5"/>
  <c r="Y356" i="5"/>
  <c r="Y240" i="5"/>
  <c r="X240" i="5"/>
  <c r="Y517" i="5"/>
  <c r="X517" i="5"/>
  <c r="Y473" i="5"/>
  <c r="Y403" i="5"/>
  <c r="X403" i="5"/>
  <c r="Y139" i="5"/>
  <c r="X139" i="5"/>
  <c r="X519" i="5"/>
  <c r="Y519" i="5"/>
  <c r="Y529" i="5"/>
  <c r="X529" i="5"/>
  <c r="Y406" i="5"/>
  <c r="X406" i="5"/>
  <c r="Y319" i="5"/>
  <c r="X319" i="5"/>
  <c r="Y167" i="5"/>
  <c r="X167" i="5"/>
  <c r="Y522" i="5"/>
  <c r="X522" i="5"/>
  <c r="Y511" i="5"/>
  <c r="X511" i="5"/>
  <c r="X510" i="5"/>
  <c r="Y510" i="5"/>
  <c r="X409" i="5"/>
  <c r="Y409" i="5"/>
  <c r="X10" i="5"/>
  <c r="Y10" i="5"/>
  <c r="X283" i="5"/>
  <c r="Y405" i="5"/>
  <c r="Y520" i="5"/>
  <c r="X94" i="5"/>
  <c r="X203" i="5"/>
  <c r="X309" i="5"/>
  <c r="X501" i="5"/>
  <c r="Y201" i="5"/>
  <c r="X201" i="5"/>
  <c r="X149" i="5"/>
  <c r="Y149" i="5"/>
  <c r="Y489" i="5"/>
  <c r="X457" i="5"/>
  <c r="X325" i="5"/>
  <c r="Y269" i="5"/>
  <c r="Y461" i="5"/>
  <c r="Y539" i="5"/>
  <c r="Y521" i="5"/>
  <c r="Y22" i="5"/>
  <c r="Y189" i="5"/>
  <c r="X341" i="5"/>
  <c r="Y433" i="5"/>
  <c r="X372" i="5"/>
  <c r="Y293" i="5"/>
  <c r="X505" i="5"/>
  <c r="X542" i="5"/>
  <c r="X257" i="5"/>
  <c r="Y257" i="5"/>
  <c r="X80" i="5"/>
  <c r="Y80" i="5"/>
  <c r="Y322" i="5"/>
  <c r="X322" i="5"/>
  <c r="Y57" i="5"/>
  <c r="X57" i="5"/>
  <c r="Y230" i="5"/>
  <c r="X311" i="5"/>
  <c r="Y98" i="5"/>
  <c r="Y233" i="5"/>
  <c r="Y175" i="5"/>
  <c r="X263" i="5"/>
  <c r="X271" i="5"/>
  <c r="X210" i="5"/>
  <c r="X8" i="5"/>
  <c r="Y8" i="5"/>
  <c r="X306" i="5"/>
  <c r="Y347" i="5"/>
  <c r="X21" i="5"/>
  <c r="X256" i="5"/>
  <c r="X445" i="5"/>
  <c r="X363" i="5"/>
  <c r="Y383" i="5"/>
  <c r="X550" i="5"/>
  <c r="Y477" i="5"/>
  <c r="W9" i="5"/>
  <c r="T9" i="5"/>
  <c r="X74" i="5"/>
  <c r="Y116" i="5"/>
  <c r="Y172" i="5"/>
  <c r="X225" i="5"/>
  <c r="X260" i="5"/>
  <c r="X302" i="5"/>
  <c r="X377" i="5"/>
  <c r="Y51" i="5"/>
  <c r="Y65" i="5"/>
  <c r="Y171" i="5"/>
  <c r="X367" i="5"/>
  <c r="X393" i="5"/>
  <c r="X497" i="5"/>
  <c r="X478" i="5"/>
  <c r="X483" i="5"/>
  <c r="Y424" i="5"/>
  <c r="X295" i="5"/>
  <c r="Y384" i="5"/>
  <c r="X104" i="5"/>
  <c r="Y26" i="5"/>
  <c r="Y142" i="5"/>
  <c r="Y314" i="5"/>
  <c r="X122" i="5"/>
  <c r="X166" i="5"/>
  <c r="X108" i="5"/>
  <c r="Y28" i="5"/>
  <c r="X133" i="5"/>
  <c r="X312" i="5"/>
  <c r="Y299" i="5"/>
  <c r="X135" i="5"/>
  <c r="X151" i="5"/>
  <c r="Y245" i="5"/>
  <c r="Y264" i="5"/>
  <c r="X161" i="5"/>
  <c r="Y374" i="5"/>
  <c r="X222" i="5"/>
  <c r="X348" i="5"/>
  <c r="X304" i="5"/>
  <c r="Y37" i="5"/>
  <c r="Y68" i="5"/>
  <c r="Y82" i="5"/>
  <c r="Y205" i="5"/>
  <c r="X368" i="5"/>
  <c r="Y197" i="5"/>
  <c r="X25" i="5"/>
  <c r="Y55" i="5"/>
  <c r="X124" i="5"/>
  <c r="X156" i="5"/>
  <c r="X254" i="5"/>
  <c r="X291" i="5"/>
  <c r="Y131" i="5"/>
  <c r="X145" i="5"/>
  <c r="Y145" i="5"/>
  <c r="Y109" i="5"/>
  <c r="X109" i="5"/>
  <c r="X334" i="5"/>
  <c r="Y334" i="5"/>
  <c r="Y219" i="5"/>
  <c r="X219" i="5"/>
  <c r="X163" i="5"/>
  <c r="Y163" i="5"/>
  <c r="X146" i="5"/>
  <c r="X101" i="5"/>
  <c r="Y274" i="5"/>
  <c r="Y185" i="5"/>
  <c r="Y399" i="5"/>
  <c r="X60" i="5"/>
  <c r="X140" i="5"/>
  <c r="Y61" i="5"/>
  <c r="X316" i="5"/>
  <c r="Y392" i="5"/>
  <c r="X392" i="5"/>
  <c r="Y270" i="5"/>
  <c r="X270" i="5"/>
  <c r="Y262" i="5"/>
  <c r="X262" i="5"/>
  <c r="Y204" i="5"/>
  <c r="X204" i="5"/>
  <c r="Y174" i="5"/>
  <c r="X174" i="5"/>
  <c r="X144" i="5"/>
  <c r="Y144" i="5"/>
  <c r="X138" i="5"/>
  <c r="Y138" i="5"/>
  <c r="X56" i="5"/>
  <c r="Y56" i="5"/>
  <c r="Y338" i="5"/>
  <c r="X338" i="5"/>
  <c r="Y62" i="5"/>
  <c r="X62" i="5"/>
  <c r="X71" i="5"/>
  <c r="X130" i="5"/>
  <c r="Y130" i="5"/>
  <c r="Y71" i="5"/>
  <c r="Y84" i="5"/>
  <c r="X272" i="5"/>
  <c r="Y330" i="5"/>
  <c r="X46" i="5"/>
  <c r="Y90" i="5"/>
  <c r="X170" i="5"/>
  <c r="X212" i="5"/>
  <c r="X165" i="5"/>
  <c r="X342" i="5"/>
  <c r="Y342" i="5"/>
  <c r="X250" i="5"/>
  <c r="Y250" i="5"/>
  <c r="Y192" i="5"/>
  <c r="X192" i="5"/>
  <c r="Y228" i="5"/>
  <c r="X228" i="5"/>
  <c r="X173" i="5"/>
  <c r="Y173" i="5"/>
  <c r="Y153" i="5"/>
  <c r="X153" i="5"/>
  <c r="Y78" i="5"/>
  <c r="X78" i="5"/>
  <c r="Y413" i="5"/>
  <c r="X413" i="5"/>
  <c r="X336" i="5"/>
  <c r="Y336" i="5"/>
  <c r="X232" i="5"/>
  <c r="Y215" i="5"/>
  <c r="X215" i="5"/>
  <c r="X188" i="5"/>
  <c r="Y188" i="5"/>
  <c r="X155" i="5"/>
  <c r="Y155" i="5"/>
  <c r="X159" i="5"/>
  <c r="Y159" i="5"/>
  <c r="Y88" i="5"/>
  <c r="X88" i="5"/>
  <c r="Y52" i="5"/>
  <c r="X52" i="5"/>
  <c r="X20" i="5"/>
  <c r="Y20" i="5"/>
  <c r="Y39" i="5"/>
  <c r="Y95" i="5"/>
  <c r="X95" i="5"/>
  <c r="X179" i="5"/>
  <c r="Y179" i="5"/>
  <c r="X32" i="5"/>
  <c r="X117" i="5"/>
  <c r="Y237" i="5"/>
  <c r="Y232" i="5"/>
  <c r="Y221" i="5"/>
  <c r="Y258" i="5"/>
  <c r="X350" i="5"/>
  <c r="X36" i="5"/>
  <c r="Y157" i="5"/>
  <c r="X408" i="5"/>
  <c r="Y331" i="5"/>
  <c r="X331" i="5"/>
  <c r="Y278" i="5"/>
  <c r="X278" i="5"/>
  <c r="Y208" i="5"/>
  <c r="X208" i="5"/>
  <c r="X182" i="5"/>
  <c r="Y182" i="5"/>
  <c r="Y111" i="5"/>
  <c r="X111" i="5"/>
  <c r="Y89" i="5"/>
  <c r="X89" i="5"/>
  <c r="X67" i="5"/>
  <c r="Y67" i="5"/>
  <c r="Y282" i="5"/>
  <c r="X282" i="5"/>
  <c r="X286" i="5"/>
  <c r="Y286" i="5"/>
  <c r="X178" i="5"/>
  <c r="Y79" i="5"/>
  <c r="X79" i="5"/>
  <c r="X118" i="5"/>
  <c r="X241" i="5"/>
  <c r="Y241" i="5"/>
  <c r="Y75" i="5"/>
  <c r="Y93" i="5"/>
  <c r="Y352" i="5"/>
  <c r="X39" i="5"/>
  <c r="X24" i="5"/>
  <c r="X280" i="5"/>
  <c r="Y321" i="5"/>
  <c r="X327" i="5"/>
  <c r="Y193" i="5"/>
  <c r="X193" i="5"/>
  <c r="Y198" i="5"/>
  <c r="X198" i="5"/>
  <c r="X83" i="5"/>
  <c r="Y83" i="5"/>
  <c r="Y38" i="5"/>
  <c r="X38" i="5"/>
  <c r="Y46" i="5"/>
  <c r="Y81" i="5"/>
  <c r="Y326" i="5"/>
  <c r="X303" i="5"/>
  <c r="Y162" i="5"/>
  <c r="Y47" i="5"/>
  <c r="X317" i="5"/>
  <c r="Y48" i="5"/>
  <c r="Y112" i="5"/>
  <c r="Y53" i="5"/>
  <c r="X191" i="5"/>
  <c r="Y127" i="5"/>
  <c r="Y359" i="5"/>
  <c r="Y30" i="5"/>
  <c r="Y77" i="5"/>
  <c r="X382" i="5"/>
  <c r="X91" i="5"/>
  <c r="X112" i="5"/>
  <c r="X114" i="5"/>
  <c r="Y187" i="5"/>
  <c r="Y234" i="5"/>
  <c r="X362" i="5"/>
  <c r="Y362" i="5"/>
  <c r="Y358" i="5"/>
  <c r="X276" i="5"/>
  <c r="Y276" i="5"/>
  <c r="X242" i="5"/>
  <c r="Y242" i="5"/>
  <c r="Y244" i="5"/>
  <c r="Y183" i="5"/>
  <c r="X183" i="5"/>
  <c r="X100" i="5"/>
  <c r="Y100" i="5"/>
  <c r="X42" i="5"/>
  <c r="Y42" i="5"/>
  <c r="X50" i="5"/>
  <c r="Y168" i="5"/>
  <c r="Y33" i="5"/>
  <c r="Y249" i="5"/>
  <c r="Y344" i="5"/>
  <c r="X344" i="5"/>
  <c r="X294" i="5"/>
  <c r="Y294" i="5"/>
  <c r="X199" i="5"/>
  <c r="Y199" i="5"/>
  <c r="Y113" i="5"/>
  <c r="X113" i="5"/>
  <c r="X54" i="5"/>
  <c r="Y54" i="5"/>
  <c r="Y106" i="5"/>
  <c r="X168" i="5"/>
  <c r="X120" i="5"/>
  <c r="Y105" i="5"/>
  <c r="Y121" i="5"/>
  <c r="X247" i="5"/>
  <c r="X224" i="5"/>
  <c r="X129" i="5"/>
  <c r="X432" i="5"/>
  <c r="Y141" i="5"/>
  <c r="Y63" i="5"/>
  <c r="Y220" i="5"/>
  <c r="Y419" i="5"/>
  <c r="Z8" i="4" l="1"/>
  <c r="AA8" i="4" s="1"/>
  <c r="AB8" i="4" s="1"/>
  <c r="AH8" i="4" s="1"/>
  <c r="W8" i="4"/>
  <c r="X116" i="4"/>
  <c r="X154" i="4"/>
  <c r="X113" i="4"/>
  <c r="X130" i="4"/>
  <c r="X97" i="4"/>
  <c r="X102" i="4"/>
  <c r="X110" i="4"/>
  <c r="X54" i="4"/>
  <c r="X81" i="4"/>
  <c r="X69" i="4"/>
  <c r="X62" i="4"/>
  <c r="X52" i="4"/>
  <c r="X112" i="4"/>
  <c r="X152" i="4"/>
  <c r="X91" i="4"/>
  <c r="X126" i="4"/>
  <c r="X145" i="4"/>
  <c r="X150" i="4"/>
  <c r="X64" i="4"/>
  <c r="X146" i="4"/>
  <c r="X67" i="4"/>
  <c r="X142" i="4"/>
  <c r="X123" i="4"/>
  <c r="X111" i="4"/>
  <c r="X137" i="4"/>
  <c r="X106" i="4"/>
  <c r="X65" i="4"/>
  <c r="X90" i="4"/>
  <c r="X104" i="4"/>
  <c r="X79" i="4"/>
  <c r="BN20" i="4"/>
  <c r="AI20" i="4"/>
  <c r="AI134" i="4"/>
  <c r="AI96" i="4"/>
  <c r="BN72" i="4"/>
  <c r="AI72" i="4"/>
  <c r="BN29" i="4"/>
  <c r="AI29" i="4"/>
  <c r="AI135" i="4"/>
  <c r="BN43" i="4"/>
  <c r="AI43" i="4"/>
  <c r="BN33" i="4"/>
  <c r="AI33" i="4"/>
  <c r="BN38" i="4"/>
  <c r="AI38" i="4"/>
  <c r="AI153" i="4"/>
  <c r="BN45" i="4"/>
  <c r="AI45" i="4"/>
  <c r="AI119" i="4"/>
  <c r="BN70" i="4"/>
  <c r="AI70" i="4"/>
  <c r="AI144" i="4"/>
  <c r="AI87" i="4"/>
  <c r="AI83" i="4"/>
  <c r="BN22" i="4"/>
  <c r="AI22" i="4"/>
  <c r="AI101" i="4"/>
  <c r="BN28" i="4"/>
  <c r="AI28" i="4"/>
  <c r="BN60" i="4"/>
  <c r="AI60" i="4"/>
  <c r="AI114" i="4"/>
  <c r="BN50" i="4"/>
  <c r="AI50" i="4"/>
  <c r="AI147" i="4"/>
  <c r="BN12" i="4"/>
  <c r="AI12" i="4"/>
  <c r="BN9" i="4"/>
  <c r="AI9" i="4"/>
  <c r="AI151" i="4"/>
  <c r="AI98" i="4"/>
  <c r="BN14" i="4"/>
  <c r="AI14" i="4"/>
  <c r="AI139" i="4"/>
  <c r="AI85" i="4"/>
  <c r="AI128" i="4"/>
  <c r="BN23" i="4"/>
  <c r="AI23" i="4"/>
  <c r="AI109" i="4"/>
  <c r="BN17" i="4"/>
  <c r="AI17" i="4"/>
  <c r="AI127" i="4"/>
  <c r="BN44" i="4"/>
  <c r="AI44" i="4"/>
  <c r="BN18" i="4"/>
  <c r="AI18" i="4"/>
  <c r="BN25" i="4"/>
  <c r="AI25" i="4"/>
  <c r="BN58" i="4"/>
  <c r="AI58" i="4"/>
  <c r="AI103" i="4"/>
  <c r="AI138" i="4"/>
  <c r="BN11" i="4"/>
  <c r="AI11" i="4"/>
  <c r="AI132" i="4"/>
  <c r="AI131" i="4"/>
  <c r="BN40" i="4"/>
  <c r="AI40" i="4"/>
  <c r="AI89" i="4"/>
  <c r="BN57" i="4"/>
  <c r="AI57" i="4"/>
  <c r="AI100" i="4"/>
  <c r="BN13" i="4"/>
  <c r="AI13" i="4"/>
  <c r="AI86" i="4"/>
  <c r="BN55" i="4"/>
  <c r="AI55" i="4"/>
  <c r="BN27" i="4"/>
  <c r="AI27" i="4"/>
  <c r="AI92" i="4"/>
  <c r="BN74" i="4"/>
  <c r="AI74" i="4"/>
  <c r="AI84" i="4"/>
  <c r="AI105" i="4"/>
  <c r="BN15" i="4"/>
  <c r="AI15" i="4"/>
  <c r="BN53" i="4"/>
  <c r="AI53" i="4"/>
  <c r="BN77" i="4"/>
  <c r="AI77" i="4"/>
  <c r="BN73" i="4"/>
  <c r="AI73" i="4"/>
  <c r="BN16" i="4"/>
  <c r="AI16" i="4"/>
  <c r="AI99" i="4"/>
  <c r="AI93" i="4"/>
  <c r="BN68" i="4"/>
  <c r="AI68" i="4"/>
  <c r="AI129" i="4"/>
  <c r="BN42" i="4"/>
  <c r="AI42" i="4"/>
  <c r="BN10" i="4"/>
  <c r="AI10" i="4"/>
  <c r="BN66" i="4"/>
  <c r="AI66" i="4"/>
  <c r="BN30" i="4"/>
  <c r="AI30" i="4"/>
  <c r="BN31" i="4"/>
  <c r="AI31" i="4"/>
  <c r="BN34" i="4"/>
  <c r="AI34" i="4"/>
  <c r="BN36" i="4"/>
  <c r="AI36" i="4"/>
  <c r="BN78" i="4"/>
  <c r="AI78" i="4"/>
  <c r="AI141" i="4"/>
  <c r="AI80" i="4"/>
  <c r="BN51" i="4"/>
  <c r="AI51" i="4"/>
  <c r="AI115" i="4"/>
  <c r="AI125" i="4"/>
  <c r="BN71" i="4"/>
  <c r="AI71" i="4"/>
  <c r="AI95" i="4"/>
  <c r="BN63" i="4"/>
  <c r="AI63" i="4"/>
  <c r="AI121" i="4"/>
  <c r="BN35" i="4"/>
  <c r="AI35" i="4"/>
  <c r="BN61" i="4"/>
  <c r="AI61" i="4"/>
  <c r="AI155" i="4"/>
  <c r="BN76" i="4"/>
  <c r="AI76" i="4"/>
  <c r="AI88" i="4"/>
  <c r="AI120" i="4"/>
  <c r="X47" i="4"/>
  <c r="Y62" i="4"/>
  <c r="X46" i="4"/>
  <c r="X37" i="4"/>
  <c r="Z102" i="4"/>
  <c r="Y112" i="4"/>
  <c r="Z112" i="4"/>
  <c r="AD7" i="4"/>
  <c r="AH7" i="4"/>
  <c r="W156" i="4"/>
  <c r="X156" i="4" s="1"/>
  <c r="AP107" i="4"/>
  <c r="AO107" i="4" s="1"/>
  <c r="AN107" i="4" s="1"/>
  <c r="W92" i="4"/>
  <c r="X92" i="4" s="1"/>
  <c r="BN8" i="4"/>
  <c r="W107" i="4"/>
  <c r="X107" i="4" s="1"/>
  <c r="Y67" i="4"/>
  <c r="W40" i="4"/>
  <c r="X40" i="4" s="1"/>
  <c r="Z153" i="4"/>
  <c r="AA153" i="4" s="1"/>
  <c r="Y37" i="4"/>
  <c r="AI37" i="4" s="1"/>
  <c r="Y133" i="4"/>
  <c r="W108" i="4"/>
  <c r="X108" i="4" s="1"/>
  <c r="Z92" i="4"/>
  <c r="AA92" i="4" s="1"/>
  <c r="Y59" i="4"/>
  <c r="AI59" i="4" s="1"/>
  <c r="W59" i="4"/>
  <c r="X59" i="4" s="1"/>
  <c r="Z111" i="4"/>
  <c r="Y152" i="4"/>
  <c r="AI152" i="4" s="1"/>
  <c r="W122" i="4"/>
  <c r="X122" i="4" s="1"/>
  <c r="Y111" i="4"/>
  <c r="BI51" i="4"/>
  <c r="BI50" i="4"/>
  <c r="BI12" i="4"/>
  <c r="BI9" i="4"/>
  <c r="BI55" i="4"/>
  <c r="BI96" i="4"/>
  <c r="BI72" i="4"/>
  <c r="BI23" i="4"/>
  <c r="BI127" i="4"/>
  <c r="BI71" i="4"/>
  <c r="W74" i="4"/>
  <c r="X74" i="4" s="1"/>
  <c r="BI35" i="4"/>
  <c r="BI68" i="4"/>
  <c r="BI147" i="4"/>
  <c r="BI151" i="4"/>
  <c r="BI115" i="4"/>
  <c r="BI63" i="4"/>
  <c r="BI61" i="4"/>
  <c r="BI86" i="4"/>
  <c r="BI98" i="4"/>
  <c r="BI139" i="4"/>
  <c r="BI85" i="4"/>
  <c r="BI135" i="4"/>
  <c r="BI101" i="4"/>
  <c r="BI58" i="4"/>
  <c r="BI28" i="4"/>
  <c r="BI45" i="4"/>
  <c r="BI92" i="4"/>
  <c r="BI10" i="4"/>
  <c r="BI77" i="4"/>
  <c r="BI95" i="4"/>
  <c r="BI74" i="4"/>
  <c r="Z74" i="4"/>
  <c r="AA74" i="4" s="1"/>
  <c r="BI31" i="4"/>
  <c r="BI34" i="4"/>
  <c r="BI78" i="4"/>
  <c r="BI128" i="4"/>
  <c r="BI16" i="4"/>
  <c r="BI18" i="4"/>
  <c r="BI25" i="4"/>
  <c r="BI11" i="4"/>
  <c r="BI60" i="4"/>
  <c r="BI114" i="4"/>
  <c r="BI57" i="4"/>
  <c r="BI100" i="4"/>
  <c r="BI129" i="4"/>
  <c r="BI84" i="4"/>
  <c r="Y91" i="4"/>
  <c r="Y122" i="4"/>
  <c r="AI122" i="4" s="1"/>
  <c r="Y140" i="4"/>
  <c r="Y150" i="4"/>
  <c r="Y126" i="4"/>
  <c r="W57" i="4"/>
  <c r="X57" i="4" s="1"/>
  <c r="W100" i="4"/>
  <c r="X100" i="4" s="1"/>
  <c r="W56" i="4"/>
  <c r="X56" i="4" s="1"/>
  <c r="W114" i="4"/>
  <c r="X114" i="4" s="1"/>
  <c r="Z100" i="4"/>
  <c r="AA100" i="4" s="1"/>
  <c r="Y97" i="4"/>
  <c r="Y142" i="4"/>
  <c r="W84" i="4"/>
  <c r="X84" i="4" s="1"/>
  <c r="W157" i="4"/>
  <c r="X157" i="4" s="1"/>
  <c r="W68" i="4"/>
  <c r="X68" i="4" s="1"/>
  <c r="Y41" i="4"/>
  <c r="Y102" i="4"/>
  <c r="AI102" i="4" s="1"/>
  <c r="Y56" i="4"/>
  <c r="W143" i="4"/>
  <c r="X143" i="4" s="1"/>
  <c r="W94" i="4"/>
  <c r="X94" i="4" s="1"/>
  <c r="W41" i="4"/>
  <c r="X41" i="4" s="1"/>
  <c r="Y94" i="4"/>
  <c r="W124" i="4"/>
  <c r="X124" i="4" s="1"/>
  <c r="W129" i="4"/>
  <c r="X129" i="4" s="1"/>
  <c r="W82" i="4"/>
  <c r="X82" i="4" s="1"/>
  <c r="W75" i="4"/>
  <c r="X75" i="4" s="1"/>
  <c r="Z129" i="4"/>
  <c r="AA129" i="4" s="1"/>
  <c r="Z126" i="4"/>
  <c r="Y154" i="4"/>
  <c r="Y75" i="4"/>
  <c r="W60" i="4"/>
  <c r="X60" i="4" s="1"/>
  <c r="W140" i="4"/>
  <c r="X140" i="4" s="1"/>
  <c r="W147" i="4"/>
  <c r="X147" i="4" s="1"/>
  <c r="Z147" i="4"/>
  <c r="AA147" i="4" s="1"/>
  <c r="Z60" i="4"/>
  <c r="AA60" i="4" s="1"/>
  <c r="Y69" i="4"/>
  <c r="Z88" i="4"/>
  <c r="AA88" i="4" s="1"/>
  <c r="Y108" i="4"/>
  <c r="Y39" i="4"/>
  <c r="W88" i="4"/>
  <c r="X88" i="4" s="1"/>
  <c r="W76" i="4"/>
  <c r="X76" i="4" s="1"/>
  <c r="W39" i="4"/>
  <c r="X39" i="4" s="1"/>
  <c r="AP120" i="4"/>
  <c r="AO120" i="4" s="1"/>
  <c r="Y123" i="4"/>
  <c r="W120" i="4"/>
  <c r="X120" i="4" s="1"/>
  <c r="W45" i="4"/>
  <c r="X45" i="4" s="1"/>
  <c r="W153" i="4"/>
  <c r="X153" i="4" s="1"/>
  <c r="W89" i="4"/>
  <c r="X89" i="4" s="1"/>
  <c r="W133" i="4"/>
  <c r="X133" i="4" s="1"/>
  <c r="Z132" i="4"/>
  <c r="AA132" i="4" s="1"/>
  <c r="Z50" i="4"/>
  <c r="AA50" i="4" s="1"/>
  <c r="Z61" i="4"/>
  <c r="AA61" i="4" s="1"/>
  <c r="Y52" i="4"/>
  <c r="W132" i="4"/>
  <c r="X132" i="4" s="1"/>
  <c r="W131" i="4"/>
  <c r="X131" i="4" s="1"/>
  <c r="W50" i="4"/>
  <c r="X50" i="4" s="1"/>
  <c r="Z52" i="4"/>
  <c r="Z131" i="4"/>
  <c r="AA131" i="4" s="1"/>
  <c r="Z145" i="4"/>
  <c r="Y116" i="4"/>
  <c r="Y145" i="4"/>
  <c r="W61" i="4"/>
  <c r="X61" i="4" s="1"/>
  <c r="Y130" i="4"/>
  <c r="W155" i="4"/>
  <c r="X155" i="4" s="1"/>
  <c r="Z90" i="4"/>
  <c r="Y90" i="4"/>
  <c r="AA11" i="4"/>
  <c r="AA38" i="4"/>
  <c r="AA35" i="4"/>
  <c r="X30" i="4"/>
  <c r="X20" i="4"/>
  <c r="X10" i="4"/>
  <c r="X15" i="4"/>
  <c r="X26" i="4"/>
  <c r="X18" i="4"/>
  <c r="X24" i="4"/>
  <c r="X22" i="4"/>
  <c r="AP70" i="4"/>
  <c r="AP151" i="4"/>
  <c r="AP98" i="4"/>
  <c r="AO98" i="4" s="1"/>
  <c r="AP77" i="4"/>
  <c r="AP60" i="4"/>
  <c r="AO60" i="4" s="1"/>
  <c r="AP45" i="4"/>
  <c r="AP109" i="4"/>
  <c r="AP115" i="4"/>
  <c r="AP71" i="4"/>
  <c r="AO71" i="4" s="1"/>
  <c r="AP103" i="4"/>
  <c r="AP28" i="4"/>
  <c r="AO28" i="4" s="1"/>
  <c r="AP12" i="4"/>
  <c r="AP86" i="4"/>
  <c r="AO86" i="4" s="1"/>
  <c r="AP134" i="4"/>
  <c r="AP34" i="4"/>
  <c r="AP131" i="4"/>
  <c r="AP141" i="4"/>
  <c r="AP88" i="4"/>
  <c r="AP68" i="4"/>
  <c r="AO68" i="4" s="1"/>
  <c r="AP125" i="4"/>
  <c r="AP63" i="4"/>
  <c r="AP119" i="4"/>
  <c r="AP13" i="4"/>
  <c r="AP10" i="4"/>
  <c r="AO10" i="4" s="1"/>
  <c r="AP15" i="4"/>
  <c r="AP74" i="4"/>
  <c r="AO74" i="4" s="1"/>
  <c r="AP57" i="4"/>
  <c r="AP55" i="4"/>
  <c r="AP96" i="4"/>
  <c r="AP114" i="4"/>
  <c r="AP155" i="4"/>
  <c r="AP85" i="4"/>
  <c r="AP72" i="4"/>
  <c r="AP83" i="4"/>
  <c r="AO83" i="4" s="1"/>
  <c r="AP135" i="4"/>
  <c r="AP132" i="4"/>
  <c r="AP17" i="4"/>
  <c r="AP93" i="4"/>
  <c r="AP33" i="4"/>
  <c r="AP25" i="4"/>
  <c r="AP38" i="4"/>
  <c r="AP11" i="4"/>
  <c r="AP105" i="4"/>
  <c r="AP66" i="4"/>
  <c r="AP84" i="4"/>
  <c r="AP14" i="4"/>
  <c r="AO14" i="4" s="1"/>
  <c r="AP36" i="4"/>
  <c r="AO36" i="4" s="1"/>
  <c r="AP89" i="4"/>
  <c r="AP127" i="4"/>
  <c r="AP44" i="4"/>
  <c r="AP76" i="4"/>
  <c r="AP42" i="4"/>
  <c r="AP50" i="4"/>
  <c r="AP30" i="4"/>
  <c r="AP31" i="4"/>
  <c r="AP153" i="4"/>
  <c r="AP87" i="4"/>
  <c r="AO87" i="4" s="1"/>
  <c r="AP73" i="4"/>
  <c r="AP92" i="4"/>
  <c r="AP80" i="4"/>
  <c r="AP22" i="4"/>
  <c r="AO22" i="4" s="1"/>
  <c r="AP100" i="4"/>
  <c r="AP95" i="4"/>
  <c r="AO95" i="4" s="1"/>
  <c r="AP138" i="4"/>
  <c r="AP40" i="4"/>
  <c r="AO40" i="4" s="1"/>
  <c r="AP20" i="4"/>
  <c r="AP9" i="4"/>
  <c r="AP144" i="4"/>
  <c r="AP53" i="4"/>
  <c r="AP139" i="4"/>
  <c r="AP27" i="4"/>
  <c r="AP78" i="4"/>
  <c r="AO78" i="4" s="1"/>
  <c r="AP128" i="4"/>
  <c r="AP29" i="4"/>
  <c r="AP23" i="4"/>
  <c r="AP16" i="4"/>
  <c r="AP51" i="4"/>
  <c r="AP129" i="4"/>
  <c r="AP99" i="4"/>
  <c r="AO99" i="4" s="1"/>
  <c r="AP43" i="4"/>
  <c r="AP61" i="4"/>
  <c r="AP147" i="4"/>
  <c r="AP18" i="4"/>
  <c r="AO18" i="4" s="1"/>
  <c r="AP101" i="4"/>
  <c r="AP58" i="4"/>
  <c r="AP35" i="4"/>
  <c r="X21" i="4"/>
  <c r="X12" i="4"/>
  <c r="X9" i="4"/>
  <c r="X33" i="4"/>
  <c r="AA28" i="4"/>
  <c r="X17" i="4"/>
  <c r="X19" i="4"/>
  <c r="X32" i="4"/>
  <c r="X31" i="4"/>
  <c r="X34" i="4"/>
  <c r="X27" i="4"/>
  <c r="AP8" i="4"/>
  <c r="AA103" i="4"/>
  <c r="AA138" i="4"/>
  <c r="X8" i="4"/>
  <c r="X16" i="4"/>
  <c r="X35" i="4"/>
  <c r="X28" i="4"/>
  <c r="X11" i="4"/>
  <c r="AA121" i="4"/>
  <c r="AA63" i="4"/>
  <c r="AA23" i="4"/>
  <c r="AA93" i="4"/>
  <c r="AA115" i="4"/>
  <c r="AA18" i="4"/>
  <c r="AA101" i="4"/>
  <c r="AA125" i="4"/>
  <c r="AA22" i="4"/>
  <c r="AA71" i="4"/>
  <c r="AA44" i="4"/>
  <c r="AA127" i="4"/>
  <c r="AA80" i="4"/>
  <c r="AA43" i="4"/>
  <c r="AA51" i="4"/>
  <c r="Z114" i="4"/>
  <c r="AA114" i="4" s="1"/>
  <c r="Z15" i="4"/>
  <c r="AA15" i="4" s="1"/>
  <c r="Z96" i="4"/>
  <c r="AA96" i="4" s="1"/>
  <c r="Z20" i="4"/>
  <c r="AA20" i="4" s="1"/>
  <c r="Z40" i="4"/>
  <c r="AA40" i="4" s="1"/>
  <c r="Z128" i="4"/>
  <c r="AA128" i="4" s="1"/>
  <c r="Z84" i="4"/>
  <c r="AA84" i="4" s="1"/>
  <c r="Z98" i="4"/>
  <c r="AA98" i="4" s="1"/>
  <c r="Z13" i="4"/>
  <c r="AA13" i="4" s="1"/>
  <c r="Z85" i="4"/>
  <c r="AA85" i="4" s="1"/>
  <c r="Z30" i="4"/>
  <c r="AA30" i="4" s="1"/>
  <c r="Z67" i="4"/>
  <c r="Z66" i="4"/>
  <c r="AA66" i="4" s="1"/>
  <c r="Z97" i="4"/>
  <c r="Y146" i="4"/>
  <c r="Z146" i="4"/>
  <c r="AA12" i="4"/>
  <c r="Y149" i="4"/>
  <c r="Y143" i="4"/>
  <c r="Z9" i="4"/>
  <c r="AA9" i="4" s="1"/>
  <c r="Z149" i="4"/>
  <c r="Z19" i="4"/>
  <c r="Y19" i="4"/>
  <c r="Z65" i="4"/>
  <c r="Y65" i="4"/>
  <c r="Y124" i="4"/>
  <c r="Y156" i="4"/>
  <c r="Y148" i="4"/>
  <c r="Y104" i="4"/>
  <c r="Y157" i="4"/>
  <c r="Y54" i="4"/>
  <c r="Y82" i="4"/>
  <c r="Y117" i="4"/>
  <c r="AA134" i="4"/>
  <c r="Z137" i="4"/>
  <c r="Y137" i="4"/>
  <c r="Z118" i="4"/>
  <c r="Y118" i="4"/>
  <c r="Z113" i="4"/>
  <c r="Y113" i="4"/>
  <c r="Z26" i="4"/>
  <c r="Y26" i="4"/>
  <c r="Z24" i="4"/>
  <c r="Y24" i="4"/>
  <c r="Y48" i="4"/>
  <c r="Y110" i="4"/>
  <c r="Z110" i="4"/>
  <c r="Y49" i="4"/>
  <c r="Y79" i="4"/>
  <c r="Y81" i="4"/>
  <c r="Z81" i="4"/>
  <c r="Z123" i="4"/>
  <c r="AA119" i="4"/>
  <c r="AA42" i="4"/>
  <c r="AA70" i="4"/>
  <c r="AA86" i="4"/>
  <c r="AA151" i="4"/>
  <c r="AA144" i="4"/>
  <c r="AA14" i="4"/>
  <c r="AA36" i="4"/>
  <c r="Z136" i="4"/>
  <c r="Y136" i="4"/>
  <c r="Z21" i="4"/>
  <c r="Y21" i="4"/>
  <c r="Z64" i="4"/>
  <c r="Y64" i="4"/>
  <c r="Z106" i="4"/>
  <c r="Y106" i="4"/>
  <c r="Y46" i="4"/>
  <c r="Z32" i="4"/>
  <c r="Y32" i="4"/>
  <c r="Z47" i="4"/>
  <c r="Y47" i="4"/>
  <c r="AA53" i="4"/>
  <c r="AA77" i="4"/>
  <c r="AA27" i="4"/>
  <c r="AA78" i="4"/>
  <c r="AA73" i="4"/>
  <c r="AA141" i="4"/>
  <c r="R116" i="10"/>
  <c r="S403" i="10"/>
  <c r="S185" i="10"/>
  <c r="S300" i="10"/>
  <c r="S92" i="10"/>
  <c r="S486" i="10"/>
  <c r="S174" i="10"/>
  <c r="S365" i="10"/>
  <c r="R462" i="10"/>
  <c r="R353" i="10"/>
  <c r="S377" i="10"/>
  <c r="R82" i="10"/>
  <c r="R535" i="10"/>
  <c r="R490" i="10"/>
  <c r="R422" i="10"/>
  <c r="R164" i="10"/>
  <c r="S165" i="10"/>
  <c r="R251" i="10"/>
  <c r="R73" i="10"/>
  <c r="S113" i="10"/>
  <c r="S297" i="10"/>
  <c r="S222" i="10"/>
  <c r="S478" i="10"/>
  <c r="R548" i="10"/>
  <c r="R127" i="10"/>
  <c r="S180" i="10"/>
  <c r="R413" i="10"/>
  <c r="R20" i="10"/>
  <c r="W11" i="10"/>
  <c r="X11" i="10" s="1"/>
  <c r="S250" i="10"/>
  <c r="S77" i="10"/>
  <c r="R437" i="10"/>
  <c r="S556" i="10"/>
  <c r="S475" i="10"/>
  <c r="S215" i="10"/>
  <c r="R157" i="10"/>
  <c r="S471" i="10"/>
  <c r="S393" i="10"/>
  <c r="S259" i="10"/>
  <c r="R68" i="10"/>
  <c r="R197" i="10"/>
  <c r="R432" i="10"/>
  <c r="S382" i="10"/>
  <c r="R361" i="10"/>
  <c r="S56" i="10"/>
  <c r="R129" i="10"/>
  <c r="R543" i="10"/>
  <c r="S444" i="10"/>
  <c r="R54" i="10"/>
  <c r="S69" i="10"/>
  <c r="S93" i="10"/>
  <c r="S299" i="10"/>
  <c r="S244" i="10"/>
  <c r="R56" i="10"/>
  <c r="R202" i="10"/>
  <c r="S544" i="10"/>
  <c r="S326" i="10"/>
  <c r="S100" i="10"/>
  <c r="S440" i="10"/>
  <c r="S33" i="10"/>
  <c r="R301" i="10"/>
  <c r="S348" i="10"/>
  <c r="R122" i="10"/>
  <c r="R272" i="10"/>
  <c r="S465" i="10"/>
  <c r="R85" i="10"/>
  <c r="S522" i="10"/>
  <c r="R325" i="10"/>
  <c r="R556" i="10"/>
  <c r="R358" i="10"/>
  <c r="S358" i="10"/>
  <c r="R388" i="10"/>
  <c r="S206" i="10"/>
  <c r="R206" i="10"/>
  <c r="R501" i="10"/>
  <c r="S173" i="10"/>
  <c r="R173" i="10"/>
  <c r="S38" i="10"/>
  <c r="S405" i="10"/>
  <c r="R90" i="10"/>
  <c r="S416" i="10"/>
  <c r="R416" i="10"/>
  <c r="S337" i="10"/>
  <c r="R337" i="10"/>
  <c r="S139" i="10"/>
  <c r="R139" i="10"/>
  <c r="R47" i="10"/>
  <c r="R96" i="10"/>
  <c r="S96" i="10"/>
  <c r="R295" i="10"/>
  <c r="R463" i="10"/>
  <c r="S463" i="10"/>
  <c r="R8" i="10"/>
  <c r="R43" i="10"/>
  <c r="R153" i="10"/>
  <c r="R258" i="10"/>
  <c r="S290" i="10"/>
  <c r="R290" i="10"/>
  <c r="R399" i="10"/>
  <c r="S512" i="10"/>
  <c r="R512" i="10"/>
  <c r="S469" i="10"/>
  <c r="R469" i="10"/>
  <c r="S452" i="10"/>
  <c r="R452" i="10"/>
  <c r="R387" i="10"/>
  <c r="S387" i="10"/>
  <c r="S39" i="10"/>
  <c r="R39" i="10"/>
  <c r="S168" i="10"/>
  <c r="R72" i="10"/>
  <c r="S72" i="10"/>
  <c r="R115" i="10"/>
  <c r="R286" i="10"/>
  <c r="S286" i="10"/>
  <c r="R330" i="10"/>
  <c r="S323" i="10"/>
  <c r="R323" i="10"/>
  <c r="R391" i="10"/>
  <c r="S391" i="10"/>
  <c r="S436" i="10"/>
  <c r="S492" i="10"/>
  <c r="R492" i="10"/>
  <c r="R466" i="10"/>
  <c r="S466" i="10"/>
  <c r="S507" i="10"/>
  <c r="R507" i="10"/>
  <c r="S500" i="10"/>
  <c r="R500" i="10"/>
  <c r="S225" i="10"/>
  <c r="R225" i="10"/>
  <c r="S37" i="10"/>
  <c r="R37" i="10"/>
  <c r="R312" i="10"/>
  <c r="S312" i="10"/>
  <c r="S430" i="10"/>
  <c r="R430" i="10"/>
  <c r="S219" i="10"/>
  <c r="S47" i="10"/>
  <c r="S501" i="10"/>
  <c r="R425" i="10"/>
  <c r="S533" i="10"/>
  <c r="R167" i="10"/>
  <c r="S8" i="10"/>
  <c r="S115" i="10"/>
  <c r="S560" i="10"/>
  <c r="S90" i="10"/>
  <c r="S399" i="10"/>
  <c r="R356" i="10"/>
  <c r="R502" i="10"/>
  <c r="S455" i="10"/>
  <c r="R319" i="10"/>
  <c r="S291" i="10"/>
  <c r="S50" i="10"/>
  <c r="R366" i="10"/>
  <c r="S126" i="10"/>
  <c r="S380" i="10"/>
  <c r="S502" i="10"/>
  <c r="R509" i="10"/>
  <c r="S110" i="10"/>
  <c r="S513" i="10"/>
  <c r="S510" i="10"/>
  <c r="R182" i="10"/>
  <c r="S372" i="10"/>
  <c r="S88" i="10"/>
  <c r="R503" i="10"/>
  <c r="S503" i="10"/>
  <c r="S364" i="10"/>
  <c r="S304" i="10"/>
  <c r="S335" i="10"/>
  <c r="R335" i="10"/>
  <c r="S426" i="10"/>
  <c r="R426" i="10"/>
  <c r="R278" i="10"/>
  <c r="R364" i="10"/>
  <c r="R497" i="10"/>
  <c r="S497" i="10"/>
  <c r="R487" i="10"/>
  <c r="S487" i="10"/>
  <c r="S124" i="10"/>
  <c r="R124" i="10"/>
  <c r="S26" i="10"/>
  <c r="R411" i="10"/>
  <c r="S411" i="10"/>
  <c r="R305" i="10"/>
  <c r="S305" i="10"/>
  <c r="R176" i="10"/>
  <c r="S338" i="10"/>
  <c r="R338" i="10"/>
  <c r="S331" i="10"/>
  <c r="R331" i="10"/>
  <c r="S433" i="10"/>
  <c r="R433" i="10"/>
  <c r="S474" i="10"/>
  <c r="R474" i="10"/>
  <c r="S549" i="10"/>
  <c r="R549" i="10"/>
  <c r="S494" i="10"/>
  <c r="R494" i="10"/>
  <c r="S170" i="10"/>
  <c r="R170" i="10"/>
  <c r="R491" i="10"/>
  <c r="S35" i="10"/>
  <c r="R35" i="10"/>
  <c r="S443" i="10"/>
  <c r="R443" i="10"/>
  <c r="S253" i="10"/>
  <c r="R253" i="10"/>
  <c r="S552" i="10"/>
  <c r="R552" i="10"/>
  <c r="S58" i="10"/>
  <c r="R58" i="10"/>
  <c r="S306" i="10"/>
  <c r="S330" i="10"/>
  <c r="R254" i="10"/>
  <c r="R145" i="10"/>
  <c r="R104" i="10"/>
  <c r="R41" i="10"/>
  <c r="R293" i="10"/>
  <c r="S316" i="10"/>
  <c r="R151" i="10"/>
  <c r="R405" i="10"/>
  <c r="R447" i="10"/>
  <c r="S162" i="10"/>
  <c r="S547" i="10"/>
  <c r="S367" i="10"/>
  <c r="R283" i="10"/>
  <c r="S111" i="10"/>
  <c r="R141" i="10"/>
  <c r="R36" i="10"/>
  <c r="R125" i="10"/>
  <c r="R385" i="10"/>
  <c r="S209" i="10"/>
  <c r="R551" i="10"/>
  <c r="R343" i="10"/>
  <c r="S295" i="10"/>
  <c r="S43" i="10"/>
  <c r="R420" i="10"/>
  <c r="S434" i="10"/>
  <c r="R227" i="10"/>
  <c r="S153" i="10"/>
  <c r="R304" i="10"/>
  <c r="S401" i="10"/>
  <c r="S317" i="10"/>
  <c r="R526" i="10"/>
  <c r="R521" i="10"/>
  <c r="R78" i="10"/>
  <c r="R558" i="10"/>
  <c r="R280" i="10"/>
  <c r="S371" i="10"/>
  <c r="R76" i="10"/>
  <c r="S76" i="10"/>
  <c r="S223" i="10"/>
  <c r="R223" i="10"/>
  <c r="S508" i="10"/>
  <c r="R508" i="10"/>
  <c r="R340" i="10"/>
  <c r="S340" i="10"/>
  <c r="S390" i="10"/>
  <c r="R390" i="10"/>
  <c r="S79" i="10"/>
  <c r="S186" i="10"/>
  <c r="R186" i="10"/>
  <c r="R208" i="10"/>
  <c r="S208" i="10"/>
  <c r="R188" i="10"/>
  <c r="S188" i="10"/>
  <c r="S263" i="10"/>
  <c r="R263" i="10"/>
  <c r="S485" i="10"/>
  <c r="R485" i="10"/>
  <c r="S181" i="10"/>
  <c r="R181" i="10"/>
  <c r="S117" i="10"/>
  <c r="R117" i="10"/>
  <c r="R112" i="10"/>
  <c r="R80" i="10"/>
  <c r="S80" i="10"/>
  <c r="S123" i="10"/>
  <c r="R123" i="10"/>
  <c r="R229" i="10"/>
  <c r="S249" i="10"/>
  <c r="R249" i="10"/>
  <c r="R102" i="10"/>
  <c r="S102" i="10"/>
  <c r="S342" i="10"/>
  <c r="R342" i="10"/>
  <c r="R534" i="10"/>
  <c r="S534" i="10"/>
  <c r="R412" i="10"/>
  <c r="S514" i="10"/>
  <c r="R514" i="10"/>
  <c r="R370" i="10"/>
  <c r="S232" i="10"/>
  <c r="S105" i="10"/>
  <c r="R435" i="10"/>
  <c r="R468" i="10"/>
  <c r="R38" i="10"/>
  <c r="S369" i="10"/>
  <c r="R190" i="10"/>
  <c r="S275" i="10"/>
  <c r="R79" i="10"/>
  <c r="R228" i="10"/>
  <c r="S491" i="10"/>
  <c r="R209" i="10"/>
  <c r="S218" i="10"/>
  <c r="R204" i="10"/>
  <c r="R545" i="10"/>
  <c r="R239" i="10"/>
  <c r="R67" i="10"/>
  <c r="R257" i="10"/>
  <c r="S248" i="10"/>
  <c r="S258" i="10"/>
  <c r="R240" i="10"/>
  <c r="S118" i="10"/>
  <c r="S285" i="10"/>
  <c r="R320" i="10"/>
  <c r="R210" i="10"/>
  <c r="S138" i="10"/>
  <c r="R516" i="10"/>
  <c r="R62" i="10"/>
  <c r="R524" i="10"/>
  <c r="R446" i="10"/>
  <c r="R314" i="10"/>
  <c r="R99" i="10"/>
  <c r="R55" i="10"/>
  <c r="R245" i="10"/>
  <c r="S213" i="10"/>
  <c r="R175" i="10"/>
  <c r="S541" i="10"/>
  <c r="S418" i="10"/>
  <c r="S322" i="10"/>
  <c r="R108" i="10"/>
  <c r="S439" i="10"/>
  <c r="R537" i="10"/>
  <c r="R410" i="10"/>
  <c r="R203" i="10"/>
  <c r="R152" i="10"/>
  <c r="R121" i="10"/>
  <c r="S154" i="10"/>
  <c r="R296" i="10"/>
  <c r="S318" i="10"/>
  <c r="S458" i="10"/>
  <c r="S378" i="10"/>
  <c r="S107" i="10"/>
  <c r="R408" i="10"/>
  <c r="S554" i="10"/>
  <c r="R419" i="10"/>
  <c r="S419" i="10"/>
  <c r="R60" i="10"/>
  <c r="S321" i="10"/>
  <c r="R321" i="10"/>
  <c r="R135" i="10"/>
  <c r="S135" i="10"/>
  <c r="R163" i="10"/>
  <c r="R193" i="10"/>
  <c r="S193" i="10"/>
  <c r="S238" i="10"/>
  <c r="R479" i="10"/>
  <c r="S479" i="10"/>
  <c r="S288" i="10"/>
  <c r="R288" i="10"/>
  <c r="R515" i="10"/>
  <c r="S515" i="10"/>
  <c r="S527" i="10"/>
  <c r="R352" i="10"/>
  <c r="S268" i="10"/>
  <c r="R268" i="10"/>
  <c r="R21" i="10"/>
  <c r="S140" i="10"/>
  <c r="R140" i="10"/>
  <c r="S65" i="10"/>
  <c r="R65" i="10"/>
  <c r="S183" i="10"/>
  <c r="R183" i="10"/>
  <c r="S303" i="10"/>
  <c r="R303" i="10"/>
  <c r="R379" i="10"/>
  <c r="S379" i="10"/>
  <c r="R427" i="10"/>
  <c r="S427" i="10"/>
  <c r="R441" i="10"/>
  <c r="S441" i="10"/>
  <c r="S289" i="10"/>
  <c r="R101" i="10"/>
  <c r="R29" i="10"/>
  <c r="S192" i="10"/>
  <c r="R192" i="10"/>
  <c r="S75" i="10"/>
  <c r="R75" i="10"/>
  <c r="S266" i="10"/>
  <c r="R354" i="10"/>
  <c r="R347" i="10"/>
  <c r="S347" i="10"/>
  <c r="S386" i="10"/>
  <c r="R386" i="10"/>
  <c r="R489" i="10"/>
  <c r="S166" i="10"/>
  <c r="R166" i="10"/>
  <c r="S189" i="10"/>
  <c r="R189" i="10"/>
  <c r="S198" i="10"/>
  <c r="S169" i="10"/>
  <c r="R332" i="10"/>
  <c r="R109" i="10"/>
  <c r="R184" i="10"/>
  <c r="R161" i="10"/>
  <c r="S161" i="10"/>
  <c r="S346" i="10"/>
  <c r="R346" i="10"/>
  <c r="S339" i="10"/>
  <c r="R339" i="10"/>
  <c r="S477" i="10"/>
  <c r="R482" i="10"/>
  <c r="S482" i="10"/>
  <c r="R559" i="10"/>
  <c r="S481" i="10"/>
  <c r="R148" i="10"/>
  <c r="S400" i="10"/>
  <c r="R400" i="10"/>
  <c r="R200" i="10"/>
  <c r="S200" i="10"/>
  <c r="R196" i="10"/>
  <c r="S196" i="10"/>
  <c r="R130" i="10"/>
  <c r="S130" i="10"/>
  <c r="R553" i="10"/>
  <c r="S553" i="10"/>
  <c r="S489" i="10"/>
  <c r="S354" i="10"/>
  <c r="S163" i="10"/>
  <c r="S184" i="10"/>
  <c r="R527" i="10"/>
  <c r="S60" i="10"/>
  <c r="S109" i="10"/>
  <c r="S376" i="10"/>
  <c r="S531" i="10"/>
  <c r="S529" i="10"/>
  <c r="R529" i="10"/>
  <c r="R34" i="10"/>
  <c r="S34" i="10"/>
  <c r="R233" i="10"/>
  <c r="S233" i="10"/>
  <c r="R546" i="10"/>
  <c r="S546" i="10"/>
  <c r="S498" i="10"/>
  <c r="R498" i="10"/>
  <c r="R550" i="10"/>
  <c r="S550" i="10"/>
  <c r="S333" i="10"/>
  <c r="R333" i="10"/>
  <c r="R142" i="10"/>
  <c r="S142" i="10"/>
  <c r="S360" i="10"/>
  <c r="S32" i="10"/>
  <c r="S384" i="10"/>
  <c r="R384" i="10"/>
  <c r="R57" i="10"/>
  <c r="S57" i="10"/>
  <c r="R46" i="10"/>
  <c r="R220" i="10"/>
  <c r="S220" i="10"/>
  <c r="S87" i="10"/>
  <c r="R87" i="10"/>
  <c r="R271" i="10"/>
  <c r="S398" i="10"/>
  <c r="R398" i="10"/>
  <c r="S496" i="10"/>
  <c r="R496" i="10"/>
  <c r="R329" i="10"/>
  <c r="S329" i="10"/>
  <c r="S292" i="10"/>
  <c r="R292" i="10"/>
  <c r="R66" i="10"/>
  <c r="S66" i="10"/>
  <c r="R128" i="10"/>
  <c r="S128" i="10"/>
  <c r="S48" i="10"/>
  <c r="R48" i="10"/>
  <c r="S171" i="10"/>
  <c r="R171" i="10"/>
  <c r="S298" i="10"/>
  <c r="R243" i="10"/>
  <c r="S243" i="10"/>
  <c r="R415" i="10"/>
  <c r="S415" i="10"/>
  <c r="R467" i="10"/>
  <c r="S467" i="10"/>
  <c r="S525" i="10"/>
  <c r="R217" i="10"/>
  <c r="S217" i="10"/>
  <c r="S506" i="10"/>
  <c r="R506" i="10"/>
  <c r="R421" i="10"/>
  <c r="R106" i="10"/>
  <c r="S424" i="10"/>
  <c r="S345" i="10"/>
  <c r="R155" i="10"/>
  <c r="S49" i="10"/>
  <c r="S120" i="10"/>
  <c r="R120" i="10"/>
  <c r="R24" i="10"/>
  <c r="S131" i="10"/>
  <c r="R131" i="10"/>
  <c r="R294" i="10"/>
  <c r="R235" i="10"/>
  <c r="S235" i="10"/>
  <c r="R407" i="10"/>
  <c r="S407" i="10"/>
  <c r="S459" i="10"/>
  <c r="S517" i="10"/>
  <c r="S449" i="10"/>
  <c r="R449" i="10"/>
  <c r="R191" i="10"/>
  <c r="S191" i="10"/>
  <c r="R252" i="10"/>
  <c r="S349" i="10"/>
  <c r="R349" i="10"/>
  <c r="R459" i="10"/>
  <c r="R477" i="10"/>
  <c r="S294" i="10"/>
  <c r="R262" i="10"/>
  <c r="S277" i="10"/>
  <c r="R32" i="10"/>
  <c r="R133" i="10"/>
  <c r="R98" i="10"/>
  <c r="R238" i="10"/>
  <c r="S148" i="10"/>
  <c r="S155" i="10"/>
  <c r="S332" i="10"/>
  <c r="R198" i="10"/>
  <c r="S559" i="10"/>
  <c r="R517" i="10"/>
  <c r="R49" i="10"/>
  <c r="R345" i="10"/>
  <c r="R169" i="10"/>
  <c r="S252" i="10"/>
  <c r="R359" i="10"/>
  <c r="S101" i="10"/>
  <c r="R114" i="10"/>
  <c r="S30" i="10"/>
  <c r="S7" i="10"/>
  <c r="S178" i="10"/>
  <c r="S557" i="10"/>
  <c r="R207" i="10"/>
  <c r="S256" i="10"/>
  <c r="R95" i="10"/>
  <c r="R221" i="10"/>
  <c r="R484" i="10"/>
  <c r="S313" i="10"/>
  <c r="S536" i="10"/>
  <c r="R394" i="10"/>
  <c r="R351" i="10"/>
  <c r="S456" i="10"/>
  <c r="R44" i="10"/>
  <c r="R241" i="10"/>
  <c r="R453" i="10"/>
  <c r="R423" i="10"/>
  <c r="R362" i="10"/>
  <c r="R246" i="10"/>
  <c r="S63" i="10"/>
  <c r="S94" i="10"/>
  <c r="R381" i="10"/>
  <c r="S397" i="10"/>
  <c r="R373" i="10"/>
  <c r="R89" i="10"/>
  <c r="R519" i="10"/>
  <c r="S429" i="10"/>
  <c r="R518" i="10"/>
  <c r="S53" i="10"/>
  <c r="R276" i="10"/>
  <c r="R538" i="10"/>
  <c r="S450" i="10"/>
  <c r="R334" i="10"/>
  <c r="S279" i="10"/>
  <c r="R236" i="10"/>
  <c r="S511" i="10"/>
  <c r="S431" i="10"/>
  <c r="S211" i="10"/>
  <c r="S274" i="10"/>
  <c r="S84" i="10"/>
  <c r="R61" i="10"/>
  <c r="R234" i="10"/>
  <c r="R555" i="10"/>
  <c r="T11" i="10"/>
  <c r="U11" i="10" s="1"/>
  <c r="S302" i="10"/>
  <c r="S177" i="10"/>
  <c r="R540" i="10"/>
  <c r="R363" i="10"/>
  <c r="R307" i="10"/>
  <c r="R224" i="10"/>
  <c r="S414" i="10"/>
  <c r="R311" i="10"/>
  <c r="R83" i="10"/>
  <c r="S23" i="10"/>
  <c r="R261" i="10"/>
  <c r="R464" i="10"/>
  <c r="S194" i="10"/>
  <c r="S70" i="10"/>
  <c r="S409" i="10"/>
  <c r="S22" i="10"/>
  <c r="R406" i="10"/>
  <c r="R132" i="10"/>
  <c r="R30" i="10"/>
  <c r="S214" i="10"/>
  <c r="S143" i="10"/>
  <c r="R327" i="10"/>
  <c r="R499" i="10"/>
  <c r="S473" i="10"/>
  <c r="S315" i="10"/>
  <c r="S282" i="10"/>
  <c r="S137" i="10"/>
  <c r="S160" i="10"/>
  <c r="R178" i="10"/>
  <c r="S395" i="10"/>
  <c r="S528" i="10"/>
  <c r="S423" i="10"/>
  <c r="S355" i="10"/>
  <c r="R302" i="10"/>
  <c r="S270" i="10"/>
  <c r="R63" i="10"/>
  <c r="R216" i="10"/>
  <c r="R150" i="10"/>
  <c r="S221" i="10"/>
  <c r="S461" i="10"/>
  <c r="R194" i="10"/>
  <c r="R308" i="10"/>
  <c r="R344" i="10"/>
  <c r="S451" i="10"/>
  <c r="S518" i="10"/>
  <c r="R488" i="10"/>
  <c r="S95" i="10"/>
  <c r="R212" i="10"/>
  <c r="R53" i="10"/>
  <c r="S276" i="10"/>
  <c r="R214" i="10"/>
  <c r="S538" i="10"/>
  <c r="S296" i="10"/>
  <c r="R456" i="10"/>
  <c r="R143" i="10"/>
  <c r="S374" i="10"/>
  <c r="R318" i="10"/>
  <c r="R279" i="10"/>
  <c r="S236" i="10"/>
  <c r="S156" i="10"/>
  <c r="R336" i="10"/>
  <c r="S74" i="10"/>
  <c r="S241" i="10"/>
  <c r="S64" i="10"/>
  <c r="R357" i="10"/>
  <c r="S539" i="10"/>
  <c r="S445" i="10"/>
  <c r="S363" i="10"/>
  <c r="R383" i="10"/>
  <c r="R274" i="10"/>
  <c r="S187" i="10"/>
  <c r="S224" i="10"/>
  <c r="S144" i="10"/>
  <c r="S480" i="10"/>
  <c r="R493" i="10"/>
  <c r="R448" i="10"/>
  <c r="S247" i="10"/>
  <c r="R149" i="10"/>
  <c r="S172" i="10"/>
  <c r="R40" i="10"/>
  <c r="S273" i="10"/>
  <c r="R417" i="10"/>
  <c r="R495" i="10"/>
  <c r="S375" i="10"/>
  <c r="S362" i="10"/>
  <c r="R179" i="10"/>
  <c r="R136" i="10"/>
  <c r="R226" i="10"/>
  <c r="R520" i="10"/>
  <c r="S505" i="10"/>
  <c r="R396" i="10"/>
  <c r="R557" i="10"/>
  <c r="S406" i="10"/>
  <c r="S351" i="10"/>
  <c r="R199" i="10"/>
  <c r="R267" i="10"/>
  <c r="R81" i="10"/>
  <c r="R281" i="10"/>
  <c r="R392" i="10"/>
  <c r="S42" i="10"/>
  <c r="R368" i="10"/>
  <c r="S158" i="10"/>
  <c r="R341" i="10"/>
  <c r="S114" i="10"/>
  <c r="S542" i="10"/>
  <c r="R504" i="10"/>
  <c r="R454" i="10"/>
  <c r="R103" i="10"/>
  <c r="R59" i="10"/>
  <c r="R52" i="10"/>
  <c r="S260" i="10"/>
  <c r="S483" i="10"/>
  <c r="S328" i="10"/>
  <c r="S540" i="10"/>
  <c r="R402" i="10"/>
  <c r="R195" i="10"/>
  <c r="R91" i="10"/>
  <c r="R51" i="10"/>
  <c r="R97" i="10"/>
  <c r="R269" i="10"/>
  <c r="R7" i="10"/>
  <c r="S136" i="10"/>
  <c r="S520" i="10"/>
  <c r="S59" i="10"/>
  <c r="S51" i="10"/>
  <c r="S442" i="10"/>
  <c r="S310" i="10"/>
  <c r="R88" i="10"/>
  <c r="S19" i="10"/>
  <c r="S28" i="10"/>
  <c r="S242" i="10"/>
  <c r="S265" i="10"/>
  <c r="R237" i="10"/>
  <c r="S457" i="10"/>
  <c r="R530" i="10"/>
  <c r="R532" i="10"/>
  <c r="R71" i="10"/>
  <c r="R324" i="10"/>
  <c r="S476" i="10"/>
  <c r="R86" i="10"/>
  <c r="R264" i="10"/>
  <c r="S309" i="10"/>
  <c r="S404" i="10"/>
  <c r="R27" i="10"/>
  <c r="S45" i="10"/>
  <c r="S460" i="10"/>
  <c r="S428" i="10"/>
  <c r="S438" i="10"/>
  <c r="S255" i="10"/>
  <c r="S119" i="10"/>
  <c r="S31" i="10"/>
  <c r="R134" i="10"/>
  <c r="R146" i="10"/>
  <c r="R541" i="10"/>
  <c r="S499" i="10"/>
  <c r="R458" i="10"/>
  <c r="R473" i="10"/>
  <c r="R378" i="10"/>
  <c r="R315" i="10"/>
  <c r="R211" i="10"/>
  <c r="R250" i="10"/>
  <c r="R137" i="10"/>
  <c r="R160" i="10"/>
  <c r="S320" i="10"/>
  <c r="S470" i="10"/>
  <c r="S350" i="10"/>
  <c r="S287" i="10"/>
  <c r="S205" i="10"/>
  <c r="R389" i="10"/>
  <c r="S25" i="10"/>
  <c r="S388" i="10"/>
  <c r="AG11" i="10"/>
  <c r="AH11" i="10" s="1"/>
  <c r="S203" i="10"/>
  <c r="S314" i="10"/>
  <c r="S278" i="10"/>
  <c r="S55" i="10"/>
  <c r="S41" i="10"/>
  <c r="S121" i="10"/>
  <c r="S245" i="10"/>
  <c r="S464" i="10"/>
  <c r="S373" i="10"/>
  <c r="S468" i="10"/>
  <c r="S89" i="10"/>
  <c r="S488" i="10"/>
  <c r="R371" i="10"/>
  <c r="S132" i="10"/>
  <c r="S257" i="10"/>
  <c r="S284" i="10"/>
  <c r="R201" i="10"/>
  <c r="R230" i="10"/>
  <c r="R523" i="10"/>
  <c r="R147" i="10"/>
  <c r="R472" i="10"/>
  <c r="R159" i="10"/>
  <c r="R395" i="10"/>
  <c r="R172" i="10"/>
  <c r="S108" i="10"/>
  <c r="S10" i="10"/>
  <c r="R28" i="10"/>
  <c r="R242" i="10"/>
  <c r="R428" i="10"/>
  <c r="S146" i="10"/>
  <c r="H82" i="1"/>
  <c r="S274" i="5"/>
  <c r="S205" i="5"/>
  <c r="R481" i="5"/>
  <c r="S422" i="5"/>
  <c r="S52" i="5"/>
  <c r="S287" i="5"/>
  <c r="R115" i="5"/>
  <c r="S288" i="5"/>
  <c r="R374" i="5"/>
  <c r="R33" i="5"/>
  <c r="R470" i="5"/>
  <c r="S397" i="5"/>
  <c r="S366" i="5"/>
  <c r="R306" i="5"/>
  <c r="S229" i="5"/>
  <c r="S479" i="5"/>
  <c r="S214" i="5"/>
  <c r="R509" i="5"/>
  <c r="S408" i="5"/>
  <c r="R434" i="5"/>
  <c r="S19" i="5"/>
  <c r="S216" i="5"/>
  <c r="S204" i="5"/>
  <c r="R347" i="5"/>
  <c r="S504" i="5"/>
  <c r="R416" i="5"/>
  <c r="R461" i="5"/>
  <c r="S515" i="5"/>
  <c r="R363" i="5"/>
  <c r="S160" i="5"/>
  <c r="S240" i="5"/>
  <c r="R117" i="5"/>
  <c r="S273" i="5"/>
  <c r="R305" i="5"/>
  <c r="R194" i="5"/>
  <c r="S437" i="5"/>
  <c r="R22" i="5"/>
  <c r="R189" i="5"/>
  <c r="R9" i="10"/>
  <c r="S9" i="10"/>
  <c r="AH9" i="10"/>
  <c r="AI9" i="10"/>
  <c r="R188" i="5"/>
  <c r="R446" i="5"/>
  <c r="R540" i="5"/>
  <c r="U9" i="10"/>
  <c r="V9" i="10"/>
  <c r="S11" i="10"/>
  <c r="R11" i="10"/>
  <c r="S440" i="5"/>
  <c r="Y9" i="10"/>
  <c r="X9" i="10"/>
  <c r="S95" i="5"/>
  <c r="S30" i="5"/>
  <c r="S498" i="5"/>
  <c r="S203" i="5"/>
  <c r="R107" i="5"/>
  <c r="R89" i="5"/>
  <c r="R73" i="5"/>
  <c r="S147" i="5"/>
  <c r="R37" i="5"/>
  <c r="R281" i="5"/>
  <c r="R530" i="5"/>
  <c r="S492" i="5"/>
  <c r="R355" i="5"/>
  <c r="S266" i="5"/>
  <c r="S193" i="5"/>
  <c r="R65" i="5"/>
  <c r="R346" i="5"/>
  <c r="R483" i="5"/>
  <c r="R146" i="5"/>
  <c r="S519" i="5"/>
  <c r="S190" i="5"/>
  <c r="T11" i="5"/>
  <c r="U11" i="5" s="1"/>
  <c r="R175" i="5"/>
  <c r="S169" i="5"/>
  <c r="R252" i="5"/>
  <c r="R138" i="5"/>
  <c r="R432" i="5"/>
  <c r="S525" i="5"/>
  <c r="S329" i="5"/>
  <c r="R42" i="5"/>
  <c r="R403" i="5"/>
  <c r="R90" i="5"/>
  <c r="R388" i="5"/>
  <c r="S411" i="5"/>
  <c r="S162" i="5"/>
  <c r="S319" i="5"/>
  <c r="R157" i="5"/>
  <c r="S70" i="5"/>
  <c r="S394" i="5"/>
  <c r="S100" i="5"/>
  <c r="R399" i="5"/>
  <c r="S207" i="5"/>
  <c r="R400" i="5"/>
  <c r="S421" i="5"/>
  <c r="R541" i="5"/>
  <c r="R296" i="5"/>
  <c r="R477" i="5"/>
  <c r="S86" i="5"/>
  <c r="S61" i="5"/>
  <c r="S279" i="5"/>
  <c r="R445" i="5"/>
  <c r="R300" i="5"/>
  <c r="R369" i="5"/>
  <c r="S60" i="5"/>
  <c r="R213" i="5"/>
  <c r="R176" i="5"/>
  <c r="R113" i="5"/>
  <c r="S236" i="5"/>
  <c r="R342" i="5"/>
  <c r="S522" i="5"/>
  <c r="R126" i="5"/>
  <c r="S383" i="5"/>
  <c r="S148" i="5"/>
  <c r="R170" i="5"/>
  <c r="S83" i="5"/>
  <c r="R549" i="5"/>
  <c r="R239" i="5"/>
  <c r="R257" i="5"/>
  <c r="S447" i="5"/>
  <c r="R410" i="5"/>
  <c r="R393" i="5"/>
  <c r="R36" i="5"/>
  <c r="R337" i="5"/>
  <c r="R47" i="5"/>
  <c r="S520" i="5"/>
  <c r="S350" i="5"/>
  <c r="S496" i="5"/>
  <c r="S351" i="5"/>
  <c r="S292" i="5"/>
  <c r="R373" i="5"/>
  <c r="S94" i="5"/>
  <c r="S201" i="5"/>
  <c r="R536" i="5"/>
  <c r="S109" i="5"/>
  <c r="S227" i="5"/>
  <c r="S311" i="5"/>
  <c r="R246" i="5"/>
  <c r="S265" i="5"/>
  <c r="R512" i="5"/>
  <c r="R423" i="5"/>
  <c r="S66" i="5"/>
  <c r="R183" i="5"/>
  <c r="S277" i="5"/>
  <c r="S487" i="5"/>
  <c r="S245" i="5"/>
  <c r="S458" i="5"/>
  <c r="R500" i="5"/>
  <c r="S368" i="5"/>
  <c r="R560" i="5"/>
  <c r="R268" i="5"/>
  <c r="R154" i="5"/>
  <c r="R28" i="5"/>
  <c r="S152" i="5"/>
  <c r="S465" i="5"/>
  <c r="S452" i="5"/>
  <c r="R468" i="5"/>
  <c r="S102" i="5"/>
  <c r="S127" i="5"/>
  <c r="S166" i="5"/>
  <c r="S99" i="5"/>
  <c r="R156" i="5"/>
  <c r="S427" i="5"/>
  <c r="S405" i="5"/>
  <c r="R324" i="5"/>
  <c r="S545" i="5"/>
  <c r="R77" i="5"/>
  <c r="R241" i="5"/>
  <c r="S69" i="5"/>
  <c r="R414" i="5"/>
  <c r="S552" i="5"/>
  <c r="R330" i="5"/>
  <c r="S68" i="5"/>
  <c r="R225" i="5"/>
  <c r="R426" i="5"/>
  <c r="S67" i="5"/>
  <c r="S453" i="5"/>
  <c r="R514" i="5"/>
  <c r="S417" i="5"/>
  <c r="R529" i="5"/>
  <c r="S35" i="5"/>
  <c r="R27" i="5"/>
  <c r="R235" i="5"/>
  <c r="R105" i="5"/>
  <c r="S360" i="5"/>
  <c r="R244" i="5"/>
  <c r="R395" i="5"/>
  <c r="S58" i="5"/>
  <c r="R97" i="5"/>
  <c r="S460" i="5"/>
  <c r="R144" i="5"/>
  <c r="S450" i="5"/>
  <c r="S466" i="5"/>
  <c r="R335" i="5"/>
  <c r="S362" i="5"/>
  <c r="S81" i="5"/>
  <c r="R196" i="5"/>
  <c r="S29" i="5"/>
  <c r="R180" i="5"/>
  <c r="S482" i="5"/>
  <c r="S354" i="5"/>
  <c r="R200" i="5"/>
  <c r="S341" i="5"/>
  <c r="S533" i="5"/>
  <c r="S528" i="5"/>
  <c r="S444" i="5"/>
  <c r="W11" i="5"/>
  <c r="X11" i="5" s="1"/>
  <c r="R322" i="5"/>
  <c r="S206" i="5"/>
  <c r="S256" i="5"/>
  <c r="S339" i="5"/>
  <c r="R459" i="5"/>
  <c r="S370" i="5"/>
  <c r="S179" i="5"/>
  <c r="S125" i="5"/>
  <c r="R289" i="5"/>
  <c r="S371" i="5"/>
  <c r="R497" i="5"/>
  <c r="R74" i="5"/>
  <c r="R297" i="5"/>
  <c r="R143" i="5"/>
  <c r="R263" i="5"/>
  <c r="R547" i="5"/>
  <c r="S293" i="5"/>
  <c r="R120" i="5"/>
  <c r="R462" i="5"/>
  <c r="S503" i="5"/>
  <c r="R378" i="5"/>
  <c r="S231" i="5"/>
  <c r="Q11" i="5"/>
  <c r="R11" i="5" s="1"/>
  <c r="R124" i="5"/>
  <c r="R82" i="5"/>
  <c r="R136" i="5"/>
  <c r="R54" i="5"/>
  <c r="S8" i="5"/>
  <c r="R221" i="5"/>
  <c r="R372" i="5"/>
  <c r="R544" i="5"/>
  <c r="R326" i="5"/>
  <c r="S59" i="5"/>
  <c r="S472" i="5"/>
  <c r="R387" i="5"/>
  <c r="S253" i="5"/>
  <c r="S75" i="5"/>
  <c r="R513" i="5"/>
  <c r="S177" i="5"/>
  <c r="R215" i="5"/>
  <c r="R391" i="5"/>
  <c r="S20" i="5"/>
  <c r="R553" i="5"/>
  <c r="R278" i="5"/>
  <c r="S357" i="5"/>
  <c r="R219" i="5"/>
  <c r="R381" i="5"/>
  <c r="S486" i="5"/>
  <c r="R260" i="5"/>
  <c r="R142" i="5"/>
  <c r="S230" i="5"/>
  <c r="R250" i="5"/>
  <c r="S336" i="5"/>
  <c r="S471" i="5"/>
  <c r="R133" i="5"/>
  <c r="R187" i="5"/>
  <c r="R26" i="5"/>
  <c r="S428" i="5"/>
  <c r="S456" i="5"/>
  <c r="R518" i="5"/>
  <c r="S72" i="5"/>
  <c r="S321" i="5"/>
  <c r="R314" i="5"/>
  <c r="S50" i="5"/>
  <c r="R57" i="5"/>
  <c r="R454" i="5"/>
  <c r="R349" i="5"/>
  <c r="S285" i="5"/>
  <c r="R495" i="5"/>
  <c r="S114" i="5"/>
  <c r="R286" i="5"/>
  <c r="R129" i="5"/>
  <c r="S192" i="5"/>
  <c r="R534" i="5"/>
  <c r="R264" i="5"/>
  <c r="R333" i="5"/>
  <c r="R433" i="5"/>
  <c r="R238" i="5"/>
  <c r="R172" i="5"/>
  <c r="S491" i="5"/>
  <c r="R532" i="5"/>
  <c r="R404" i="5"/>
  <c r="R262" i="5"/>
  <c r="S457" i="5"/>
  <c r="S429" i="5"/>
  <c r="R271" i="5"/>
  <c r="R116" i="5"/>
  <c r="R139" i="5"/>
  <c r="R554" i="5"/>
  <c r="R407" i="5"/>
  <c r="R270" i="5"/>
  <c r="S334" i="5"/>
  <c r="R64" i="5"/>
  <c r="R202" i="5"/>
  <c r="R272" i="5"/>
  <c r="S210" i="5"/>
  <c r="R198" i="5"/>
  <c r="R352" i="5"/>
  <c r="R316" i="5"/>
  <c r="S96" i="5"/>
  <c r="S110" i="5"/>
  <c r="R484" i="5"/>
  <c r="S255" i="5"/>
  <c r="S137" i="5"/>
  <c r="S386" i="5"/>
  <c r="R464" i="5"/>
  <c r="R261" i="5"/>
  <c r="S392" i="5"/>
  <c r="R380" i="5"/>
  <c r="S84" i="5"/>
  <c r="S93" i="5"/>
  <c r="S475" i="5"/>
  <c r="R181" i="5"/>
  <c r="S548" i="5"/>
  <c r="S51" i="5"/>
  <c r="R168" i="5"/>
  <c r="S418" i="5"/>
  <c r="S111" i="5"/>
  <c r="S516" i="5"/>
  <c r="S267" i="5"/>
  <c r="S226" i="5"/>
  <c r="S439" i="5"/>
  <c r="S248" i="5"/>
  <c r="R310" i="5"/>
  <c r="S485" i="5"/>
  <c r="R556" i="5"/>
  <c r="S223" i="5"/>
  <c r="S511" i="5"/>
  <c r="S208" i="5"/>
  <c r="S441" i="5"/>
  <c r="S494" i="5"/>
  <c r="R103" i="5"/>
  <c r="R254" i="5"/>
  <c r="S435" i="5"/>
  <c r="R211" i="5"/>
  <c r="R413" i="5"/>
  <c r="S108" i="5"/>
  <c r="S106" i="5"/>
  <c r="R455" i="5"/>
  <c r="R307" i="5"/>
  <c r="R290" i="5"/>
  <c r="R234" i="5"/>
  <c r="R25" i="5"/>
  <c r="R527" i="5"/>
  <c r="R269" i="5"/>
  <c r="R309" i="5"/>
  <c r="R79" i="5"/>
  <c r="R490" i="5"/>
  <c r="S345" i="5"/>
  <c r="R282" i="5"/>
  <c r="R178" i="5"/>
  <c r="R161" i="5"/>
  <c r="R145" i="5"/>
  <c r="S323" i="5"/>
  <c r="S101" i="5"/>
  <c r="S420" i="5"/>
  <c r="R34" i="5"/>
  <c r="S436" i="5"/>
  <c r="S242" i="5"/>
  <c r="S104" i="5"/>
  <c r="S247" i="5"/>
  <c r="R41" i="5"/>
  <c r="R118" i="5"/>
  <c r="S149" i="5"/>
  <c r="R304" i="5"/>
  <c r="S353" i="5"/>
  <c r="R542" i="5"/>
  <c r="R343" i="5"/>
  <c r="R232" i="5"/>
  <c r="S98" i="5"/>
  <c r="R365" i="5"/>
  <c r="R546" i="5"/>
  <c r="S10" i="5"/>
  <c r="R499" i="5"/>
  <c r="R243" i="5"/>
  <c r="S165" i="5"/>
  <c r="S140" i="5"/>
  <c r="R39" i="5"/>
  <c r="R32" i="5"/>
  <c r="S62" i="5"/>
  <c r="R128" i="5"/>
  <c r="R298" i="5"/>
  <c r="S237" i="5"/>
  <c r="S535" i="5"/>
  <c r="R467" i="5"/>
  <c r="R63" i="5"/>
  <c r="R348" i="5"/>
  <c r="S431" i="5"/>
  <c r="S325" i="5"/>
  <c r="S489" i="5"/>
  <c r="S228" i="5"/>
  <c r="S195" i="5"/>
  <c r="R463" i="5"/>
  <c r="S71" i="5"/>
  <c r="R313" i="5"/>
  <c r="R402" i="5"/>
  <c r="S280" i="5"/>
  <c r="R478" i="5"/>
  <c r="R473" i="5"/>
  <c r="R259" i="5"/>
  <c r="S317" i="5"/>
  <c r="R121" i="5"/>
  <c r="R153" i="5"/>
  <c r="R502" i="5"/>
  <c r="R283" i="5"/>
  <c r="R151" i="5"/>
  <c r="R449" i="5"/>
  <c r="S135" i="5"/>
  <c r="R523" i="5"/>
  <c r="S23" i="5"/>
  <c r="R389" i="5"/>
  <c r="S184" i="5"/>
  <c r="S123" i="5"/>
  <c r="S40" i="5"/>
  <c r="S141" i="5"/>
  <c r="S358" i="5"/>
  <c r="S367" i="5"/>
  <c r="S182" i="5"/>
  <c r="R258" i="5"/>
  <c r="R474" i="5"/>
  <c r="S442" i="5"/>
  <c r="R45" i="5"/>
  <c r="S92" i="5"/>
  <c r="S443" i="5"/>
  <c r="S412" i="5"/>
  <c r="R390" i="5"/>
  <c r="S91" i="5"/>
  <c r="R382" i="5"/>
  <c r="R451" i="5"/>
  <c r="S303" i="5"/>
  <c r="R150" i="5"/>
  <c r="S469" i="5"/>
  <c r="R130" i="5"/>
  <c r="S174" i="5"/>
  <c r="R401" i="5"/>
  <c r="S76" i="5"/>
  <c r="R276" i="5"/>
  <c r="S276" i="5"/>
  <c r="R506" i="5"/>
  <c r="S506" i="5"/>
  <c r="R212" i="5"/>
  <c r="S212" i="5"/>
  <c r="S438" i="5"/>
  <c r="R438" i="5"/>
  <c r="R406" i="5"/>
  <c r="S112" i="5"/>
  <c r="S119" i="5"/>
  <c r="R295" i="5"/>
  <c r="S448" i="5"/>
  <c r="S155" i="5"/>
  <c r="S415" i="5"/>
  <c r="R338" i="5"/>
  <c r="S233" i="5"/>
  <c r="S78" i="5"/>
  <c r="R396" i="5"/>
  <c r="S379" i="5"/>
  <c r="R557" i="5"/>
  <c r="S377" i="5"/>
  <c r="R377" i="5"/>
  <c r="S385" i="5"/>
  <c r="R385" i="5"/>
  <c r="R122" i="5"/>
  <c r="S122" i="5"/>
  <c r="R510" i="5"/>
  <c r="S510" i="5"/>
  <c r="R80" i="5"/>
  <c r="S80" i="5"/>
  <c r="S543" i="5"/>
  <c r="R131" i="5"/>
  <c r="S275" i="5"/>
  <c r="R356" i="5"/>
  <c r="R308" i="5"/>
  <c r="R44" i="5"/>
  <c r="S550" i="5"/>
  <c r="S501" i="5"/>
  <c r="R299" i="5"/>
  <c r="S299" i="5"/>
  <c r="R53" i="5"/>
  <c r="S53" i="5"/>
  <c r="S521" i="5"/>
  <c r="R521" i="5"/>
  <c r="R173" i="5"/>
  <c r="S173" i="5"/>
  <c r="R186" i="5"/>
  <c r="S186" i="5"/>
  <c r="R284" i="5"/>
  <c r="S284" i="5"/>
  <c r="S48" i="5"/>
  <c r="R48" i="5"/>
  <c r="R531" i="5"/>
  <c r="S531" i="5"/>
  <c r="S217" i="5"/>
  <c r="R217" i="5"/>
  <c r="R331" i="5"/>
  <c r="S331" i="5"/>
  <c r="S24" i="5"/>
  <c r="R24" i="5"/>
  <c r="S38" i="5"/>
  <c r="R38" i="5"/>
  <c r="S526" i="5"/>
  <c r="R526" i="5"/>
  <c r="R328" i="5"/>
  <c r="S328" i="5"/>
  <c r="R361" i="5"/>
  <c r="S361" i="5"/>
  <c r="R384" i="5"/>
  <c r="S384" i="5"/>
  <c r="R167" i="5"/>
  <c r="S167" i="5"/>
  <c r="R220" i="5"/>
  <c r="S220" i="5"/>
  <c r="R49" i="5"/>
  <c r="S49" i="5"/>
  <c r="S340" i="5"/>
  <c r="R340" i="5"/>
  <c r="R185" i="5"/>
  <c r="S185" i="5"/>
  <c r="R430" i="5"/>
  <c r="S312" i="5"/>
  <c r="S398" i="5"/>
  <c r="R555" i="5"/>
  <c r="S302" i="5"/>
  <c r="S488" i="5"/>
  <c r="R209" i="5"/>
  <c r="R251" i="5"/>
  <c r="R320" i="5"/>
  <c r="R163" i="5"/>
  <c r="S558" i="5"/>
  <c r="R85" i="5"/>
  <c r="R493" i="5"/>
  <c r="R21" i="5"/>
  <c r="R476" i="5"/>
  <c r="R507" i="5"/>
  <c r="S327" i="5"/>
  <c r="R222" i="5"/>
  <c r="R318" i="5"/>
  <c r="S132" i="5"/>
  <c r="R87" i="5"/>
  <c r="R375" i="5"/>
  <c r="S315" i="5"/>
  <c r="S171" i="5"/>
  <c r="S294" i="5"/>
  <c r="S31" i="5"/>
  <c r="S424" i="5"/>
  <c r="R424" i="5"/>
  <c r="R43" i="5"/>
  <c r="S43" i="5"/>
  <c r="R505" i="5"/>
  <c r="S517" i="5"/>
  <c r="S199" i="5"/>
  <c r="S537" i="5"/>
  <c r="R159" i="5"/>
  <c r="S559" i="5"/>
  <c r="R425" i="5"/>
  <c r="S524" i="5"/>
  <c r="S551" i="5"/>
  <c r="R46" i="5"/>
  <c r="S538" i="5"/>
  <c r="S55" i="5"/>
  <c r="S419" i="5"/>
  <c r="S332" i="5"/>
  <c r="R359" i="5"/>
  <c r="R291" i="5"/>
  <c r="R376" i="5"/>
  <c r="S344" i="5"/>
  <c r="R164" i="5"/>
  <c r="S249" i="5"/>
  <c r="R134" i="5"/>
  <c r="R56" i="5"/>
  <c r="S88" i="5"/>
  <c r="S218" i="5"/>
  <c r="S191" i="5"/>
  <c r="S539" i="5"/>
  <c r="S158" i="5"/>
  <c r="R480" i="5"/>
  <c r="R224" i="5"/>
  <c r="R409" i="5"/>
  <c r="R197" i="5"/>
  <c r="R301" i="5"/>
  <c r="R364" i="5"/>
  <c r="B99" i="2"/>
  <c r="B105" i="2" s="1"/>
  <c r="B107" i="2" s="1"/>
  <c r="H33" i="1" s="1"/>
  <c r="B110" i="2" s="1"/>
  <c r="H31" i="1"/>
  <c r="Z17" i="4"/>
  <c r="AA17" i="4" s="1"/>
  <c r="Z130" i="4"/>
  <c r="Z154" i="4"/>
  <c r="Z152" i="4"/>
  <c r="Z120" i="4"/>
  <c r="AA120" i="4" s="1"/>
  <c r="Z155" i="4"/>
  <c r="AA155" i="4" s="1"/>
  <c r="Z46" i="4"/>
  <c r="Z56" i="4"/>
  <c r="Z54" i="4"/>
  <c r="Z139" i="4"/>
  <c r="AA139" i="4" s="1"/>
  <c r="Z16" i="4"/>
  <c r="AA16" i="4" s="1"/>
  <c r="Z62" i="4"/>
  <c r="Z68" i="4"/>
  <c r="AA68" i="4" s="1"/>
  <c r="Z89" i="4"/>
  <c r="AA89" i="4" s="1"/>
  <c r="Z72" i="4"/>
  <c r="AA72" i="4" s="1"/>
  <c r="Z133" i="4"/>
  <c r="Z135" i="4"/>
  <c r="AA135" i="4" s="1"/>
  <c r="Z34" i="4"/>
  <c r="AA34" i="4" s="1"/>
  <c r="Z37" i="4"/>
  <c r="Z150" i="4"/>
  <c r="Z76" i="4"/>
  <c r="AA76" i="4" s="1"/>
  <c r="Z69" i="4"/>
  <c r="Z116" i="4"/>
  <c r="Z10" i="4"/>
  <c r="AA10" i="4" s="1"/>
  <c r="Z41" i="4"/>
  <c r="Z107" i="4"/>
  <c r="AA107" i="4" s="1"/>
  <c r="Z109" i="4"/>
  <c r="AA109" i="4" s="1"/>
  <c r="Z91" i="4"/>
  <c r="Z142" i="4"/>
  <c r="Z87" i="4"/>
  <c r="AA87" i="4" s="1"/>
  <c r="Z29" i="4"/>
  <c r="AA29" i="4" s="1"/>
  <c r="Z95" i="4"/>
  <c r="AA95" i="4" s="1"/>
  <c r="Z99" i="4"/>
  <c r="AA99" i="4" s="1"/>
  <c r="Z55" i="4"/>
  <c r="AA55" i="4" s="1"/>
  <c r="Z57" i="4"/>
  <c r="AA57" i="4" s="1"/>
  <c r="Z25" i="4"/>
  <c r="AA25" i="4" s="1"/>
  <c r="Z105" i="4"/>
  <c r="AA105" i="4" s="1"/>
  <c r="Z104" i="4"/>
  <c r="Z83" i="4"/>
  <c r="AA83" i="4" s="1"/>
  <c r="Z58" i="4"/>
  <c r="AA58" i="4" s="1"/>
  <c r="Z31" i="4"/>
  <c r="AA31" i="4" s="1"/>
  <c r="Z45" i="4"/>
  <c r="AA45" i="4" s="1"/>
  <c r="Z75" i="4"/>
  <c r="Z39" i="4"/>
  <c r="Z79" i="4"/>
  <c r="Z49" i="4"/>
  <c r="Z33" i="4"/>
  <c r="AA33" i="4" s="1"/>
  <c r="X9" i="5"/>
  <c r="Y9" i="5"/>
  <c r="R9" i="5"/>
  <c r="S9" i="5"/>
  <c r="U9" i="5"/>
  <c r="V9" i="5"/>
  <c r="B32" i="5" l="1"/>
  <c r="B32" i="10"/>
  <c r="B191" i="2"/>
  <c r="B51" i="10"/>
  <c r="B51" i="5"/>
  <c r="AO153" i="4"/>
  <c r="AN153" i="4" s="1"/>
  <c r="BN64" i="4"/>
  <c r="AI64" i="4"/>
  <c r="AI156" i="4"/>
  <c r="AI143" i="4"/>
  <c r="AI145" i="4"/>
  <c r="BN52" i="4"/>
  <c r="AI52" i="4"/>
  <c r="AI126" i="4"/>
  <c r="AI91" i="4"/>
  <c r="BN46" i="4"/>
  <c r="AI46" i="4"/>
  <c r="AI81" i="4"/>
  <c r="BN26" i="4"/>
  <c r="AI26" i="4"/>
  <c r="AI124" i="4"/>
  <c r="AI149" i="4"/>
  <c r="AI116" i="4"/>
  <c r="AI123" i="4"/>
  <c r="BN69" i="4"/>
  <c r="AI69" i="4"/>
  <c r="BN41" i="4"/>
  <c r="AI41" i="4"/>
  <c r="AI142" i="4"/>
  <c r="AI150" i="4"/>
  <c r="AI106" i="4"/>
  <c r="BN21" i="4"/>
  <c r="AI21" i="4"/>
  <c r="BN79" i="4"/>
  <c r="AI79" i="4"/>
  <c r="BN48" i="4"/>
  <c r="AI48" i="4"/>
  <c r="AI117" i="4"/>
  <c r="AI104" i="4"/>
  <c r="BN65" i="4"/>
  <c r="AI65" i="4"/>
  <c r="AI130" i="4"/>
  <c r="BN39" i="4"/>
  <c r="AI39" i="4"/>
  <c r="AI97" i="4"/>
  <c r="AI140" i="4"/>
  <c r="AI136" i="4"/>
  <c r="BN54" i="4"/>
  <c r="AI54" i="4"/>
  <c r="BN19" i="4"/>
  <c r="AI19" i="4"/>
  <c r="AI146" i="4"/>
  <c r="AI154" i="4"/>
  <c r="BN47" i="4"/>
  <c r="AI47" i="4"/>
  <c r="AI110" i="4"/>
  <c r="AI118" i="4"/>
  <c r="AI157" i="4"/>
  <c r="BN32" i="4"/>
  <c r="AI32" i="4"/>
  <c r="BN49" i="4"/>
  <c r="AI49" i="4"/>
  <c r="BN24" i="4"/>
  <c r="AI24" i="4"/>
  <c r="AI113" i="4"/>
  <c r="AI137" i="4"/>
  <c r="AI82" i="4"/>
  <c r="AI148" i="4"/>
  <c r="AI90" i="4"/>
  <c r="AI108" i="4"/>
  <c r="BN75" i="4"/>
  <c r="AI75" i="4"/>
  <c r="AI94" i="4"/>
  <c r="BN56" i="4"/>
  <c r="AI56" i="4"/>
  <c r="AI111" i="4"/>
  <c r="BI133" i="4"/>
  <c r="AI133" i="4"/>
  <c r="BN67" i="4"/>
  <c r="AI67" i="4"/>
  <c r="AI112" i="4"/>
  <c r="BN62" i="4"/>
  <c r="AI62" i="4"/>
  <c r="AA62" i="4"/>
  <c r="AB62" i="4" s="1"/>
  <c r="AP62" i="4"/>
  <c r="AO62" i="4" s="1"/>
  <c r="AN62" i="4" s="1"/>
  <c r="BI62" i="4"/>
  <c r="AP112" i="4"/>
  <c r="AO112" i="4" s="1"/>
  <c r="AA112" i="4"/>
  <c r="AB112" i="4" s="1"/>
  <c r="AP67" i="4"/>
  <c r="AO67" i="4" s="1"/>
  <c r="BI8" i="4"/>
  <c r="BI132" i="4"/>
  <c r="BI120" i="4"/>
  <c r="BI30" i="4"/>
  <c r="AA133" i="4"/>
  <c r="AB133" i="4" s="1"/>
  <c r="BI119" i="4"/>
  <c r="BI80" i="4"/>
  <c r="AA67" i="4"/>
  <c r="AB67" i="4" s="1"/>
  <c r="BI42" i="4"/>
  <c r="BI33" i="4"/>
  <c r="BI38" i="4"/>
  <c r="BI107" i="4"/>
  <c r="AP102" i="4"/>
  <c r="AO102" i="4" s="1"/>
  <c r="AN102" i="4" s="1"/>
  <c r="AP133" i="4"/>
  <c r="AP122" i="4"/>
  <c r="AP59" i="4"/>
  <c r="AO59" i="4" s="1"/>
  <c r="AN59" i="4" s="1"/>
  <c r="BN59" i="4"/>
  <c r="AP37" i="4"/>
  <c r="AO37" i="4" s="1"/>
  <c r="AQ37" i="4" s="1"/>
  <c r="AR37" i="4" s="1"/>
  <c r="BN37" i="4"/>
  <c r="BI99" i="4"/>
  <c r="AA37" i="4"/>
  <c r="AB37" i="4" s="1"/>
  <c r="BI67" i="4"/>
  <c r="AA39" i="4"/>
  <c r="BI153" i="4"/>
  <c r="AA59" i="4"/>
  <c r="BI93" i="4"/>
  <c r="BI13" i="4"/>
  <c r="AA41" i="4"/>
  <c r="AB41" i="4" s="1"/>
  <c r="BI43" i="4"/>
  <c r="BI73" i="4"/>
  <c r="BI44" i="4"/>
  <c r="BI138" i="4"/>
  <c r="AA152" i="4"/>
  <c r="AB152" i="4" s="1"/>
  <c r="AP152" i="4"/>
  <c r="BI144" i="4"/>
  <c r="AQ107" i="4"/>
  <c r="AR107" i="4" s="1"/>
  <c r="AS107" i="4" s="1"/>
  <c r="AP56" i="4"/>
  <c r="AO56" i="4" s="1"/>
  <c r="AQ56" i="4" s="1"/>
  <c r="AR56" i="4" s="1"/>
  <c r="AP97" i="4"/>
  <c r="AO97" i="4" s="1"/>
  <c r="BI70" i="4"/>
  <c r="BI29" i="4"/>
  <c r="AA154" i="4"/>
  <c r="AB154" i="4" s="1"/>
  <c r="AP41" i="4"/>
  <c r="AO41" i="4" s="1"/>
  <c r="AP69" i="4"/>
  <c r="AO69" i="4" s="1"/>
  <c r="BI131" i="4"/>
  <c r="BI125" i="4"/>
  <c r="BI40" i="4"/>
  <c r="BI88" i="4"/>
  <c r="BI103" i="4"/>
  <c r="AP150" i="4"/>
  <c r="AP154" i="4"/>
  <c r="AP39" i="4"/>
  <c r="AO39" i="4" s="1"/>
  <c r="AP126" i="4"/>
  <c r="AP91" i="4"/>
  <c r="AO91" i="4" s="1"/>
  <c r="AN91" i="4" s="1"/>
  <c r="AA126" i="4"/>
  <c r="AA150" i="4"/>
  <c r="AB150" i="4" s="1"/>
  <c r="AA56" i="4"/>
  <c r="AB56" i="4" s="1"/>
  <c r="AA97" i="4"/>
  <c r="AB97" i="4" s="1"/>
  <c r="AA111" i="4"/>
  <c r="AP111" i="4"/>
  <c r="AO111" i="4" s="1"/>
  <c r="AQ111" i="4" s="1"/>
  <c r="AR111" i="4" s="1"/>
  <c r="BI14" i="4"/>
  <c r="BI66" i="4"/>
  <c r="BI89" i="4"/>
  <c r="BI76" i="4"/>
  <c r="BI121" i="4"/>
  <c r="BI83" i="4"/>
  <c r="BI22" i="4"/>
  <c r="BI134" i="4"/>
  <c r="BI17" i="4"/>
  <c r="BI155" i="4"/>
  <c r="BI87" i="4"/>
  <c r="BI20" i="4"/>
  <c r="AO61" i="4"/>
  <c r="AO23" i="4"/>
  <c r="AO42" i="4"/>
  <c r="AQ42" i="4" s="1"/>
  <c r="AR42" i="4" s="1"/>
  <c r="BI52" i="4"/>
  <c r="BI108" i="4"/>
  <c r="AA142" i="4"/>
  <c r="AB142" i="4" s="1"/>
  <c r="AA91" i="4"/>
  <c r="AB91" i="4" s="1"/>
  <c r="BI81" i="4"/>
  <c r="BI24" i="4"/>
  <c r="BI113" i="4"/>
  <c r="AO8" i="4"/>
  <c r="AO35" i="4"/>
  <c r="AQ35" i="4" s="1"/>
  <c r="AR35" i="4" s="1"/>
  <c r="AO139" i="4"/>
  <c r="AN139" i="4" s="1"/>
  <c r="AO73" i="4"/>
  <c r="AO30" i="4"/>
  <c r="AO66" i="4"/>
  <c r="AQ66" i="4" s="1"/>
  <c r="AR66" i="4" s="1"/>
  <c r="AO38" i="4"/>
  <c r="AO119" i="4"/>
  <c r="AO125" i="4"/>
  <c r="AQ125" i="4" s="1"/>
  <c r="AR125" i="4" s="1"/>
  <c r="AO131" i="4"/>
  <c r="AO12" i="4"/>
  <c r="AO103" i="4"/>
  <c r="AO115" i="4"/>
  <c r="AQ115" i="4" s="1"/>
  <c r="AR115" i="4" s="1"/>
  <c r="AO70" i="4"/>
  <c r="BI75" i="4"/>
  <c r="BI109" i="4"/>
  <c r="BI141" i="4"/>
  <c r="BI15" i="4"/>
  <c r="BI105" i="4"/>
  <c r="BI36" i="4"/>
  <c r="BI27" i="4"/>
  <c r="BI53" i="4"/>
  <c r="BI106" i="4"/>
  <c r="BI110" i="4"/>
  <c r="BI65" i="4"/>
  <c r="AO121" i="4"/>
  <c r="AO147" i="4"/>
  <c r="AQ147" i="4" s="1"/>
  <c r="AR147" i="4" s="1"/>
  <c r="AO16" i="4"/>
  <c r="AO9" i="4"/>
  <c r="AN9" i="4" s="1"/>
  <c r="AO138" i="4"/>
  <c r="AQ138" i="4" s="1"/>
  <c r="AR138" i="4" s="1"/>
  <c r="AO50" i="4"/>
  <c r="AO127" i="4"/>
  <c r="AO105" i="4"/>
  <c r="AQ105" i="4" s="1"/>
  <c r="AR105" i="4" s="1"/>
  <c r="AO25" i="4"/>
  <c r="AO135" i="4"/>
  <c r="AN135" i="4" s="1"/>
  <c r="AO72" i="4"/>
  <c r="AN72" i="4" s="1"/>
  <c r="AO15" i="4"/>
  <c r="AO34" i="4"/>
  <c r="AO109" i="4"/>
  <c r="AO77" i="4"/>
  <c r="AQ77" i="4" s="1"/>
  <c r="AR77" i="4" s="1"/>
  <c r="AP142" i="4"/>
  <c r="BI39" i="4"/>
  <c r="AO20" i="4"/>
  <c r="AQ20" i="4" s="1"/>
  <c r="AR20" i="4" s="1"/>
  <c r="AO33" i="4"/>
  <c r="AQ33" i="4" s="1"/>
  <c r="AR33" i="4" s="1"/>
  <c r="AO85" i="4"/>
  <c r="AQ85" i="4" s="1"/>
  <c r="AR85" i="4" s="1"/>
  <c r="AO88" i="4"/>
  <c r="BI94" i="4"/>
  <c r="BI102" i="4"/>
  <c r="BI47" i="4"/>
  <c r="BI46" i="4"/>
  <c r="BI146" i="4"/>
  <c r="AO101" i="4"/>
  <c r="AN101" i="4" s="1"/>
  <c r="AO43" i="4"/>
  <c r="AO51" i="4"/>
  <c r="AO29" i="4"/>
  <c r="AO27" i="4"/>
  <c r="AO144" i="4"/>
  <c r="AO31" i="4"/>
  <c r="AO76" i="4"/>
  <c r="AO89" i="4"/>
  <c r="AO84" i="4"/>
  <c r="AN84" i="4" s="1"/>
  <c r="AO11" i="4"/>
  <c r="AQ11" i="4" s="1"/>
  <c r="AR11" i="4" s="1"/>
  <c r="AO93" i="4"/>
  <c r="AO17" i="4"/>
  <c r="AO155" i="4"/>
  <c r="AN155" i="4" s="1"/>
  <c r="AO57" i="4"/>
  <c r="AO13" i="4"/>
  <c r="AQ13" i="4" s="1"/>
  <c r="AR13" i="4" s="1"/>
  <c r="AO141" i="4"/>
  <c r="AO45" i="4"/>
  <c r="AQ45" i="4" s="1"/>
  <c r="AR45" i="4" s="1"/>
  <c r="AO151" i="4"/>
  <c r="BI116" i="4"/>
  <c r="BI56" i="4"/>
  <c r="BI79" i="4"/>
  <c r="BI118" i="4"/>
  <c r="AO58" i="4"/>
  <c r="AO129" i="4"/>
  <c r="AQ129" i="4" s="1"/>
  <c r="AR129" i="4" s="1"/>
  <c r="AO53" i="4"/>
  <c r="AO80" i="4"/>
  <c r="AO55" i="4"/>
  <c r="AN55" i="4" s="1"/>
  <c r="AO63" i="4"/>
  <c r="AA69" i="4"/>
  <c r="AB69" i="4" s="1"/>
  <c r="AA140" i="4"/>
  <c r="AA94" i="4"/>
  <c r="AP140" i="4"/>
  <c r="AP94" i="4"/>
  <c r="AO94" i="4" s="1"/>
  <c r="AA122" i="4"/>
  <c r="AP90" i="4"/>
  <c r="AO90" i="4" s="1"/>
  <c r="AA102" i="4"/>
  <c r="AA130" i="4"/>
  <c r="AB130" i="4" s="1"/>
  <c r="AA108" i="4"/>
  <c r="AB108" i="4" s="1"/>
  <c r="AP75" i="4"/>
  <c r="AO75" i="4" s="1"/>
  <c r="AP130" i="4"/>
  <c r="AP108" i="4"/>
  <c r="AA75" i="4"/>
  <c r="AB75" i="4" s="1"/>
  <c r="AP52" i="4"/>
  <c r="AO52" i="4" s="1"/>
  <c r="AA116" i="4"/>
  <c r="AB116" i="4" s="1"/>
  <c r="AA90" i="4"/>
  <c r="AB90" i="4" s="1"/>
  <c r="AA123" i="4"/>
  <c r="AB123" i="4" s="1"/>
  <c r="AB38" i="4"/>
  <c r="AP123" i="4"/>
  <c r="AP145" i="4"/>
  <c r="AA145" i="4"/>
  <c r="AB145" i="4" s="1"/>
  <c r="AA52" i="4"/>
  <c r="AB52" i="4" s="1"/>
  <c r="AP116" i="4"/>
  <c r="AP124" i="4"/>
  <c r="AP148" i="4"/>
  <c r="AP82" i="4"/>
  <c r="AO82" i="4" s="1"/>
  <c r="AP48" i="4"/>
  <c r="AO48" i="4" s="1"/>
  <c r="AP117" i="4"/>
  <c r="AP156" i="4"/>
  <c r="AP143" i="4"/>
  <c r="AB11" i="4"/>
  <c r="AB35" i="4"/>
  <c r="AB125" i="4"/>
  <c r="AB115" i="4"/>
  <c r="AP32" i="4"/>
  <c r="AO32" i="4" s="1"/>
  <c r="AP157" i="4"/>
  <c r="AP19" i="4"/>
  <c r="AN40" i="4"/>
  <c r="AQ40" i="4"/>
  <c r="AR40" i="4" s="1"/>
  <c r="AO100" i="4"/>
  <c r="AO92" i="4"/>
  <c r="AN36" i="4"/>
  <c r="AQ36" i="4"/>
  <c r="AR36" i="4" s="1"/>
  <c r="AO114" i="4"/>
  <c r="AO134" i="4"/>
  <c r="AQ28" i="4"/>
  <c r="AR28" i="4" s="1"/>
  <c r="AN28" i="4"/>
  <c r="AP81" i="4"/>
  <c r="AP24" i="4"/>
  <c r="AP113" i="4"/>
  <c r="AP137" i="4"/>
  <c r="AP149" i="4"/>
  <c r="AP47" i="4"/>
  <c r="AP46" i="4"/>
  <c r="AP64" i="4"/>
  <c r="AO64" i="4" s="1"/>
  <c r="AP136" i="4"/>
  <c r="AP110" i="4"/>
  <c r="AP104" i="4"/>
  <c r="AP65" i="4"/>
  <c r="AB28" i="4"/>
  <c r="AN18" i="4"/>
  <c r="AQ18" i="4"/>
  <c r="AR18" i="4" s="1"/>
  <c r="AQ99" i="4"/>
  <c r="AR99" i="4" s="1"/>
  <c r="AN99" i="4"/>
  <c r="AO128" i="4"/>
  <c r="AN78" i="4"/>
  <c r="AQ78" i="4"/>
  <c r="AR78" i="4" s="1"/>
  <c r="AN95" i="4"/>
  <c r="AQ95" i="4"/>
  <c r="AR95" i="4" s="1"/>
  <c r="AN14" i="4"/>
  <c r="AQ14" i="4"/>
  <c r="AR14" i="4" s="1"/>
  <c r="AQ120" i="4"/>
  <c r="AR120" i="4" s="1"/>
  <c r="AN120" i="4"/>
  <c r="AO96" i="4"/>
  <c r="AQ10" i="4"/>
  <c r="AR10" i="4" s="1"/>
  <c r="AN10" i="4"/>
  <c r="AQ68" i="4"/>
  <c r="AR68" i="4" s="1"/>
  <c r="AN68" i="4"/>
  <c r="AQ86" i="4"/>
  <c r="AR86" i="4" s="1"/>
  <c r="AN86" i="4"/>
  <c r="AN71" i="4"/>
  <c r="AQ71" i="4"/>
  <c r="AR71" i="4" s="1"/>
  <c r="AQ60" i="4"/>
  <c r="AR60" i="4" s="1"/>
  <c r="AN60" i="4"/>
  <c r="AQ98" i="4"/>
  <c r="AR98" i="4" s="1"/>
  <c r="AN98" i="4"/>
  <c r="AP106" i="4"/>
  <c r="AO106" i="4" s="1"/>
  <c r="AP21" i="4"/>
  <c r="AP49" i="4"/>
  <c r="AP146" i="4"/>
  <c r="AN22" i="4"/>
  <c r="AQ22" i="4"/>
  <c r="AR22" i="4" s="1"/>
  <c r="AN87" i="4"/>
  <c r="AQ87" i="4"/>
  <c r="AR87" i="4" s="1"/>
  <c r="AO44" i="4"/>
  <c r="AO132" i="4"/>
  <c r="AQ83" i="4"/>
  <c r="AR83" i="4" s="1"/>
  <c r="AN83" i="4"/>
  <c r="AN74" i="4"/>
  <c r="AQ74" i="4"/>
  <c r="AR74" i="4" s="1"/>
  <c r="AP79" i="4"/>
  <c r="AO79" i="4" s="1"/>
  <c r="AP26" i="4"/>
  <c r="AO26" i="4" s="1"/>
  <c r="AP118" i="4"/>
  <c r="AP54" i="4"/>
  <c r="AB138" i="4"/>
  <c r="AB103" i="4"/>
  <c r="AB121" i="4"/>
  <c r="AA82" i="4"/>
  <c r="AA124" i="4"/>
  <c r="AA148" i="4"/>
  <c r="AA48" i="4"/>
  <c r="AA117" i="4"/>
  <c r="AA157" i="4"/>
  <c r="AA156" i="4"/>
  <c r="AA143" i="4"/>
  <c r="AB63" i="4"/>
  <c r="AB129" i="4"/>
  <c r="AB18" i="4"/>
  <c r="AB23" i="4"/>
  <c r="AB93" i="4"/>
  <c r="AB101" i="4"/>
  <c r="AB55" i="4"/>
  <c r="AB87" i="4"/>
  <c r="AB45" i="4"/>
  <c r="AB58" i="4"/>
  <c r="AB25" i="4"/>
  <c r="AB95" i="4"/>
  <c r="AB89" i="4"/>
  <c r="AB139" i="4"/>
  <c r="AB155" i="4"/>
  <c r="AB73" i="4"/>
  <c r="AB131" i="4"/>
  <c r="AB36" i="4"/>
  <c r="AB151" i="4"/>
  <c r="AB70" i="4"/>
  <c r="AB12" i="4"/>
  <c r="AB98" i="4"/>
  <c r="AB15" i="4"/>
  <c r="AB100" i="4"/>
  <c r="AB44" i="4"/>
  <c r="AB33" i="4"/>
  <c r="AB31" i="4"/>
  <c r="AB76" i="4"/>
  <c r="AB153" i="4"/>
  <c r="AB14" i="4"/>
  <c r="AB86" i="4"/>
  <c r="AB42" i="4"/>
  <c r="AB85" i="4"/>
  <c r="AB114" i="4"/>
  <c r="AB147" i="4"/>
  <c r="AB80" i="4"/>
  <c r="AB71" i="4"/>
  <c r="AB92" i="4"/>
  <c r="AB105" i="4"/>
  <c r="AB57" i="4"/>
  <c r="AB99" i="4"/>
  <c r="AB29" i="4"/>
  <c r="AB109" i="4"/>
  <c r="AB10" i="4"/>
  <c r="AB135" i="4"/>
  <c r="AB72" i="4"/>
  <c r="AB68" i="4"/>
  <c r="AB16" i="4"/>
  <c r="AB120" i="4"/>
  <c r="AB17" i="4"/>
  <c r="AB78" i="4"/>
  <c r="AB77" i="4"/>
  <c r="AB144" i="4"/>
  <c r="AB119" i="4"/>
  <c r="AB20" i="4"/>
  <c r="AB51" i="4"/>
  <c r="AB61" i="4"/>
  <c r="AB127" i="4"/>
  <c r="AB22" i="4"/>
  <c r="AB83" i="4"/>
  <c r="AB107" i="4"/>
  <c r="AB34" i="4"/>
  <c r="AB27" i="4"/>
  <c r="AB53" i="4"/>
  <c r="AB60" i="4"/>
  <c r="AB74" i="4"/>
  <c r="AB50" i="4"/>
  <c r="AB13" i="4"/>
  <c r="AB84" i="4"/>
  <c r="AB43" i="4"/>
  <c r="AB88" i="4"/>
  <c r="AB132" i="4"/>
  <c r="AB134" i="4"/>
  <c r="AB96" i="4"/>
  <c r="AB40" i="4"/>
  <c r="AB30" i="4"/>
  <c r="AB128" i="4"/>
  <c r="AB66" i="4"/>
  <c r="AA26" i="4"/>
  <c r="AB9" i="4"/>
  <c r="AA32" i="4"/>
  <c r="AA106" i="4"/>
  <c r="AA21" i="4"/>
  <c r="AB141" i="4"/>
  <c r="AA113" i="4"/>
  <c r="AA19" i="4"/>
  <c r="AA54" i="4"/>
  <c r="AA149" i="4"/>
  <c r="AA110" i="4"/>
  <c r="AA49" i="4"/>
  <c r="AA79" i="4"/>
  <c r="AA137" i="4"/>
  <c r="AA104" i="4"/>
  <c r="AA65" i="4"/>
  <c r="AA47" i="4"/>
  <c r="AA46" i="4"/>
  <c r="AA64" i="4"/>
  <c r="AA136" i="4"/>
  <c r="AA81" i="4"/>
  <c r="AA24" i="4"/>
  <c r="AA118" i="4"/>
  <c r="AA146" i="4"/>
  <c r="Y11" i="10"/>
  <c r="AI11" i="10"/>
  <c r="V11" i="10"/>
  <c r="V11" i="5"/>
  <c r="Y11" i="5"/>
  <c r="S11" i="5"/>
  <c r="B106" i="2"/>
  <c r="H32" i="1" s="1"/>
  <c r="B109" i="2" s="1"/>
  <c r="AE7" i="4"/>
  <c r="BX7" i="4" s="1"/>
  <c r="I231" i="2" l="1"/>
  <c r="B31" i="5"/>
  <c r="B31" i="10"/>
  <c r="B192" i="2"/>
  <c r="B195" i="2" s="1"/>
  <c r="Z7" i="5" s="1"/>
  <c r="B52" i="10"/>
  <c r="B53" i="10" s="1"/>
  <c r="B55" i="10" s="1"/>
  <c r="B178" i="2"/>
  <c r="P7" i="5" s="1"/>
  <c r="B228" i="2"/>
  <c r="B267" i="2"/>
  <c r="B52" i="5"/>
  <c r="B53" i="5" s="1"/>
  <c r="B55" i="5" s="1"/>
  <c r="B41" i="10"/>
  <c r="B41" i="5"/>
  <c r="BU7" i="4"/>
  <c r="BU8" i="4"/>
  <c r="B112" i="2"/>
  <c r="K112" i="2" s="1"/>
  <c r="B114" i="2"/>
  <c r="H36" i="1" s="1"/>
  <c r="B113" i="2"/>
  <c r="K113" i="2" s="1"/>
  <c r="BU50" i="4"/>
  <c r="BU22" i="4"/>
  <c r="BU78" i="4"/>
  <c r="BU147" i="4"/>
  <c r="BU151" i="4"/>
  <c r="BU96" i="4"/>
  <c r="BU121" i="4"/>
  <c r="BU142" i="4"/>
  <c r="BU133" i="4"/>
  <c r="BU134" i="4"/>
  <c r="BU74" i="4"/>
  <c r="BU127" i="4"/>
  <c r="BU114" i="4"/>
  <c r="BU36" i="4"/>
  <c r="BU101" i="4"/>
  <c r="BU103" i="4"/>
  <c r="BU115" i="4"/>
  <c r="BU38" i="4"/>
  <c r="BU9" i="4"/>
  <c r="BU132" i="4"/>
  <c r="BU60" i="4"/>
  <c r="BU61" i="4"/>
  <c r="BU120" i="4"/>
  <c r="BU85" i="4"/>
  <c r="BU44" i="4"/>
  <c r="BU131" i="4"/>
  <c r="BU93" i="4"/>
  <c r="BU138" i="4"/>
  <c r="BU125" i="4"/>
  <c r="BU123" i="4"/>
  <c r="BU108" i="4"/>
  <c r="BU62" i="4"/>
  <c r="BU88" i="4"/>
  <c r="BU53" i="4"/>
  <c r="BU51" i="4"/>
  <c r="BU16" i="4"/>
  <c r="BU42" i="4"/>
  <c r="BU100" i="4"/>
  <c r="BU73" i="4"/>
  <c r="BU23" i="4"/>
  <c r="BU35" i="4"/>
  <c r="BU90" i="4"/>
  <c r="BU69" i="4"/>
  <c r="BU66" i="4"/>
  <c r="BU43" i="4"/>
  <c r="BU27" i="4"/>
  <c r="BU20" i="4"/>
  <c r="BU68" i="4"/>
  <c r="BU86" i="4"/>
  <c r="BU15" i="4"/>
  <c r="BU155" i="4"/>
  <c r="BU18" i="4"/>
  <c r="BU11" i="4"/>
  <c r="BU97" i="4"/>
  <c r="BU154" i="4"/>
  <c r="BU152" i="4"/>
  <c r="BU128" i="4"/>
  <c r="BU84" i="4"/>
  <c r="BU119" i="4"/>
  <c r="BU72" i="4"/>
  <c r="BU92" i="4"/>
  <c r="BU14" i="4"/>
  <c r="BU98" i="4"/>
  <c r="BU139" i="4"/>
  <c r="BU129" i="4"/>
  <c r="BU52" i="4"/>
  <c r="BU67" i="4"/>
  <c r="BU141" i="4"/>
  <c r="BU30" i="4"/>
  <c r="BU13" i="4"/>
  <c r="BU107" i="4"/>
  <c r="BU144" i="4"/>
  <c r="BU71" i="4"/>
  <c r="BU153" i="4"/>
  <c r="BU12" i="4"/>
  <c r="BU63" i="4"/>
  <c r="BU145" i="4"/>
  <c r="BU75" i="4"/>
  <c r="BU150" i="4"/>
  <c r="BU112" i="4"/>
  <c r="BU40" i="4"/>
  <c r="BU83" i="4"/>
  <c r="BU77" i="4"/>
  <c r="BU80" i="4"/>
  <c r="BU76" i="4"/>
  <c r="BU70" i="4"/>
  <c r="BU28" i="4"/>
  <c r="AQ153" i="4"/>
  <c r="AR153" i="4" s="1"/>
  <c r="AS153" i="4" s="1"/>
  <c r="AO154" i="4"/>
  <c r="AQ154" i="4" s="1"/>
  <c r="AR154" i="4" s="1"/>
  <c r="AO152" i="4"/>
  <c r="AN152" i="4" s="1"/>
  <c r="AO122" i="4"/>
  <c r="AQ122" i="4" s="1"/>
  <c r="AR122" i="4" s="1"/>
  <c r="AO150" i="4"/>
  <c r="AQ150" i="4" s="1"/>
  <c r="AR150" i="4" s="1"/>
  <c r="AO157" i="4"/>
  <c r="AN157" i="4" s="1"/>
  <c r="AO126" i="4"/>
  <c r="AN126" i="4" s="1"/>
  <c r="AO133" i="4"/>
  <c r="AN133" i="4" s="1"/>
  <c r="AN121" i="4"/>
  <c r="BI112" i="4"/>
  <c r="AQ72" i="4"/>
  <c r="AR72" i="4" s="1"/>
  <c r="AS72" i="4" s="1"/>
  <c r="BI154" i="4"/>
  <c r="AH10" i="4"/>
  <c r="AJ10" i="4" s="1"/>
  <c r="BU10" i="4"/>
  <c r="AH135" i="4"/>
  <c r="BU135" i="4"/>
  <c r="AH99" i="4"/>
  <c r="BU99" i="4"/>
  <c r="AH58" i="4"/>
  <c r="BU58" i="4"/>
  <c r="AH56" i="4"/>
  <c r="BU56" i="4"/>
  <c r="AH41" i="4"/>
  <c r="BU41" i="4"/>
  <c r="AH130" i="4"/>
  <c r="BU130" i="4"/>
  <c r="AH109" i="4"/>
  <c r="BU109" i="4"/>
  <c r="AH105" i="4"/>
  <c r="BU105" i="4"/>
  <c r="AH31" i="4"/>
  <c r="BU31" i="4"/>
  <c r="AH95" i="4"/>
  <c r="BU95" i="4"/>
  <c r="AH87" i="4"/>
  <c r="BU87" i="4"/>
  <c r="AH57" i="4"/>
  <c r="BU57" i="4"/>
  <c r="AH89" i="4"/>
  <c r="BU89" i="4"/>
  <c r="AH45" i="4"/>
  <c r="BU45" i="4"/>
  <c r="AH34" i="4"/>
  <c r="AJ34" i="4" s="1"/>
  <c r="BU34" i="4"/>
  <c r="AH17" i="4"/>
  <c r="AJ17" i="4" s="1"/>
  <c r="BU17" i="4"/>
  <c r="AH29" i="4"/>
  <c r="BU29" i="4"/>
  <c r="AH33" i="4"/>
  <c r="BU33" i="4"/>
  <c r="AH25" i="4"/>
  <c r="BU25" i="4"/>
  <c r="AH55" i="4"/>
  <c r="BU55" i="4"/>
  <c r="AH116" i="4"/>
  <c r="BU116" i="4"/>
  <c r="AH91" i="4"/>
  <c r="BU91" i="4"/>
  <c r="AH37" i="4"/>
  <c r="BU37" i="4"/>
  <c r="AN42" i="4"/>
  <c r="AS42" i="4" s="1"/>
  <c r="AD133" i="4"/>
  <c r="AE133" i="4" s="1"/>
  <c r="BX133" i="4" s="1"/>
  <c r="AH133" i="4"/>
  <c r="AD13" i="4"/>
  <c r="AE13" i="4" s="1"/>
  <c r="BX13" i="4" s="1"/>
  <c r="AH13" i="4"/>
  <c r="AJ13" i="4" s="1"/>
  <c r="AD127" i="4"/>
  <c r="AE127" i="4" s="1"/>
  <c r="BX127" i="4" s="1"/>
  <c r="AH127" i="4"/>
  <c r="AJ127" i="4" s="1"/>
  <c r="AD147" i="4"/>
  <c r="AE147" i="4" s="1"/>
  <c r="BX147" i="4" s="1"/>
  <c r="AH147" i="4"/>
  <c r="AJ147" i="4" s="1"/>
  <c r="AD76" i="4"/>
  <c r="AE76" i="4" s="1"/>
  <c r="BX76" i="4" s="1"/>
  <c r="AH76" i="4"/>
  <c r="AD73" i="4"/>
  <c r="AE73" i="4" s="1"/>
  <c r="BX73" i="4" s="1"/>
  <c r="AH73" i="4"/>
  <c r="AJ73" i="4" s="1"/>
  <c r="AD62" i="4"/>
  <c r="AE62" i="4" s="1"/>
  <c r="BX62" i="4" s="1"/>
  <c r="AH62" i="4"/>
  <c r="AD145" i="4"/>
  <c r="AE145" i="4" s="1"/>
  <c r="BX145" i="4" s="1"/>
  <c r="AH145" i="4"/>
  <c r="AJ145" i="4" s="1"/>
  <c r="AD75" i="4"/>
  <c r="AE75" i="4" s="1"/>
  <c r="BX75" i="4" s="1"/>
  <c r="AH75" i="4"/>
  <c r="AD66" i="4"/>
  <c r="AE66" i="4" s="1"/>
  <c r="BX66" i="4" s="1"/>
  <c r="AH66" i="4"/>
  <c r="AJ66" i="4" s="1"/>
  <c r="AD30" i="4"/>
  <c r="AE30" i="4" s="1"/>
  <c r="BX30" i="4" s="1"/>
  <c r="AH30" i="4"/>
  <c r="AJ30" i="4" s="1"/>
  <c r="AD96" i="4"/>
  <c r="AE96" i="4" s="1"/>
  <c r="BX96" i="4" s="1"/>
  <c r="AH96" i="4"/>
  <c r="AJ96" i="4" s="1"/>
  <c r="AD84" i="4"/>
  <c r="AE84" i="4" s="1"/>
  <c r="BX84" i="4" s="1"/>
  <c r="AH84" i="4"/>
  <c r="AJ84" i="4" s="1"/>
  <c r="AD50" i="4"/>
  <c r="AE50" i="4" s="1"/>
  <c r="BX50" i="4" s="1"/>
  <c r="AH50" i="4"/>
  <c r="AJ50" i="4" s="1"/>
  <c r="AD27" i="4"/>
  <c r="AE27" i="4" s="1"/>
  <c r="BX27" i="4" s="1"/>
  <c r="AH27" i="4"/>
  <c r="AJ27" i="4" s="1"/>
  <c r="AD22" i="4"/>
  <c r="AE22" i="4" s="1"/>
  <c r="BX22" i="4" s="1"/>
  <c r="AH22" i="4"/>
  <c r="AJ22" i="4" s="1"/>
  <c r="AD20" i="4"/>
  <c r="AE20" i="4" s="1"/>
  <c r="BX20" i="4" s="1"/>
  <c r="AH20" i="4"/>
  <c r="AJ20" i="4" s="1"/>
  <c r="AD78" i="4"/>
  <c r="AE78" i="4" s="1"/>
  <c r="BX78" i="4" s="1"/>
  <c r="AH78" i="4"/>
  <c r="AJ78" i="4" s="1"/>
  <c r="AD16" i="4"/>
  <c r="AE16" i="4" s="1"/>
  <c r="BX16" i="4" s="1"/>
  <c r="AH16" i="4"/>
  <c r="AD80" i="4"/>
  <c r="AE80" i="4" s="1"/>
  <c r="BX80" i="4" s="1"/>
  <c r="AH80" i="4"/>
  <c r="AJ80" i="4" s="1"/>
  <c r="AD153" i="4"/>
  <c r="AE153" i="4" s="1"/>
  <c r="BX153" i="4" s="1"/>
  <c r="AH153" i="4"/>
  <c r="AJ153" i="4" s="1"/>
  <c r="AD44" i="4"/>
  <c r="AE44" i="4" s="1"/>
  <c r="BX44" i="4" s="1"/>
  <c r="AH44" i="4"/>
  <c r="AJ44" i="4" s="1"/>
  <c r="AD12" i="4"/>
  <c r="AE12" i="4" s="1"/>
  <c r="BX12" i="4" s="1"/>
  <c r="AH12" i="4"/>
  <c r="AJ12" i="4" s="1"/>
  <c r="AD131" i="4"/>
  <c r="AE131" i="4" s="1"/>
  <c r="BX131" i="4" s="1"/>
  <c r="AH131" i="4"/>
  <c r="AJ131" i="4" s="1"/>
  <c r="AD139" i="4"/>
  <c r="AE139" i="4" s="1"/>
  <c r="BX139" i="4" s="1"/>
  <c r="AH139" i="4"/>
  <c r="AJ139" i="4" s="1"/>
  <c r="AD93" i="4"/>
  <c r="AE93" i="4" s="1"/>
  <c r="BX93" i="4" s="1"/>
  <c r="AH93" i="4"/>
  <c r="AJ93" i="4" s="1"/>
  <c r="AD23" i="4"/>
  <c r="AE23" i="4" s="1"/>
  <c r="BX23" i="4" s="1"/>
  <c r="AH23" i="4"/>
  <c r="AJ23" i="4" s="1"/>
  <c r="AD121" i="4"/>
  <c r="AE121" i="4" s="1"/>
  <c r="BX121" i="4" s="1"/>
  <c r="AH121" i="4"/>
  <c r="AJ121" i="4" s="1"/>
  <c r="AD52" i="4"/>
  <c r="AE52" i="4" s="1"/>
  <c r="BX52" i="4" s="1"/>
  <c r="AH52" i="4"/>
  <c r="AD38" i="4"/>
  <c r="AE38" i="4" s="1"/>
  <c r="BX38" i="4" s="1"/>
  <c r="AH38" i="4"/>
  <c r="AJ38" i="4" s="1"/>
  <c r="AD97" i="4"/>
  <c r="AE97" i="4" s="1"/>
  <c r="BX97" i="4" s="1"/>
  <c r="AH97" i="4"/>
  <c r="AD132" i="4"/>
  <c r="AE132" i="4" s="1"/>
  <c r="BX132" i="4" s="1"/>
  <c r="AH132" i="4"/>
  <c r="AJ132" i="4" s="1"/>
  <c r="AD74" i="4"/>
  <c r="AE74" i="4" s="1"/>
  <c r="BX74" i="4" s="1"/>
  <c r="AH74" i="4"/>
  <c r="AJ74" i="4" s="1"/>
  <c r="AD100" i="4"/>
  <c r="AE100" i="4" s="1"/>
  <c r="BX100" i="4" s="1"/>
  <c r="AH100" i="4"/>
  <c r="AJ100" i="4" s="1"/>
  <c r="AD18" i="4"/>
  <c r="AE18" i="4" s="1"/>
  <c r="BX18" i="4" s="1"/>
  <c r="AH18" i="4"/>
  <c r="AJ18" i="4" s="1"/>
  <c r="AD69" i="4"/>
  <c r="AE69" i="4" s="1"/>
  <c r="BX69" i="4" s="1"/>
  <c r="AH69" i="4"/>
  <c r="AD141" i="4"/>
  <c r="AE141" i="4" s="1"/>
  <c r="BX141" i="4" s="1"/>
  <c r="AH141" i="4"/>
  <c r="AJ141" i="4" s="1"/>
  <c r="AD128" i="4"/>
  <c r="AE128" i="4" s="1"/>
  <c r="BX128" i="4" s="1"/>
  <c r="AH128" i="4"/>
  <c r="AJ128" i="4" s="1"/>
  <c r="AD40" i="4"/>
  <c r="AE40" i="4" s="1"/>
  <c r="BX40" i="4" s="1"/>
  <c r="AH40" i="4"/>
  <c r="AJ40" i="4" s="1"/>
  <c r="AD88" i="4"/>
  <c r="AE88" i="4" s="1"/>
  <c r="BX88" i="4" s="1"/>
  <c r="AH88" i="4"/>
  <c r="AJ88" i="4" s="1"/>
  <c r="AD67" i="4"/>
  <c r="AE67" i="4" s="1"/>
  <c r="BX67" i="4" s="1"/>
  <c r="AH67" i="4"/>
  <c r="AJ67" i="4" s="1"/>
  <c r="AD60" i="4"/>
  <c r="AE60" i="4" s="1"/>
  <c r="BX60" i="4" s="1"/>
  <c r="AH60" i="4"/>
  <c r="AJ60" i="4" s="1"/>
  <c r="AD107" i="4"/>
  <c r="AE107" i="4" s="1"/>
  <c r="BX107" i="4" s="1"/>
  <c r="AH107" i="4"/>
  <c r="AD61" i="4"/>
  <c r="AE61" i="4" s="1"/>
  <c r="BX61" i="4" s="1"/>
  <c r="AH61" i="4"/>
  <c r="AJ61" i="4" s="1"/>
  <c r="AD144" i="4"/>
  <c r="AE144" i="4" s="1"/>
  <c r="BX144" i="4" s="1"/>
  <c r="AH144" i="4"/>
  <c r="AJ144" i="4" s="1"/>
  <c r="AD72" i="4"/>
  <c r="AE72" i="4" s="1"/>
  <c r="BX72" i="4" s="1"/>
  <c r="AH72" i="4"/>
  <c r="AD92" i="4"/>
  <c r="AE92" i="4" s="1"/>
  <c r="BX92" i="4" s="1"/>
  <c r="AH92" i="4"/>
  <c r="AJ92" i="4" s="1"/>
  <c r="AD114" i="4"/>
  <c r="AE114" i="4" s="1"/>
  <c r="BX114" i="4" s="1"/>
  <c r="AH114" i="4"/>
  <c r="AJ114" i="4" s="1"/>
  <c r="AD86" i="4"/>
  <c r="AE86" i="4" s="1"/>
  <c r="BX86" i="4" s="1"/>
  <c r="AH86" i="4"/>
  <c r="AJ86" i="4" s="1"/>
  <c r="AD15" i="4"/>
  <c r="AE15" i="4" s="1"/>
  <c r="BX15" i="4" s="1"/>
  <c r="AH15" i="4"/>
  <c r="AJ15" i="4" s="1"/>
  <c r="AD151" i="4"/>
  <c r="AE151" i="4" s="1"/>
  <c r="BX151" i="4" s="1"/>
  <c r="AH151" i="4"/>
  <c r="AJ151" i="4" s="1"/>
  <c r="AD155" i="4"/>
  <c r="AE155" i="4" s="1"/>
  <c r="BX155" i="4" s="1"/>
  <c r="AH155" i="4"/>
  <c r="AD101" i="4"/>
  <c r="AE101" i="4" s="1"/>
  <c r="BX101" i="4" s="1"/>
  <c r="AH101" i="4"/>
  <c r="AJ101" i="4" s="1"/>
  <c r="AD129" i="4"/>
  <c r="AE129" i="4" s="1"/>
  <c r="BX129" i="4" s="1"/>
  <c r="AH129" i="4"/>
  <c r="AJ129" i="4" s="1"/>
  <c r="AD103" i="4"/>
  <c r="AE103" i="4" s="1"/>
  <c r="BX103" i="4" s="1"/>
  <c r="AH103" i="4"/>
  <c r="AJ103" i="4" s="1"/>
  <c r="AD138" i="4"/>
  <c r="AE138" i="4" s="1"/>
  <c r="BX138" i="4" s="1"/>
  <c r="AH138" i="4"/>
  <c r="AJ138" i="4" s="1"/>
  <c r="AQ91" i="4"/>
  <c r="AR91" i="4" s="1"/>
  <c r="AS91" i="4" s="1"/>
  <c r="AD28" i="4"/>
  <c r="AE28" i="4" s="1"/>
  <c r="BX28" i="4" s="1"/>
  <c r="AH28" i="4"/>
  <c r="AJ28" i="4" s="1"/>
  <c r="AQ102" i="4"/>
  <c r="AR102" i="4" s="1"/>
  <c r="AS102" i="4" s="1"/>
  <c r="AD115" i="4"/>
  <c r="AE115" i="4" s="1"/>
  <c r="BX115" i="4" s="1"/>
  <c r="AH115" i="4"/>
  <c r="AJ115" i="4" s="1"/>
  <c r="AD35" i="4"/>
  <c r="AE35" i="4" s="1"/>
  <c r="BX35" i="4" s="1"/>
  <c r="AH35" i="4"/>
  <c r="AJ35" i="4" s="1"/>
  <c r="AD90" i="4"/>
  <c r="AE90" i="4" s="1"/>
  <c r="BX90" i="4" s="1"/>
  <c r="AH90" i="4"/>
  <c r="AD150" i="4"/>
  <c r="AE150" i="4" s="1"/>
  <c r="BX150" i="4" s="1"/>
  <c r="AH150" i="4"/>
  <c r="AD154" i="4"/>
  <c r="AE154" i="4" s="1"/>
  <c r="BX154" i="4" s="1"/>
  <c r="AH154" i="4"/>
  <c r="AJ154" i="4" s="1"/>
  <c r="AD152" i="4"/>
  <c r="AE152" i="4" s="1"/>
  <c r="BX152" i="4" s="1"/>
  <c r="AH152" i="4"/>
  <c r="AD134" i="4"/>
  <c r="AE134" i="4" s="1"/>
  <c r="BX134" i="4" s="1"/>
  <c r="AH134" i="4"/>
  <c r="AJ134" i="4" s="1"/>
  <c r="AD119" i="4"/>
  <c r="AE119" i="4" s="1"/>
  <c r="BX119" i="4" s="1"/>
  <c r="AH119" i="4"/>
  <c r="AJ119" i="4" s="1"/>
  <c r="AD68" i="4"/>
  <c r="AE68" i="4" s="1"/>
  <c r="BX68" i="4" s="1"/>
  <c r="AH68" i="4"/>
  <c r="AJ68" i="4" s="1"/>
  <c r="AD42" i="4"/>
  <c r="AE42" i="4" s="1"/>
  <c r="BX42" i="4" s="1"/>
  <c r="AH42" i="4"/>
  <c r="AJ42" i="4" s="1"/>
  <c r="AD70" i="4"/>
  <c r="AE70" i="4" s="1"/>
  <c r="BX70" i="4" s="1"/>
  <c r="AH70" i="4"/>
  <c r="AJ70" i="4" s="1"/>
  <c r="AD112" i="4"/>
  <c r="AE112" i="4" s="1"/>
  <c r="BX112" i="4" s="1"/>
  <c r="AH112" i="4"/>
  <c r="AJ112" i="4" s="1"/>
  <c r="AD123" i="4"/>
  <c r="AE123" i="4" s="1"/>
  <c r="BX123" i="4" s="1"/>
  <c r="AH123" i="4"/>
  <c r="AD108" i="4"/>
  <c r="AE108" i="4" s="1"/>
  <c r="BX108" i="4" s="1"/>
  <c r="AH108" i="4"/>
  <c r="AD142" i="4"/>
  <c r="AE142" i="4" s="1"/>
  <c r="BX142" i="4" s="1"/>
  <c r="AH142" i="4"/>
  <c r="AD9" i="4"/>
  <c r="AE9" i="4" s="1"/>
  <c r="BX9" i="4" s="1"/>
  <c r="AH9" i="4"/>
  <c r="AJ9" i="4" s="1"/>
  <c r="AD43" i="4"/>
  <c r="AE43" i="4" s="1"/>
  <c r="BX43" i="4" s="1"/>
  <c r="AH43" i="4"/>
  <c r="AJ43" i="4" s="1"/>
  <c r="AD8" i="4"/>
  <c r="AE8" i="4" s="1"/>
  <c r="AJ8" i="4"/>
  <c r="AD53" i="4"/>
  <c r="AE53" i="4" s="1"/>
  <c r="BX53" i="4" s="1"/>
  <c r="AH53" i="4"/>
  <c r="AJ53" i="4" s="1"/>
  <c r="AD83" i="4"/>
  <c r="AE83" i="4" s="1"/>
  <c r="BX83" i="4" s="1"/>
  <c r="AH83" i="4"/>
  <c r="AD51" i="4"/>
  <c r="AE51" i="4" s="1"/>
  <c r="BX51" i="4" s="1"/>
  <c r="AH51" i="4"/>
  <c r="AJ51" i="4" s="1"/>
  <c r="AD77" i="4"/>
  <c r="AE77" i="4" s="1"/>
  <c r="BX77" i="4" s="1"/>
  <c r="AH77" i="4"/>
  <c r="AJ77" i="4" s="1"/>
  <c r="AD120" i="4"/>
  <c r="AE120" i="4" s="1"/>
  <c r="BX120" i="4" s="1"/>
  <c r="AH120" i="4"/>
  <c r="AD71" i="4"/>
  <c r="AE71" i="4" s="1"/>
  <c r="BX71" i="4" s="1"/>
  <c r="AH71" i="4"/>
  <c r="AJ71" i="4" s="1"/>
  <c r="AD85" i="4"/>
  <c r="AE85" i="4" s="1"/>
  <c r="BX85" i="4" s="1"/>
  <c r="AH85" i="4"/>
  <c r="AJ85" i="4" s="1"/>
  <c r="AD14" i="4"/>
  <c r="AE14" i="4" s="1"/>
  <c r="BX14" i="4" s="1"/>
  <c r="AH14" i="4"/>
  <c r="AJ14" i="4" s="1"/>
  <c r="AD98" i="4"/>
  <c r="AE98" i="4" s="1"/>
  <c r="BX98" i="4" s="1"/>
  <c r="AH98" i="4"/>
  <c r="AJ98" i="4" s="1"/>
  <c r="AD36" i="4"/>
  <c r="AE36" i="4" s="1"/>
  <c r="BX36" i="4" s="1"/>
  <c r="AH36" i="4"/>
  <c r="AJ36" i="4" s="1"/>
  <c r="AD63" i="4"/>
  <c r="AE63" i="4" s="1"/>
  <c r="BX63" i="4" s="1"/>
  <c r="AH63" i="4"/>
  <c r="AJ63" i="4" s="1"/>
  <c r="AD125" i="4"/>
  <c r="AE125" i="4" s="1"/>
  <c r="BX125" i="4" s="1"/>
  <c r="AH125" i="4"/>
  <c r="AJ125" i="4" s="1"/>
  <c r="AD11" i="4"/>
  <c r="AE11" i="4" s="1"/>
  <c r="BX11" i="4" s="1"/>
  <c r="AH11" i="4"/>
  <c r="AJ11" i="4" s="1"/>
  <c r="AN105" i="4"/>
  <c r="AS105" i="4" s="1"/>
  <c r="BI130" i="4"/>
  <c r="AN85" i="4"/>
  <c r="AS85" i="4" s="1"/>
  <c r="AQ155" i="4"/>
  <c r="AQ121" i="4"/>
  <c r="AR121" i="4" s="1"/>
  <c r="BI21" i="4"/>
  <c r="BI157" i="4"/>
  <c r="AB140" i="4"/>
  <c r="BU140" i="4" s="1"/>
  <c r="AN56" i="4"/>
  <c r="AS56" i="4" s="1"/>
  <c r="BI145" i="4"/>
  <c r="AQ9" i="4"/>
  <c r="AR9" i="4" s="1"/>
  <c r="AS9" i="4" s="1"/>
  <c r="AN66" i="4"/>
  <c r="AS66" i="4" s="1"/>
  <c r="BI54" i="4"/>
  <c r="AN35" i="4"/>
  <c r="AS35" i="4" s="1"/>
  <c r="BI152" i="4"/>
  <c r="AB39" i="4"/>
  <c r="BU39" i="4" s="1"/>
  <c r="BI19" i="4"/>
  <c r="AQ17" i="4"/>
  <c r="AR17" i="4" s="1"/>
  <c r="AQ50" i="4"/>
  <c r="AR50" i="4" s="1"/>
  <c r="AQ89" i="4"/>
  <c r="AR89" i="4" s="1"/>
  <c r="BI149" i="4"/>
  <c r="AN27" i="4"/>
  <c r="AN109" i="4"/>
  <c r="AB59" i="4"/>
  <c r="BU59" i="4" s="1"/>
  <c r="AN89" i="4"/>
  <c r="AN141" i="4"/>
  <c r="AQ94" i="4"/>
  <c r="AR94" i="4" s="1"/>
  <c r="BI49" i="4"/>
  <c r="BQ8" i="4"/>
  <c r="AN50" i="4"/>
  <c r="AN16" i="4"/>
  <c r="AN20" i="4"/>
  <c r="AS20" i="4" s="1"/>
  <c r="AQ93" i="4"/>
  <c r="AR93" i="4" s="1"/>
  <c r="BI41" i="4"/>
  <c r="BI37" i="4"/>
  <c r="BI59" i="4"/>
  <c r="AN12" i="4"/>
  <c r="AN13" i="4"/>
  <c r="AS13" i="4" s="1"/>
  <c r="AQ101" i="4"/>
  <c r="AR101" i="4" s="1"/>
  <c r="AS101" i="4" s="1"/>
  <c r="AQ62" i="4"/>
  <c r="AR62" i="4" s="1"/>
  <c r="AS62" i="4" s="1"/>
  <c r="AQ76" i="4"/>
  <c r="AR76" i="4" s="1"/>
  <c r="AN30" i="4"/>
  <c r="AN80" i="4"/>
  <c r="AN61" i="4"/>
  <c r="AN151" i="4"/>
  <c r="AQ141" i="4"/>
  <c r="AR141" i="4" s="1"/>
  <c r="AQ27" i="4"/>
  <c r="AR27" i="4" s="1"/>
  <c r="BI69" i="4"/>
  <c r="BI32" i="4"/>
  <c r="BI137" i="4"/>
  <c r="AQ109" i="4"/>
  <c r="AR109" i="4" s="1"/>
  <c r="AQ12" i="4"/>
  <c r="AR12" i="4" s="1"/>
  <c r="AQ16" i="4"/>
  <c r="AR16" i="4" s="1"/>
  <c r="AN17" i="4"/>
  <c r="AN76" i="4"/>
  <c r="AQ30" i="4"/>
  <c r="AR30" i="4" s="1"/>
  <c r="AQ80" i="4"/>
  <c r="AR80" i="4" s="1"/>
  <c r="AQ61" i="4"/>
  <c r="AR61" i="4" s="1"/>
  <c r="AQ151" i="4"/>
  <c r="AR151" i="4" s="1"/>
  <c r="AN93" i="4"/>
  <c r="AN39" i="4"/>
  <c r="AQ39" i="4"/>
  <c r="AR39" i="4" s="1"/>
  <c r="AN69" i="4"/>
  <c r="AQ69" i="4"/>
  <c r="AR69" i="4" s="1"/>
  <c r="AN75" i="4"/>
  <c r="AN88" i="4"/>
  <c r="AQ73" i="4"/>
  <c r="AR73" i="4" s="1"/>
  <c r="AN125" i="4"/>
  <c r="AS125" i="4" s="1"/>
  <c r="AN138" i="4"/>
  <c r="AS138" i="4" s="1"/>
  <c r="AN115" i="4"/>
  <c r="AS115" i="4" s="1"/>
  <c r="AQ57" i="4"/>
  <c r="AR57" i="4" s="1"/>
  <c r="AN111" i="4"/>
  <c r="AS111" i="4" s="1"/>
  <c r="AN11" i="4"/>
  <c r="AS11" i="4" s="1"/>
  <c r="AN94" i="4"/>
  <c r="AQ63" i="4"/>
  <c r="AR63" i="4" s="1"/>
  <c r="AN53" i="4"/>
  <c r="AN45" i="4"/>
  <c r="AS45" i="4" s="1"/>
  <c r="AN29" i="4"/>
  <c r="AN34" i="4"/>
  <c r="AQ70" i="4"/>
  <c r="AR70" i="4" s="1"/>
  <c r="AQ131" i="4"/>
  <c r="AQ139" i="4"/>
  <c r="AR139" i="4" s="1"/>
  <c r="AS139" i="4" s="1"/>
  <c r="AQ52" i="4"/>
  <c r="AR52" i="4" s="1"/>
  <c r="AN15" i="4"/>
  <c r="AN147" i="4"/>
  <c r="AS147" i="4" s="1"/>
  <c r="AQ88" i="4"/>
  <c r="AR88" i="4" s="1"/>
  <c r="AN129" i="4"/>
  <c r="AS129" i="4" s="1"/>
  <c r="AQ55" i="4"/>
  <c r="AR55" i="4" s="1"/>
  <c r="AS55" i="4" s="1"/>
  <c r="AN31" i="4"/>
  <c r="AQ51" i="4"/>
  <c r="AR51" i="4" s="1"/>
  <c r="AN58" i="4"/>
  <c r="AQ84" i="4"/>
  <c r="AR84" i="4" s="1"/>
  <c r="AS84" i="4" s="1"/>
  <c r="AQ144" i="4"/>
  <c r="AR144" i="4" s="1"/>
  <c r="AQ43" i="4"/>
  <c r="AR43" i="4" s="1"/>
  <c r="AN77" i="4"/>
  <c r="AS77" i="4" s="1"/>
  <c r="AN103" i="4"/>
  <c r="AN119" i="4"/>
  <c r="AN37" i="4"/>
  <c r="AS37" i="4" s="1"/>
  <c r="AN25" i="4"/>
  <c r="AQ38" i="4"/>
  <c r="AR38" i="4" s="1"/>
  <c r="AQ25" i="4"/>
  <c r="AR25" i="4" s="1"/>
  <c r="AN57" i="4"/>
  <c r="AN38" i="4"/>
  <c r="AQ31" i="4"/>
  <c r="AR31" i="4" s="1"/>
  <c r="AN51" i="4"/>
  <c r="AQ82" i="4"/>
  <c r="AR82" i="4" s="1"/>
  <c r="AN90" i="4"/>
  <c r="AN33" i="4"/>
  <c r="AS33" i="4" s="1"/>
  <c r="AQ135" i="4"/>
  <c r="AR135" i="4" s="1"/>
  <c r="AS135" i="4" s="1"/>
  <c r="AN127" i="4"/>
  <c r="AN67" i="4"/>
  <c r="AQ41" i="4"/>
  <c r="AR41" i="4" s="1"/>
  <c r="AQ59" i="4"/>
  <c r="AR59" i="4" s="1"/>
  <c r="AS59" i="4" s="1"/>
  <c r="AQ8" i="4"/>
  <c r="AR8" i="4" s="1"/>
  <c r="AQ23" i="4"/>
  <c r="AR23" i="4" s="1"/>
  <c r="AQ97" i="4"/>
  <c r="AR97" i="4" s="1"/>
  <c r="AN97" i="4"/>
  <c r="AN23" i="4"/>
  <c r="AQ67" i="4"/>
  <c r="AR67" i="4" s="1"/>
  <c r="AN43" i="4"/>
  <c r="AO116" i="4"/>
  <c r="AQ127" i="4"/>
  <c r="AQ58" i="4"/>
  <c r="AR58" i="4" s="1"/>
  <c r="AN144" i="4"/>
  <c r="AQ29" i="4"/>
  <c r="AR29" i="4" s="1"/>
  <c r="BI104" i="4"/>
  <c r="BI64" i="4"/>
  <c r="BI111" i="4"/>
  <c r="AB126" i="4"/>
  <c r="BU126" i="4" s="1"/>
  <c r="AO130" i="4"/>
  <c r="AN130" i="4" s="1"/>
  <c r="BI136" i="4"/>
  <c r="AN41" i="4"/>
  <c r="AB102" i="4"/>
  <c r="BU102" i="4" s="1"/>
  <c r="AB111" i="4"/>
  <c r="BU111" i="4" s="1"/>
  <c r="AQ119" i="4"/>
  <c r="AR119" i="4" s="1"/>
  <c r="AQ15" i="4"/>
  <c r="AR15" i="4" s="1"/>
  <c r="AN63" i="4"/>
  <c r="AN73" i="4"/>
  <c r="AQ53" i="4"/>
  <c r="AR53" i="4" s="1"/>
  <c r="BI26" i="4"/>
  <c r="AN8" i="4"/>
  <c r="BI123" i="4"/>
  <c r="AO110" i="4"/>
  <c r="AB122" i="4"/>
  <c r="BU122" i="4" s="1"/>
  <c r="AO21" i="4"/>
  <c r="AN70" i="4"/>
  <c r="AQ103" i="4"/>
  <c r="AR103" i="4" s="1"/>
  <c r="AQ34" i="4"/>
  <c r="AR34" i="4" s="1"/>
  <c r="AO137" i="4"/>
  <c r="AO19" i="4"/>
  <c r="AN19" i="4" s="1"/>
  <c r="AO156" i="4"/>
  <c r="AO148" i="4"/>
  <c r="AQ148" i="4" s="1"/>
  <c r="AR148" i="4" s="1"/>
  <c r="BI97" i="4"/>
  <c r="BI126" i="4"/>
  <c r="BI142" i="4"/>
  <c r="AO113" i="4"/>
  <c r="AN131" i="4"/>
  <c r="AO146" i="4"/>
  <c r="AO136" i="4"/>
  <c r="AQ136" i="4" s="1"/>
  <c r="AR136" i="4" s="1"/>
  <c r="AO24" i="4"/>
  <c r="AO143" i="4"/>
  <c r="AO117" i="4"/>
  <c r="AQ117" i="4" s="1"/>
  <c r="AR117" i="4" s="1"/>
  <c r="AO124" i="4"/>
  <c r="AO145" i="4"/>
  <c r="AO108" i="4"/>
  <c r="BI90" i="4"/>
  <c r="BI91" i="4"/>
  <c r="BI150" i="4"/>
  <c r="BI122" i="4"/>
  <c r="AO142" i="4"/>
  <c r="AO54" i="4"/>
  <c r="AO49" i="4"/>
  <c r="AN49" i="4" s="1"/>
  <c r="AO65" i="4"/>
  <c r="AO149" i="4"/>
  <c r="AO81" i="4"/>
  <c r="AQ81" i="4" s="1"/>
  <c r="AR81" i="4" s="1"/>
  <c r="AO123" i="4"/>
  <c r="AO140" i="4"/>
  <c r="BI140" i="4"/>
  <c r="AB94" i="4"/>
  <c r="BU94" i="4" s="1"/>
  <c r="AQ90" i="4"/>
  <c r="AR90" i="4" s="1"/>
  <c r="AN52" i="4"/>
  <c r="BI156" i="4"/>
  <c r="BI48" i="4"/>
  <c r="BI148" i="4"/>
  <c r="AQ75" i="4"/>
  <c r="AR75" i="4" s="1"/>
  <c r="BI143" i="4"/>
  <c r="BI117" i="4"/>
  <c r="BI82" i="4"/>
  <c r="BI124" i="4"/>
  <c r="AN82" i="4"/>
  <c r="AS83" i="4"/>
  <c r="AS99" i="4"/>
  <c r="AS40" i="4"/>
  <c r="AS87" i="4"/>
  <c r="AS98" i="4"/>
  <c r="AS86" i="4"/>
  <c r="AS68" i="4"/>
  <c r="AS10" i="4"/>
  <c r="AS14" i="4"/>
  <c r="AS120" i="4"/>
  <c r="AS28" i="4"/>
  <c r="AS71" i="4"/>
  <c r="AS95" i="4"/>
  <c r="AS78" i="4"/>
  <c r="AS36" i="4"/>
  <c r="AS74" i="4"/>
  <c r="AS22" i="4"/>
  <c r="AS60" i="4"/>
  <c r="AS18" i="4"/>
  <c r="AQ32" i="4"/>
  <c r="AR32" i="4" s="1"/>
  <c r="AN32" i="4"/>
  <c r="AQ112" i="4"/>
  <c r="AR112" i="4" s="1"/>
  <c r="AN112" i="4"/>
  <c r="AN26" i="4"/>
  <c r="AQ26" i="4"/>
  <c r="AR26" i="4" s="1"/>
  <c r="AQ134" i="4"/>
  <c r="AR134" i="4" s="1"/>
  <c r="AN134" i="4"/>
  <c r="AQ114" i="4"/>
  <c r="AR114" i="4" s="1"/>
  <c r="AN114" i="4"/>
  <c r="AQ44" i="4"/>
  <c r="AR44" i="4" s="1"/>
  <c r="AN44" i="4"/>
  <c r="AN96" i="4"/>
  <c r="AQ96" i="4"/>
  <c r="AR96" i="4" s="1"/>
  <c r="AQ132" i="4"/>
  <c r="AR132" i="4" s="1"/>
  <c r="AN132" i="4"/>
  <c r="AQ128" i="4"/>
  <c r="AR128" i="4" s="1"/>
  <c r="AN128" i="4"/>
  <c r="AN64" i="4"/>
  <c r="AQ64" i="4"/>
  <c r="AR64" i="4" s="1"/>
  <c r="AO47" i="4"/>
  <c r="AQ92" i="4"/>
  <c r="AR92" i="4" s="1"/>
  <c r="AN92" i="4"/>
  <c r="AO118" i="4"/>
  <c r="AQ79" i="4"/>
  <c r="AR79" i="4" s="1"/>
  <c r="AN79" i="4"/>
  <c r="AN106" i="4"/>
  <c r="AQ106" i="4"/>
  <c r="AR106" i="4" s="1"/>
  <c r="AO104" i="4"/>
  <c r="AO46" i="4"/>
  <c r="AN100" i="4"/>
  <c r="AQ100" i="4"/>
  <c r="AR100" i="4" s="1"/>
  <c r="AQ48" i="4"/>
  <c r="AR48" i="4" s="1"/>
  <c r="AN48" i="4"/>
  <c r="AB82" i="4"/>
  <c r="BU82" i="4" s="1"/>
  <c r="AB48" i="4"/>
  <c r="BU48" i="4" s="1"/>
  <c r="AB143" i="4"/>
  <c r="BU143" i="4" s="1"/>
  <c r="AB157" i="4"/>
  <c r="BU157" i="4" s="1"/>
  <c r="AB124" i="4"/>
  <c r="BU124" i="4" s="1"/>
  <c r="AB156" i="4"/>
  <c r="BU156" i="4" s="1"/>
  <c r="AB117" i="4"/>
  <c r="BU117" i="4" s="1"/>
  <c r="AB148" i="4"/>
  <c r="BU148" i="4" s="1"/>
  <c r="AB46" i="4"/>
  <c r="BU46" i="4" s="1"/>
  <c r="AB49" i="4"/>
  <c r="BU49" i="4" s="1"/>
  <c r="AB54" i="4"/>
  <c r="BU54" i="4" s="1"/>
  <c r="AB19" i="4"/>
  <c r="BU19" i="4" s="1"/>
  <c r="AB104" i="4"/>
  <c r="BU104" i="4" s="1"/>
  <c r="AB106" i="4"/>
  <c r="BU106" i="4" s="1"/>
  <c r="AB110" i="4"/>
  <c r="BU110" i="4" s="1"/>
  <c r="AB79" i="4"/>
  <c r="BU79" i="4" s="1"/>
  <c r="AB26" i="4"/>
  <c r="BU26" i="4" s="1"/>
  <c r="AB21" i="4"/>
  <c r="BU21" i="4" s="1"/>
  <c r="AB113" i="4"/>
  <c r="BU113" i="4" s="1"/>
  <c r="AB32" i="4"/>
  <c r="BU32" i="4" s="1"/>
  <c r="AB149" i="4"/>
  <c r="BU149" i="4" s="1"/>
  <c r="AB146" i="4"/>
  <c r="BU146" i="4" s="1"/>
  <c r="AB136" i="4"/>
  <c r="BU136" i="4" s="1"/>
  <c r="AB65" i="4"/>
  <c r="BU65" i="4" s="1"/>
  <c r="AB118" i="4"/>
  <c r="BU118" i="4" s="1"/>
  <c r="AB64" i="4"/>
  <c r="BU64" i="4" s="1"/>
  <c r="AB81" i="4"/>
  <c r="BU81" i="4" s="1"/>
  <c r="AB47" i="4"/>
  <c r="BU47" i="4" s="1"/>
  <c r="AB24" i="4"/>
  <c r="BU24" i="4" s="1"/>
  <c r="AB137" i="4"/>
  <c r="BU137" i="4" s="1"/>
  <c r="AD34" i="4"/>
  <c r="AD10" i="4"/>
  <c r="AD17" i="4"/>
  <c r="AD95" i="4"/>
  <c r="AD105" i="4"/>
  <c r="AD109" i="4"/>
  <c r="AD91" i="4"/>
  <c r="AD99" i="4"/>
  <c r="AD87" i="4"/>
  <c r="AD130" i="4"/>
  <c r="AD116" i="4"/>
  <c r="AD135" i="4"/>
  <c r="AD89" i="4"/>
  <c r="AD56" i="4"/>
  <c r="AD55" i="4"/>
  <c r="AD57" i="4"/>
  <c r="AD58" i="4"/>
  <c r="AD33" i="4"/>
  <c r="AD29" i="4"/>
  <c r="AD25" i="4"/>
  <c r="AD45" i="4"/>
  <c r="AD31" i="4"/>
  <c r="AD41" i="4"/>
  <c r="AD37" i="4"/>
  <c r="AJ7" i="4"/>
  <c r="BY7" i="4" l="1"/>
  <c r="AB7" i="5"/>
  <c r="AA7" i="5"/>
  <c r="AC7" i="5"/>
  <c r="P455" i="5"/>
  <c r="P179" i="5"/>
  <c r="P80" i="5"/>
  <c r="P32" i="5"/>
  <c r="P387" i="5"/>
  <c r="P419" i="5"/>
  <c r="P101" i="5"/>
  <c r="P482" i="5"/>
  <c r="P206" i="5"/>
  <c r="P100" i="5"/>
  <c r="P508" i="5"/>
  <c r="P381" i="5"/>
  <c r="P170" i="5"/>
  <c r="P168" i="5"/>
  <c r="P226" i="5"/>
  <c r="P139" i="5"/>
  <c r="P463" i="5"/>
  <c r="P123" i="5"/>
  <c r="P95" i="5"/>
  <c r="P430" i="5"/>
  <c r="P540" i="5"/>
  <c r="P142" i="5"/>
  <c r="P211" i="5"/>
  <c r="P422" i="5"/>
  <c r="P36" i="5"/>
  <c r="P343" i="5"/>
  <c r="P302" i="5"/>
  <c r="P92" i="5"/>
  <c r="P443" i="5"/>
  <c r="P345" i="5"/>
  <c r="P488" i="5"/>
  <c r="P247" i="5"/>
  <c r="P550" i="5"/>
  <c r="P271" i="5"/>
  <c r="P469" i="5"/>
  <c r="P171" i="5"/>
  <c r="P477" i="5"/>
  <c r="P270" i="5"/>
  <c r="P131" i="5"/>
  <c r="P37" i="5"/>
  <c r="P363" i="5"/>
  <c r="P246" i="5"/>
  <c r="P334" i="5"/>
  <c r="P163" i="5"/>
  <c r="P141" i="5"/>
  <c r="P313" i="5"/>
  <c r="P20" i="5"/>
  <c r="P124" i="5"/>
  <c r="P223" i="5"/>
  <c r="P21" i="5"/>
  <c r="P340" i="5"/>
  <c r="P272" i="5"/>
  <c r="P152" i="5"/>
  <c r="P555" i="5"/>
  <c r="P217" i="5"/>
  <c r="P11" i="5"/>
  <c r="P376" i="5"/>
  <c r="P418" i="5"/>
  <c r="P366" i="5"/>
  <c r="P190" i="5"/>
  <c r="P451" i="5"/>
  <c r="P442" i="5"/>
  <c r="P208" i="5"/>
  <c r="P195" i="5"/>
  <c r="P260" i="5"/>
  <c r="P108" i="5"/>
  <c r="P233" i="5"/>
  <c r="P404" i="5"/>
  <c r="P434" i="5"/>
  <c r="P115" i="5"/>
  <c r="P316" i="5"/>
  <c r="P530" i="5"/>
  <c r="P127" i="5"/>
  <c r="P440" i="5"/>
  <c r="P506" i="5"/>
  <c r="P205" i="5"/>
  <c r="P28" i="5"/>
  <c r="P526" i="5"/>
  <c r="P45" i="5"/>
  <c r="P276" i="5"/>
  <c r="P393" i="5"/>
  <c r="P236" i="5"/>
  <c r="P64" i="5"/>
  <c r="P275" i="5"/>
  <c r="P556" i="5"/>
  <c r="P105" i="5"/>
  <c r="P216" i="5"/>
  <c r="P517" i="5"/>
  <c r="P237" i="5"/>
  <c r="P218" i="5"/>
  <c r="P375" i="5"/>
  <c r="P539" i="5"/>
  <c r="P344" i="5"/>
  <c r="P58" i="5"/>
  <c r="P525" i="5"/>
  <c r="P329" i="5"/>
  <c r="P466" i="5"/>
  <c r="P221" i="5"/>
  <c r="P13" i="5"/>
  <c r="P165" i="5"/>
  <c r="P283" i="5"/>
  <c r="P150" i="5"/>
  <c r="P25" i="5"/>
  <c r="P315" i="5"/>
  <c r="P306" i="5"/>
  <c r="P110" i="5"/>
  <c r="P412" i="5"/>
  <c r="P399" i="5"/>
  <c r="P161" i="5"/>
  <c r="P63" i="5"/>
  <c r="P410" i="5"/>
  <c r="P401" i="5"/>
  <c r="P364" i="5"/>
  <c r="P68" i="5"/>
  <c r="P169" i="5"/>
  <c r="P194" i="5"/>
  <c r="P75" i="5"/>
  <c r="P31" i="5"/>
  <c r="P370" i="5"/>
  <c r="P279" i="5"/>
  <c r="P395" i="5"/>
  <c r="P425" i="5"/>
  <c r="P210" i="5"/>
  <c r="P473" i="5"/>
  <c r="P531" i="5"/>
  <c r="P248" i="5"/>
  <c r="P403" i="5"/>
  <c r="P215" i="5"/>
  <c r="P492" i="5"/>
  <c r="P98" i="5"/>
  <c r="P330" i="5"/>
  <c r="P254" i="5"/>
  <c r="P164" i="5"/>
  <c r="P41" i="5"/>
  <c r="P106" i="5"/>
  <c r="P122" i="5"/>
  <c r="P385" i="5"/>
  <c r="P383" i="5"/>
  <c r="P135" i="5"/>
  <c r="P357" i="5"/>
  <c r="P524" i="5"/>
  <c r="P55" i="5"/>
  <c r="P557" i="5"/>
  <c r="P406" i="5"/>
  <c r="P405" i="5"/>
  <c r="P97" i="5"/>
  <c r="P50" i="5"/>
  <c r="P515" i="5"/>
  <c r="P471" i="5"/>
  <c r="P154" i="5"/>
  <c r="P148" i="5"/>
  <c r="P521" i="5"/>
  <c r="P323" i="5"/>
  <c r="P454" i="5"/>
  <c r="P24" i="5"/>
  <c r="P40" i="5"/>
  <c r="P225" i="5"/>
  <c r="P545" i="5"/>
  <c r="P304" i="5"/>
  <c r="P479" i="5"/>
  <c r="P417" i="5"/>
  <c r="P288" i="5"/>
  <c r="P72" i="5"/>
  <c r="P360" i="5"/>
  <c r="P361" i="5"/>
  <c r="P84" i="5"/>
  <c r="P189" i="5"/>
  <c r="P368" i="5"/>
  <c r="P277" i="5"/>
  <c r="P173" i="5"/>
  <c r="P429" i="5"/>
  <c r="P178" i="5"/>
  <c r="P118" i="5"/>
  <c r="P35" i="5"/>
  <c r="P71" i="5"/>
  <c r="P197" i="5"/>
  <c r="P19" i="5"/>
  <c r="P542" i="5"/>
  <c r="P241" i="5"/>
  <c r="P310" i="5"/>
  <c r="P541" i="5"/>
  <c r="P348" i="5"/>
  <c r="P79" i="5"/>
  <c r="P510" i="5"/>
  <c r="P321" i="5"/>
  <c r="P465" i="5"/>
  <c r="P180" i="5"/>
  <c r="P312" i="5"/>
  <c r="P278" i="5"/>
  <c r="P162" i="5"/>
  <c r="P9" i="5"/>
  <c r="P51" i="5"/>
  <c r="P102" i="5"/>
  <c r="P439" i="5"/>
  <c r="P337" i="5"/>
  <c r="P39" i="5"/>
  <c r="P358" i="5"/>
  <c r="P448" i="5"/>
  <c r="P326" i="5"/>
  <c r="P285" i="5"/>
  <c r="P292" i="5"/>
  <c r="P264" i="5"/>
  <c r="P66" i="5"/>
  <c r="P335" i="5"/>
  <c r="P523" i="5"/>
  <c r="P201" i="5"/>
  <c r="P121" i="5"/>
  <c r="P239" i="5"/>
  <c r="P536" i="5"/>
  <c r="P435" i="5"/>
  <c r="P43" i="5"/>
  <c r="P67" i="5"/>
  <c r="P60" i="5"/>
  <c r="P222" i="5"/>
  <c r="P192" i="5"/>
  <c r="P374" i="5"/>
  <c r="P355" i="5"/>
  <c r="P378" i="5"/>
  <c r="P258" i="5"/>
  <c r="P166" i="5"/>
  <c r="P457" i="5"/>
  <c r="P319" i="5"/>
  <c r="P42" i="5"/>
  <c r="P94" i="5"/>
  <c r="P199" i="5"/>
  <c r="P104" i="5"/>
  <c r="P464" i="5"/>
  <c r="P266" i="5"/>
  <c r="P144" i="5"/>
  <c r="P138" i="5"/>
  <c r="P516" i="5"/>
  <c r="P543" i="5"/>
  <c r="P317" i="5"/>
  <c r="P444" i="5"/>
  <c r="P475" i="5"/>
  <c r="P452" i="5"/>
  <c r="P332" i="5"/>
  <c r="P499" i="5"/>
  <c r="P188" i="5"/>
  <c r="P191" i="5"/>
  <c r="P409" i="5"/>
  <c r="P324" i="5"/>
  <c r="P459" i="5"/>
  <c r="P26" i="5"/>
  <c r="P318" i="5"/>
  <c r="P320" i="5"/>
  <c r="P117" i="5"/>
  <c r="P12" i="5"/>
  <c r="P65" i="5"/>
  <c r="P56" i="5"/>
  <c r="P493" i="5"/>
  <c r="P286" i="5"/>
  <c r="P468" i="5"/>
  <c r="P379" i="5"/>
  <c r="P489" i="5"/>
  <c r="P415" i="5"/>
  <c r="P394" i="5"/>
  <c r="P255" i="5"/>
  <c r="P300" i="5"/>
  <c r="P249" i="5"/>
  <c r="P262" i="5"/>
  <c r="P424" i="5"/>
  <c r="P78" i="5"/>
  <c r="P125" i="5"/>
  <c r="P198" i="5"/>
  <c r="P297" i="5"/>
  <c r="P120" i="5"/>
  <c r="P398" i="5"/>
  <c r="P57" i="5"/>
  <c r="P107" i="5"/>
  <c r="P77" i="5"/>
  <c r="P243" i="5"/>
  <c r="P294" i="5"/>
  <c r="P380" i="5"/>
  <c r="P551" i="5"/>
  <c r="P445" i="5"/>
  <c r="P486" i="5"/>
  <c r="P202" i="5"/>
  <c r="P372" i="5"/>
  <c r="P303" i="5"/>
  <c r="P30" i="5"/>
  <c r="P159" i="5"/>
  <c r="P227" i="5"/>
  <c r="P478" i="5"/>
  <c r="P518" i="5"/>
  <c r="P382" i="5"/>
  <c r="P109" i="5"/>
  <c r="P76" i="5"/>
  <c r="P407" i="5"/>
  <c r="P520" i="5"/>
  <c r="P554" i="5"/>
  <c r="P322" i="5"/>
  <c r="P38" i="5"/>
  <c r="P502" i="5"/>
  <c r="P328" i="5"/>
  <c r="P400" i="5"/>
  <c r="P85" i="5"/>
  <c r="P229" i="5"/>
  <c r="P544" i="5"/>
  <c r="P238" i="5"/>
  <c r="P549" i="5"/>
  <c r="P99" i="5"/>
  <c r="P253" i="5"/>
  <c r="P146" i="5"/>
  <c r="P204" i="5"/>
  <c r="P48" i="5"/>
  <c r="P47" i="5"/>
  <c r="P438" i="5"/>
  <c r="P296" i="5"/>
  <c r="P537" i="5"/>
  <c r="P273" i="5"/>
  <c r="P352" i="5"/>
  <c r="P532" i="5"/>
  <c r="P356" i="5"/>
  <c r="P153" i="5"/>
  <c r="P130" i="5"/>
  <c r="P289" i="5"/>
  <c r="P116" i="5"/>
  <c r="P263" i="5"/>
  <c r="P290" i="5"/>
  <c r="P267" i="5"/>
  <c r="P547" i="5"/>
  <c r="P388" i="5"/>
  <c r="P408" i="5"/>
  <c r="P44" i="5"/>
  <c r="P346" i="5"/>
  <c r="P83" i="5"/>
  <c r="P111" i="5"/>
  <c r="P96" i="5"/>
  <c r="P112" i="5"/>
  <c r="P367" i="5"/>
  <c r="P350" i="5"/>
  <c r="P476" i="5"/>
  <c r="P441" i="5"/>
  <c r="P371" i="5"/>
  <c r="P307" i="5"/>
  <c r="P509" i="5"/>
  <c r="P213" i="5"/>
  <c r="P219" i="5"/>
  <c r="P82" i="5"/>
  <c r="P103" i="5"/>
  <c r="P397" i="5"/>
  <c r="P392" i="5"/>
  <c r="P342" i="5"/>
  <c r="P90" i="5"/>
  <c r="P33" i="5"/>
  <c r="P390" i="5"/>
  <c r="P338" i="5"/>
  <c r="P446" i="5"/>
  <c r="P420" i="5"/>
  <c r="P365" i="5"/>
  <c r="P558" i="5"/>
  <c r="P359" i="5"/>
  <c r="P349" i="5"/>
  <c r="P485" i="5"/>
  <c r="P280" i="5"/>
  <c r="P474" i="5"/>
  <c r="P426" i="5"/>
  <c r="P428" i="5"/>
  <c r="P137" i="5"/>
  <c r="P311" i="5"/>
  <c r="P134" i="5"/>
  <c r="P81" i="5"/>
  <c r="P184" i="5"/>
  <c r="P156" i="5"/>
  <c r="P27" i="5"/>
  <c r="P369" i="5"/>
  <c r="P242" i="5"/>
  <c r="P511" i="5"/>
  <c r="P298" i="5"/>
  <c r="P339" i="5"/>
  <c r="P462" i="5"/>
  <c r="P391" i="5"/>
  <c r="P519" i="5"/>
  <c r="P505" i="5"/>
  <c r="P284" i="5"/>
  <c r="P453" i="5"/>
  <c r="P89" i="5"/>
  <c r="P427" i="5"/>
  <c r="P414" i="5"/>
  <c r="P299" i="5"/>
  <c r="P416" i="5"/>
  <c r="P132" i="5"/>
  <c r="P396" i="5"/>
  <c r="P140" i="5"/>
  <c r="P185" i="5"/>
  <c r="P128" i="5"/>
  <c r="P309" i="5"/>
  <c r="P534" i="5"/>
  <c r="P529" i="5"/>
  <c r="P402" i="5"/>
  <c r="P91" i="5"/>
  <c r="P461" i="5"/>
  <c r="P268" i="5"/>
  <c r="P507" i="5"/>
  <c r="P240" i="5"/>
  <c r="P136" i="5"/>
  <c r="P54" i="5"/>
  <c r="P87" i="5"/>
  <c r="P281" i="5"/>
  <c r="P34" i="5"/>
  <c r="P287" i="5"/>
  <c r="P61" i="5"/>
  <c r="P187" i="5"/>
  <c r="P347" i="5"/>
  <c r="P200" i="5"/>
  <c r="P274" i="5"/>
  <c r="P167" i="5"/>
  <c r="P265" i="5"/>
  <c r="P411" i="5"/>
  <c r="P183" i="5"/>
  <c r="P389" i="5"/>
  <c r="P436" i="5"/>
  <c r="P230" i="5"/>
  <c r="P514" i="5"/>
  <c r="P151" i="5"/>
  <c r="P186" i="5"/>
  <c r="P133" i="5"/>
  <c r="P308" i="5"/>
  <c r="P504" i="5"/>
  <c r="P423" i="5"/>
  <c r="P52" i="5"/>
  <c r="P160" i="5"/>
  <c r="P496" i="5"/>
  <c r="P354" i="5"/>
  <c r="P501" i="5"/>
  <c r="P129" i="5"/>
  <c r="P157" i="5"/>
  <c r="P533" i="5"/>
  <c r="P480" i="5"/>
  <c r="P220" i="5"/>
  <c r="P432" i="5"/>
  <c r="P293" i="5"/>
  <c r="P22" i="5"/>
  <c r="P175" i="5"/>
  <c r="P295" i="5"/>
  <c r="P70" i="5"/>
  <c r="P559" i="5"/>
  <c r="P244" i="5"/>
  <c r="P251" i="5"/>
  <c r="P433" i="5"/>
  <c r="P447" i="5"/>
  <c r="P512" i="5"/>
  <c r="P362" i="5"/>
  <c r="P256" i="5"/>
  <c r="P119" i="5"/>
  <c r="P333" i="5"/>
  <c r="P431" i="5"/>
  <c r="P224" i="5"/>
  <c r="P341" i="5"/>
  <c r="P207" i="5"/>
  <c r="P62" i="5"/>
  <c r="P172" i="5"/>
  <c r="P176" i="5"/>
  <c r="P552" i="5"/>
  <c r="P384" i="5"/>
  <c r="P149" i="5"/>
  <c r="P437" i="5"/>
  <c r="P158" i="5"/>
  <c r="P305" i="5"/>
  <c r="P235" i="5"/>
  <c r="P498" i="5"/>
  <c r="P472" i="5"/>
  <c r="P301" i="5"/>
  <c r="P8" i="5"/>
  <c r="P29" i="5"/>
  <c r="P325" i="5"/>
  <c r="P522" i="5"/>
  <c r="P538" i="5"/>
  <c r="P513" i="5"/>
  <c r="P497" i="5"/>
  <c r="P261" i="5"/>
  <c r="P484" i="5"/>
  <c r="P147" i="5"/>
  <c r="P252" i="5"/>
  <c r="P74" i="5"/>
  <c r="P483" i="5"/>
  <c r="P546" i="5"/>
  <c r="P282" i="5"/>
  <c r="P214" i="5"/>
  <c r="P259" i="5"/>
  <c r="P23" i="5"/>
  <c r="P331" i="5"/>
  <c r="P336" i="5"/>
  <c r="P59" i="5"/>
  <c r="P93" i="5"/>
  <c r="P450" i="5"/>
  <c r="P386" i="5"/>
  <c r="P528" i="5"/>
  <c r="P373" i="5"/>
  <c r="P234" i="5"/>
  <c r="P10" i="5"/>
  <c r="P114" i="5"/>
  <c r="P212" i="5"/>
  <c r="P494" i="5"/>
  <c r="P449" i="5"/>
  <c r="P548" i="5"/>
  <c r="P257" i="5"/>
  <c r="P69" i="5"/>
  <c r="P527" i="5"/>
  <c r="P560" i="5"/>
  <c r="P351" i="5"/>
  <c r="P421" i="5"/>
  <c r="P203" i="5"/>
  <c r="P250" i="5"/>
  <c r="P46" i="5"/>
  <c r="P232" i="5"/>
  <c r="P327" i="5"/>
  <c r="P177" i="5"/>
  <c r="P73" i="5"/>
  <c r="P145" i="5"/>
  <c r="P155" i="5"/>
  <c r="P491" i="5"/>
  <c r="P291" i="5"/>
  <c r="P53" i="5"/>
  <c r="P467" i="5"/>
  <c r="P49" i="5"/>
  <c r="P228" i="5"/>
  <c r="P460" i="5"/>
  <c r="P470" i="5"/>
  <c r="P490" i="5"/>
  <c r="P193" i="5"/>
  <c r="P458" i="5"/>
  <c r="P174" i="5"/>
  <c r="P209" i="5"/>
  <c r="P353" i="5"/>
  <c r="P88" i="5"/>
  <c r="P314" i="5"/>
  <c r="P86" i="5"/>
  <c r="P126" i="5"/>
  <c r="P245" i="5"/>
  <c r="P143" i="5"/>
  <c r="P377" i="5"/>
  <c r="P196" i="5"/>
  <c r="P503" i="5"/>
  <c r="P182" i="5"/>
  <c r="P456" i="5"/>
  <c r="P553" i="5"/>
  <c r="P500" i="5"/>
  <c r="P535" i="5"/>
  <c r="P181" i="5"/>
  <c r="P269" i="5"/>
  <c r="P487" i="5"/>
  <c r="P495" i="5"/>
  <c r="P113" i="5"/>
  <c r="P231" i="5"/>
  <c r="P413" i="5"/>
  <c r="P481" i="5"/>
  <c r="P19" i="10"/>
  <c r="P72" i="10"/>
  <c r="P158" i="10"/>
  <c r="P394" i="10"/>
  <c r="P142" i="10"/>
  <c r="P282" i="10"/>
  <c r="P97" i="10"/>
  <c r="P184" i="10"/>
  <c r="P459" i="10"/>
  <c r="P65" i="10"/>
  <c r="P308" i="10"/>
  <c r="P156" i="10"/>
  <c r="P315" i="10"/>
  <c r="P200" i="10"/>
  <c r="P511" i="10"/>
  <c r="P123" i="10"/>
  <c r="P412" i="10"/>
  <c r="P101" i="10"/>
  <c r="P240" i="10"/>
  <c r="P505" i="10"/>
  <c r="P118" i="10"/>
  <c r="P357" i="10"/>
  <c r="P73" i="10"/>
  <c r="P365" i="10"/>
  <c r="P306" i="10"/>
  <c r="P29" i="10"/>
  <c r="P207" i="10"/>
  <c r="P447" i="10"/>
  <c r="P283" i="10"/>
  <c r="P226" i="10"/>
  <c r="P520" i="10"/>
  <c r="P307" i="10"/>
  <c r="P372" i="10"/>
  <c r="P453" i="10"/>
  <c r="P556" i="10"/>
  <c r="P481" i="10"/>
  <c r="P56" i="10"/>
  <c r="P140" i="10"/>
  <c r="P478" i="10"/>
  <c r="P48" i="10"/>
  <c r="P355" i="10"/>
  <c r="P179" i="10"/>
  <c r="P370" i="10"/>
  <c r="P74" i="10"/>
  <c r="P157" i="10"/>
  <c r="P141" i="10"/>
  <c r="P304" i="10"/>
  <c r="P521" i="10"/>
  <c r="P229" i="10"/>
  <c r="P346" i="10"/>
  <c r="P193" i="10"/>
  <c r="P215" i="10"/>
  <c r="P479" i="10"/>
  <c r="P51" i="10"/>
  <c r="P139" i="10"/>
  <c r="P27" i="10"/>
  <c r="P289" i="10"/>
  <c r="P557" i="10"/>
  <c r="P163" i="10"/>
  <c r="P387" i="10"/>
  <c r="P117" i="10"/>
  <c r="P264" i="10"/>
  <c r="P519" i="10"/>
  <c r="P9" i="10"/>
  <c r="P243" i="10"/>
  <c r="P197" i="10"/>
  <c r="P538" i="10"/>
  <c r="P489" i="10"/>
  <c r="P403" i="10"/>
  <c r="P349" i="10"/>
  <c r="P242" i="10"/>
  <c r="P211" i="10"/>
  <c r="P175" i="10"/>
  <c r="P110" i="10"/>
  <c r="P46" i="10"/>
  <c r="P177" i="10"/>
  <c r="P528" i="10"/>
  <c r="P467" i="10"/>
  <c r="P395" i="10"/>
  <c r="P341" i="10"/>
  <c r="P234" i="10"/>
  <c r="P188" i="10"/>
  <c r="P171" i="10"/>
  <c r="P106" i="10"/>
  <c r="P291" i="10"/>
  <c r="P169" i="10"/>
  <c r="P247" i="10"/>
  <c r="P122" i="10"/>
  <c r="P219" i="10"/>
  <c r="P250" i="10"/>
  <c r="P490" i="10"/>
  <c r="P275" i="10"/>
  <c r="P159" i="10"/>
  <c r="P218" i="10"/>
  <c r="P426" i="10"/>
  <c r="P537" i="10"/>
  <c r="P552" i="10"/>
  <c r="P517" i="10"/>
  <c r="P504" i="10"/>
  <c r="P474" i="10"/>
  <c r="P443" i="10"/>
  <c r="P408" i="10"/>
  <c r="P278" i="10"/>
  <c r="P344" i="10"/>
  <c r="P285" i="10"/>
  <c r="P300" i="10"/>
  <c r="P239" i="10"/>
  <c r="P96" i="10"/>
  <c r="P119" i="10"/>
  <c r="P98" i="10"/>
  <c r="P61" i="10"/>
  <c r="P45" i="10"/>
  <c r="P263" i="10"/>
  <c r="P547" i="10"/>
  <c r="P523" i="10"/>
  <c r="P461" i="10"/>
  <c r="P482" i="10"/>
  <c r="P451" i="10"/>
  <c r="P416" i="10"/>
  <c r="P286" i="10"/>
  <c r="P352" i="10"/>
  <c r="P293" i="10"/>
  <c r="P166" i="10"/>
  <c r="P383" i="10"/>
  <c r="P23" i="10"/>
  <c r="P348" i="10"/>
  <c r="P55" i="10"/>
  <c r="P527" i="10"/>
  <c r="P442" i="10"/>
  <c r="P418" i="10"/>
  <c r="P317" i="10"/>
  <c r="P210" i="10"/>
  <c r="P172" i="10"/>
  <c r="P155" i="10"/>
  <c r="P90" i="10"/>
  <c r="P259" i="10"/>
  <c r="P89" i="10"/>
  <c r="P530" i="10"/>
  <c r="P466" i="10"/>
  <c r="P410" i="10"/>
  <c r="P309" i="10"/>
  <c r="P202" i="10"/>
  <c r="P168" i="10"/>
  <c r="P147" i="10"/>
  <c r="P86" i="10"/>
  <c r="P251" i="10"/>
  <c r="P81" i="10"/>
  <c r="P35" i="10"/>
  <c r="P209" i="10"/>
  <c r="P208" i="10"/>
  <c r="P314" i="10"/>
  <c r="P488" i="10"/>
  <c r="P26" i="10"/>
  <c r="P279" i="10"/>
  <c r="P203" i="10"/>
  <c r="P281" i="10"/>
  <c r="P439" i="10"/>
  <c r="P550" i="10"/>
  <c r="P539" i="10"/>
  <c r="P533" i="10"/>
  <c r="P480" i="10"/>
  <c r="P440" i="10"/>
  <c r="P431" i="10"/>
  <c r="P392" i="10"/>
  <c r="P262" i="10"/>
  <c r="P328" i="10"/>
  <c r="P269" i="10"/>
  <c r="P284" i="10"/>
  <c r="P223" i="10"/>
  <c r="P80" i="10"/>
  <c r="P103" i="10"/>
  <c r="P82" i="10"/>
  <c r="P299" i="10"/>
  <c r="P42" i="10"/>
  <c r="P173" i="10"/>
  <c r="P546" i="10"/>
  <c r="P510" i="10"/>
  <c r="P493" i="10"/>
  <c r="P448" i="10"/>
  <c r="P437" i="10"/>
  <c r="P400" i="10"/>
  <c r="P270" i="10"/>
  <c r="P336" i="10"/>
  <c r="P277" i="10"/>
  <c r="P292" i="10"/>
  <c r="P457" i="10"/>
  <c r="P116" i="10"/>
  <c r="P503" i="10"/>
  <c r="P445" i="10"/>
  <c r="P428" i="10"/>
  <c r="P364" i="10"/>
  <c r="P178" i="10"/>
  <c r="P152" i="10"/>
  <c r="P131" i="10"/>
  <c r="P71" i="10"/>
  <c r="P153" i="10"/>
  <c r="P64" i="10"/>
  <c r="P495" i="10"/>
  <c r="P486" i="10"/>
  <c r="P420" i="10"/>
  <c r="P356" i="10"/>
  <c r="P170" i="10"/>
  <c r="P148" i="10"/>
  <c r="P127" i="10"/>
  <c r="P99" i="10"/>
  <c r="P149" i="10"/>
  <c r="P62" i="10"/>
  <c r="P121" i="10"/>
  <c r="P375" i="10"/>
  <c r="P272" i="10"/>
  <c r="P380" i="10"/>
  <c r="P513" i="10"/>
  <c r="P165" i="10"/>
  <c r="P43" i="10"/>
  <c r="P92" i="10"/>
  <c r="P347" i="10"/>
  <c r="P397" i="10"/>
  <c r="P549" i="10"/>
  <c r="P509" i="10"/>
  <c r="P483" i="10"/>
  <c r="P435" i="10"/>
  <c r="P415" i="10"/>
  <c r="P376" i="10"/>
  <c r="P246" i="10"/>
  <c r="P312" i="10"/>
  <c r="P253" i="10"/>
  <c r="P268" i="10"/>
  <c r="P192" i="10"/>
  <c r="P68" i="10"/>
  <c r="P237" i="10"/>
  <c r="P69" i="10"/>
  <c r="P267" i="10"/>
  <c r="P32" i="10"/>
  <c r="P36" i="10"/>
  <c r="P532" i="10"/>
  <c r="P525" i="10"/>
  <c r="P472" i="10"/>
  <c r="P432" i="10"/>
  <c r="P423" i="10"/>
  <c r="P384" i="10"/>
  <c r="P254" i="10"/>
  <c r="P320" i="10"/>
  <c r="P261" i="10"/>
  <c r="P276" i="10"/>
  <c r="P28" i="10"/>
  <c r="P181" i="10"/>
  <c r="P249" i="10"/>
  <c r="P506" i="10"/>
  <c r="P444" i="10"/>
  <c r="P396" i="10"/>
  <c r="P332" i="10"/>
  <c r="P288" i="10"/>
  <c r="P132" i="10"/>
  <c r="P111" i="10"/>
  <c r="P83" i="10"/>
  <c r="P133" i="10"/>
  <c r="P30" i="10"/>
  <c r="P529" i="10"/>
  <c r="P436" i="10"/>
  <c r="P388" i="10"/>
  <c r="P324" i="10"/>
  <c r="P280" i="10"/>
  <c r="P124" i="10"/>
  <c r="P107" i="10"/>
  <c r="P79" i="10"/>
  <c r="P125" i="10"/>
  <c r="P295" i="10"/>
  <c r="P201" i="10"/>
  <c r="P143" i="10"/>
  <c r="P194" i="10"/>
  <c r="P402" i="10"/>
  <c r="P522" i="10"/>
  <c r="P47" i="10"/>
  <c r="P91" i="10"/>
  <c r="P136" i="10"/>
  <c r="P340" i="10"/>
  <c r="P452" i="10"/>
  <c r="P8" i="10"/>
  <c r="P534" i="10"/>
  <c r="P496" i="10"/>
  <c r="P471" i="10"/>
  <c r="P417" i="10"/>
  <c r="P399" i="10"/>
  <c r="P358" i="10"/>
  <c r="P345" i="10"/>
  <c r="P367" i="10"/>
  <c r="P238" i="10"/>
  <c r="P252" i="10"/>
  <c r="P176" i="10"/>
  <c r="P199" i="10"/>
  <c r="P221" i="10"/>
  <c r="P87" i="10"/>
  <c r="P161" i="10"/>
  <c r="P205" i="10"/>
  <c r="P20" i="10"/>
  <c r="P541" i="10"/>
  <c r="P515" i="10"/>
  <c r="P475" i="10"/>
  <c r="P425" i="10"/>
  <c r="P407" i="10"/>
  <c r="P366" i="10"/>
  <c r="P353" i="10"/>
  <c r="P434" i="10"/>
  <c r="P245" i="10"/>
  <c r="P260" i="10"/>
  <c r="P102" i="10"/>
  <c r="P411" i="10"/>
  <c r="P13" i="10"/>
  <c r="P500" i="10"/>
  <c r="P421" i="10"/>
  <c r="P362" i="10"/>
  <c r="P386" i="10"/>
  <c r="P256" i="10"/>
  <c r="P108" i="10"/>
  <c r="P241" i="10"/>
  <c r="P63" i="10"/>
  <c r="P109" i="10"/>
  <c r="P11" i="10"/>
  <c r="P512" i="10"/>
  <c r="P413" i="10"/>
  <c r="P354" i="10"/>
  <c r="P363" i="10"/>
  <c r="P248" i="10"/>
  <c r="P104" i="10"/>
  <c r="P233" i="10"/>
  <c r="P60" i="10"/>
  <c r="P105" i="10"/>
  <c r="P24" i="10"/>
  <c r="P59" i="10"/>
  <c r="P187" i="10"/>
  <c r="P257" i="10"/>
  <c r="P419" i="10"/>
  <c r="P542" i="10"/>
  <c r="P93" i="10"/>
  <c r="P94" i="10"/>
  <c r="P180" i="10"/>
  <c r="P325" i="10"/>
  <c r="P450" i="10"/>
  <c r="P7" i="10"/>
  <c r="P516" i="10"/>
  <c r="P502" i="10"/>
  <c r="P455" i="10"/>
  <c r="P401" i="10"/>
  <c r="P430" i="10"/>
  <c r="P342" i="10"/>
  <c r="P329" i="10"/>
  <c r="P351" i="10"/>
  <c r="P222" i="10"/>
  <c r="P236" i="10"/>
  <c r="P160" i="10"/>
  <c r="P183" i="10"/>
  <c r="P162" i="10"/>
  <c r="P67" i="10"/>
  <c r="P145" i="10"/>
  <c r="P44" i="10"/>
  <c r="P10" i="10"/>
  <c r="P524" i="10"/>
  <c r="P508" i="10"/>
  <c r="P463" i="10"/>
  <c r="P409" i="10"/>
  <c r="P391" i="10"/>
  <c r="P350" i="10"/>
  <c r="P337" i="10"/>
  <c r="P359" i="10"/>
  <c r="P230" i="10"/>
  <c r="P244" i="10"/>
  <c r="P545" i="10"/>
  <c r="P186" i="10"/>
  <c r="P100" i="10"/>
  <c r="P429" i="10"/>
  <c r="P559" i="10"/>
  <c r="P491" i="10"/>
  <c r="P389" i="10"/>
  <c r="P330" i="10"/>
  <c r="P339" i="10"/>
  <c r="P224" i="10"/>
  <c r="P88" i="10"/>
  <c r="P217" i="10"/>
  <c r="P41" i="10"/>
  <c r="P52" i="10"/>
  <c r="P551" i="10"/>
  <c r="P497" i="10"/>
  <c r="P381" i="10"/>
  <c r="P322" i="10"/>
  <c r="P331" i="10"/>
  <c r="P216" i="10"/>
  <c r="P84" i="10"/>
  <c r="P213" i="10"/>
  <c r="P33" i="10"/>
  <c r="P50" i="10"/>
  <c r="P53" i="10"/>
  <c r="P31" i="10"/>
  <c r="P76" i="10"/>
  <c r="P323" i="10"/>
  <c r="P373" i="10"/>
  <c r="P554" i="10"/>
  <c r="P34" i="10"/>
  <c r="P138" i="10"/>
  <c r="P235" i="10"/>
  <c r="P274" i="10"/>
  <c r="P501" i="10"/>
  <c r="P555" i="10"/>
  <c r="P531" i="10"/>
  <c r="P487" i="10"/>
  <c r="P470" i="10"/>
  <c r="P385" i="10"/>
  <c r="P414" i="10"/>
  <c r="P326" i="10"/>
  <c r="P313" i="10"/>
  <c r="P335" i="10"/>
  <c r="P206" i="10"/>
  <c r="P220" i="10"/>
  <c r="P144" i="10"/>
  <c r="P167" i="10"/>
  <c r="P146" i="10"/>
  <c r="P58" i="10"/>
  <c r="P129" i="10"/>
  <c r="P85" i="10"/>
  <c r="P12" i="10"/>
  <c r="P535" i="10"/>
  <c r="P494" i="10"/>
  <c r="P446" i="10"/>
  <c r="P393" i="10"/>
  <c r="P422" i="10"/>
  <c r="P334" i="10"/>
  <c r="P321" i="10"/>
  <c r="P343" i="10"/>
  <c r="P214" i="10"/>
  <c r="P228" i="10"/>
  <c r="P37" i="10"/>
  <c r="P333" i="10"/>
  <c r="P544" i="10"/>
  <c r="P473" i="10"/>
  <c r="P468" i="10"/>
  <c r="P298" i="10"/>
  <c r="P305" i="10"/>
  <c r="P456" i="10"/>
  <c r="P70" i="10"/>
  <c r="P154" i="10"/>
  <c r="P38" i="10"/>
  <c r="P22" i="10"/>
  <c r="P553" i="10"/>
  <c r="P465" i="10"/>
  <c r="P460" i="10"/>
  <c r="P290" i="10"/>
  <c r="P297" i="10"/>
  <c r="P371" i="10"/>
  <c r="P303" i="10"/>
  <c r="P150" i="10"/>
  <c r="P25" i="10"/>
  <c r="P40" i="10"/>
  <c r="P255" i="10"/>
  <c r="P75" i="10"/>
  <c r="P120" i="10"/>
  <c r="P316" i="10"/>
  <c r="P438" i="10"/>
  <c r="P54" i="10"/>
  <c r="P225" i="10"/>
  <c r="P232" i="10"/>
  <c r="P338" i="10"/>
  <c r="P498" i="10"/>
  <c r="P560" i="10"/>
  <c r="P518" i="10"/>
  <c r="P485" i="10"/>
  <c r="P454" i="10"/>
  <c r="P369" i="10"/>
  <c r="P398" i="10"/>
  <c r="P310" i="10"/>
  <c r="P374" i="10"/>
  <c r="P319" i="10"/>
  <c r="P190" i="10"/>
  <c r="P204" i="10"/>
  <c r="P128" i="10"/>
  <c r="P151" i="10"/>
  <c r="P130" i="10"/>
  <c r="P39" i="10"/>
  <c r="P113" i="10"/>
  <c r="P66" i="10"/>
  <c r="P558" i="10"/>
  <c r="P526" i="10"/>
  <c r="P492" i="10"/>
  <c r="P462" i="10"/>
  <c r="P377" i="10"/>
  <c r="P406" i="10"/>
  <c r="P318" i="10"/>
  <c r="P382" i="10"/>
  <c r="P327" i="10"/>
  <c r="P198" i="10"/>
  <c r="P212" i="10"/>
  <c r="P433" i="10"/>
  <c r="P536" i="10"/>
  <c r="P185" i="10"/>
  <c r="P540" i="10"/>
  <c r="P301" i="10"/>
  <c r="P49" i="10"/>
  <c r="P368" i="10"/>
  <c r="P266" i="10"/>
  <c r="P476" i="10"/>
  <c r="P271" i="10"/>
  <c r="P499" i="10"/>
  <c r="P174" i="10"/>
  <c r="P548" i="10"/>
  <c r="P311" i="10"/>
  <c r="P273" i="10"/>
  <c r="P427" i="10"/>
  <c r="P469" i="10"/>
  <c r="P379" i="10"/>
  <c r="P507" i="10"/>
  <c r="P182" i="10"/>
  <c r="P231" i="10"/>
  <c r="P258" i="10"/>
  <c r="P77" i="10"/>
  <c r="P137" i="10"/>
  <c r="P441" i="10"/>
  <c r="P112" i="10"/>
  <c r="P477" i="10"/>
  <c r="P196" i="10"/>
  <c r="P195" i="10"/>
  <c r="P265" i="10"/>
  <c r="P78" i="10"/>
  <c r="P115" i="10"/>
  <c r="P464" i="10"/>
  <c r="P135" i="10"/>
  <c r="P449" i="10"/>
  <c r="P95" i="10"/>
  <c r="P134" i="10"/>
  <c r="P227" i="10"/>
  <c r="P164" i="10"/>
  <c r="P296" i="10"/>
  <c r="P424" i="10"/>
  <c r="P114" i="10"/>
  <c r="P361" i="10"/>
  <c r="P405" i="10"/>
  <c r="P543" i="10"/>
  <c r="P189" i="10"/>
  <c r="P191" i="10"/>
  <c r="P378" i="10"/>
  <c r="P404" i="10"/>
  <c r="P294" i="10"/>
  <c r="P21" i="10"/>
  <c r="P390" i="10"/>
  <c r="P484" i="10"/>
  <c r="P287" i="10"/>
  <c r="P126" i="10"/>
  <c r="P458" i="10"/>
  <c r="P514" i="10"/>
  <c r="P360" i="10"/>
  <c r="P57" i="10"/>
  <c r="P302" i="10"/>
  <c r="Z263" i="10"/>
  <c r="Z280" i="10"/>
  <c r="Z467" i="10"/>
  <c r="Z368" i="10"/>
  <c r="Z192" i="10"/>
  <c r="Z425" i="10"/>
  <c r="Z151" i="10"/>
  <c r="Z468" i="10"/>
  <c r="Z43" i="10"/>
  <c r="Z521" i="10"/>
  <c r="Z252" i="10"/>
  <c r="Z76" i="10"/>
  <c r="Z57" i="10"/>
  <c r="Z550" i="10"/>
  <c r="Z294" i="10"/>
  <c r="Z193" i="10"/>
  <c r="Z307" i="10"/>
  <c r="Z86" i="10"/>
  <c r="Z319" i="10"/>
  <c r="Z114" i="10"/>
  <c r="Z341" i="10"/>
  <c r="Z177" i="10"/>
  <c r="Z557" i="10"/>
  <c r="Z285" i="10"/>
  <c r="Z471" i="10"/>
  <c r="Z398" i="10"/>
  <c r="Z268" i="10"/>
  <c r="Z249" i="10"/>
  <c r="Z257" i="10"/>
  <c r="Z78" i="10"/>
  <c r="Z446" i="10"/>
  <c r="Z200" i="10"/>
  <c r="Z533" i="10"/>
  <c r="Z94" i="10"/>
  <c r="Z526" i="10"/>
  <c r="Z381" i="10"/>
  <c r="Z52" i="10"/>
  <c r="Z87" i="10"/>
  <c r="Z142" i="10"/>
  <c r="Z63" i="10"/>
  <c r="Z236" i="10"/>
  <c r="Z455" i="10"/>
  <c r="Z213" i="10"/>
  <c r="Z546" i="10"/>
  <c r="Z172" i="10"/>
  <c r="Z184" i="10"/>
  <c r="Z439" i="10"/>
  <c r="Z241" i="10"/>
  <c r="Z421" i="10"/>
  <c r="Z28" i="10"/>
  <c r="Z199" i="10"/>
  <c r="Z194" i="10"/>
  <c r="Z528" i="10"/>
  <c r="Z61" i="10"/>
  <c r="Z234" i="10"/>
  <c r="Z364" i="10"/>
  <c r="Z372" i="10"/>
  <c r="Z36" i="10"/>
  <c r="Z447" i="10"/>
  <c r="Z338" i="10"/>
  <c r="Z25" i="10"/>
  <c r="Z354" i="10"/>
  <c r="Z448" i="10"/>
  <c r="Z441" i="10"/>
  <c r="Z89" i="10"/>
  <c r="Z251" i="10"/>
  <c r="Z79" i="10"/>
  <c r="Z426" i="10"/>
  <c r="Z555" i="10"/>
  <c r="Z176" i="10"/>
  <c r="Z259" i="10"/>
  <c r="Z304" i="10"/>
  <c r="Z505" i="10"/>
  <c r="Z529" i="10"/>
  <c r="Z85" i="10"/>
  <c r="Z504" i="10"/>
  <c r="Z284" i="10"/>
  <c r="Z449" i="10"/>
  <c r="Z399" i="10"/>
  <c r="Z244" i="10"/>
  <c r="Z71" i="10"/>
  <c r="Z100" i="10"/>
  <c r="Z68" i="10"/>
  <c r="Z452" i="10"/>
  <c r="Z329" i="10"/>
  <c r="Z276" i="10"/>
  <c r="Z325" i="10"/>
  <c r="Z212" i="10"/>
  <c r="Z211" i="10"/>
  <c r="Z293" i="10"/>
  <c r="Z138" i="10"/>
  <c r="Z544" i="10"/>
  <c r="Z225" i="10"/>
  <c r="Z271" i="10"/>
  <c r="Z482" i="10"/>
  <c r="Z477" i="10"/>
  <c r="Z384" i="10"/>
  <c r="Z290" i="10"/>
  <c r="Z160" i="10"/>
  <c r="Z556" i="10"/>
  <c r="Z378" i="10"/>
  <c r="Z165" i="10"/>
  <c r="Z181" i="10"/>
  <c r="Z478" i="10"/>
  <c r="Z170" i="10"/>
  <c r="Z393" i="10"/>
  <c r="Z265" i="10"/>
  <c r="Z463" i="10"/>
  <c r="Z375" i="10"/>
  <c r="Z106" i="10"/>
  <c r="Z130" i="10"/>
  <c r="Z303" i="10"/>
  <c r="Z20" i="10"/>
  <c r="Z491" i="10"/>
  <c r="Z102" i="10"/>
  <c r="Z64" i="10"/>
  <c r="Z464" i="10"/>
  <c r="Z321" i="10"/>
  <c r="Z490" i="10"/>
  <c r="Z462" i="10"/>
  <c r="Z397" i="10"/>
  <c r="Z278" i="10"/>
  <c r="Z306" i="10"/>
  <c r="Z509" i="10"/>
  <c r="Z440" i="10"/>
  <c r="Z45" i="10"/>
  <c r="Z344" i="10"/>
  <c r="Z355" i="10"/>
  <c r="Z51" i="10"/>
  <c r="Z339" i="10"/>
  <c r="Z229" i="10"/>
  <c r="Z286" i="10"/>
  <c r="Z54" i="10"/>
  <c r="Z171" i="10"/>
  <c r="Z333" i="10"/>
  <c r="Z198" i="10"/>
  <c r="Z472" i="10"/>
  <c r="Z248" i="10"/>
  <c r="Z560" i="10"/>
  <c r="Z483" i="10"/>
  <c r="Z104" i="10"/>
  <c r="Z453" i="10"/>
  <c r="Z207" i="10"/>
  <c r="Z433" i="10"/>
  <c r="Z479" i="10"/>
  <c r="Z366" i="10"/>
  <c r="Z524" i="10"/>
  <c r="Z383" i="10"/>
  <c r="Z224" i="10"/>
  <c r="Z254" i="10"/>
  <c r="Z442" i="10"/>
  <c r="Z470" i="10"/>
  <c r="Z183" i="10"/>
  <c r="Z298" i="10"/>
  <c r="Z179" i="10"/>
  <c r="Z246" i="10"/>
  <c r="Z29" i="10"/>
  <c r="Z419" i="10"/>
  <c r="Z527" i="10"/>
  <c r="Z118" i="10"/>
  <c r="Z445" i="10"/>
  <c r="Z159" i="10"/>
  <c r="Z380" i="10"/>
  <c r="Z376" i="10"/>
  <c r="Z309" i="10"/>
  <c r="Z558" i="10"/>
  <c r="Z82" i="10"/>
  <c r="Z150" i="10"/>
  <c r="Z255" i="10"/>
  <c r="Z417" i="10"/>
  <c r="Z536" i="10"/>
  <c r="Z161" i="10"/>
  <c r="Z132" i="10"/>
  <c r="Z152" i="10"/>
  <c r="Z217" i="10"/>
  <c r="Z403" i="10"/>
  <c r="Z346" i="10"/>
  <c r="Z218" i="10"/>
  <c r="Z262" i="10"/>
  <c r="Z42" i="10"/>
  <c r="Z548" i="10"/>
  <c r="Z418" i="10"/>
  <c r="Z474" i="10"/>
  <c r="Z24" i="10"/>
  <c r="Z429" i="10"/>
  <c r="Z501" i="10"/>
  <c r="Z336" i="10"/>
  <c r="Z140" i="10"/>
  <c r="Z109" i="10"/>
  <c r="Z350" i="10"/>
  <c r="Z302" i="10"/>
  <c r="Z189" i="10"/>
  <c r="Z305" i="10"/>
  <c r="Z155" i="10"/>
  <c r="Z49" i="10"/>
  <c r="Z388" i="10"/>
  <c r="Z41" i="10"/>
  <c r="Z406" i="10"/>
  <c r="Z110" i="10"/>
  <c r="Z513" i="10"/>
  <c r="Z105" i="10"/>
  <c r="Z283" i="10"/>
  <c r="Z358" i="10"/>
  <c r="Z153" i="10"/>
  <c r="Z514" i="10"/>
  <c r="Z204" i="10"/>
  <c r="Z430" i="10"/>
  <c r="Z125" i="10"/>
  <c r="Z129" i="10"/>
  <c r="Z323" i="10"/>
  <c r="Z22" i="10"/>
  <c r="Z351" i="10"/>
  <c r="Z32" i="10"/>
  <c r="Z318" i="10"/>
  <c r="Z226" i="10"/>
  <c r="Z485" i="10"/>
  <c r="Z201" i="10"/>
  <c r="Z495" i="10"/>
  <c r="Z412" i="10"/>
  <c r="Z139" i="10"/>
  <c r="Z101" i="10"/>
  <c r="Z436" i="10"/>
  <c r="Z23" i="10"/>
  <c r="Z432" i="10"/>
  <c r="Z97" i="10"/>
  <c r="Z553" i="10"/>
  <c r="Z347" i="10"/>
  <c r="Z373" i="10"/>
  <c r="Z203" i="10"/>
  <c r="Z158" i="10"/>
  <c r="Z167" i="10"/>
  <c r="Z145" i="10"/>
  <c r="Z95" i="10"/>
  <c r="Z473" i="10"/>
  <c r="Z362" i="10"/>
  <c r="Z300" i="10"/>
  <c r="Z143" i="10"/>
  <c r="Z122" i="10"/>
  <c r="Z116" i="10"/>
  <c r="Z219" i="10"/>
  <c r="Z379" i="10"/>
  <c r="Z367" i="10"/>
  <c r="Z487" i="10"/>
  <c r="Z256" i="10"/>
  <c r="Z186" i="10"/>
  <c r="Z444" i="10"/>
  <c r="Z232" i="10"/>
  <c r="Z242" i="10"/>
  <c r="Z422" i="10"/>
  <c r="Z291" i="10"/>
  <c r="Z214" i="10"/>
  <c r="Z272" i="10"/>
  <c r="Z91" i="10"/>
  <c r="Z108" i="10"/>
  <c r="Z180" i="10"/>
  <c r="Z525" i="10"/>
  <c r="Z209" i="10"/>
  <c r="Z38" i="10"/>
  <c r="Z210" i="10"/>
  <c r="Z506" i="10"/>
  <c r="Z146" i="10"/>
  <c r="Z327" i="10"/>
  <c r="Z107" i="10"/>
  <c r="Z484" i="10"/>
  <c r="Z317" i="10"/>
  <c r="Z420" i="10"/>
  <c r="Z58" i="10"/>
  <c r="Z371" i="10"/>
  <c r="Z267" i="10"/>
  <c r="Z342" i="10"/>
  <c r="Z374" i="10"/>
  <c r="Z235" i="10"/>
  <c r="Z552" i="10"/>
  <c r="Z396" i="10"/>
  <c r="Z534" i="10"/>
  <c r="Z348" i="10"/>
  <c r="Z7" i="10"/>
  <c r="Z386" i="10"/>
  <c r="Z238" i="10"/>
  <c r="Z357" i="10"/>
  <c r="Z164" i="10"/>
  <c r="Z243" i="10"/>
  <c r="Z261" i="10"/>
  <c r="Z62" i="10"/>
  <c r="Z460" i="10"/>
  <c r="Z128" i="10"/>
  <c r="Z337" i="10"/>
  <c r="Z222" i="10"/>
  <c r="Z99" i="10"/>
  <c r="Z169" i="10"/>
  <c r="Z81" i="10"/>
  <c r="Z185" i="10"/>
  <c r="Z182" i="10"/>
  <c r="Z538" i="10"/>
  <c r="Z223" i="10"/>
  <c r="Z423" i="10"/>
  <c r="Z415" i="10"/>
  <c r="Z281" i="10"/>
  <c r="Z75" i="10"/>
  <c r="Z44" i="10"/>
  <c r="Z30" i="10"/>
  <c r="Z141" i="10"/>
  <c r="Z162" i="10"/>
  <c r="Z434" i="10"/>
  <c r="Z156" i="10"/>
  <c r="Z502" i="10"/>
  <c r="Z154" i="10"/>
  <c r="Z282" i="10"/>
  <c r="Z465" i="10"/>
  <c r="Z547" i="10"/>
  <c r="Z134" i="10"/>
  <c r="Z530" i="10"/>
  <c r="Z136" i="10"/>
  <c r="Z488" i="10"/>
  <c r="Z196" i="10"/>
  <c r="Z308" i="10"/>
  <c r="Z295" i="10"/>
  <c r="Z66" i="10"/>
  <c r="Z409" i="10"/>
  <c r="Z250" i="10"/>
  <c r="Z340" i="10"/>
  <c r="Z401" i="10"/>
  <c r="Z353" i="10"/>
  <c r="Z103" i="10"/>
  <c r="Z264" i="10"/>
  <c r="Z144" i="10"/>
  <c r="Z50" i="10"/>
  <c r="Z127" i="10"/>
  <c r="Z55" i="10"/>
  <c r="Z121" i="10"/>
  <c r="Z508" i="10"/>
  <c r="Z410" i="10"/>
  <c r="Z466" i="10"/>
  <c r="Z73" i="10"/>
  <c r="Z387" i="10"/>
  <c r="Z311" i="10"/>
  <c r="Z394" i="10"/>
  <c r="Z408" i="10"/>
  <c r="Z299" i="10"/>
  <c r="Z8" i="10"/>
  <c r="Z245" i="10"/>
  <c r="Z540" i="10"/>
  <c r="Z498" i="10"/>
  <c r="Z512" i="10"/>
  <c r="Z247" i="10"/>
  <c r="Z377" i="10"/>
  <c r="Z227" i="10"/>
  <c r="Z277" i="10"/>
  <c r="Z206" i="10"/>
  <c r="Z413" i="10"/>
  <c r="Z559" i="10"/>
  <c r="Z34" i="10"/>
  <c r="Z517" i="10"/>
  <c r="Z26" i="10"/>
  <c r="Z519" i="10"/>
  <c r="Z135" i="10"/>
  <c r="Z56" i="10"/>
  <c r="Z35" i="10"/>
  <c r="Z496" i="10"/>
  <c r="Z173" i="10"/>
  <c r="Z230" i="10"/>
  <c r="Z111" i="10"/>
  <c r="Z47" i="10"/>
  <c r="Z451" i="10"/>
  <c r="Z233" i="10"/>
  <c r="Z46" i="10"/>
  <c r="Z312" i="10"/>
  <c r="Z542" i="10"/>
  <c r="Z328" i="10"/>
  <c r="Z237" i="10"/>
  <c r="Z37" i="10"/>
  <c r="Z427" i="10"/>
  <c r="Z435" i="10"/>
  <c r="Z356" i="10"/>
  <c r="Z481" i="10"/>
  <c r="Z480" i="10"/>
  <c r="Z402" i="10"/>
  <c r="Z352" i="10"/>
  <c r="Z188" i="10"/>
  <c r="Z270" i="10"/>
  <c r="Z315" i="10"/>
  <c r="Z205" i="10"/>
  <c r="Z320" i="10"/>
  <c r="Z195" i="10"/>
  <c r="Z216" i="10"/>
  <c r="Z476" i="10"/>
  <c r="Z395" i="10"/>
  <c r="Z363" i="10"/>
  <c r="Z70" i="10"/>
  <c r="Z450" i="10"/>
  <c r="Z549" i="10"/>
  <c r="Z191" i="10"/>
  <c r="Z407" i="10"/>
  <c r="Z330" i="10"/>
  <c r="Z411" i="10"/>
  <c r="Z499" i="10"/>
  <c r="Z370" i="10"/>
  <c r="Z343" i="10"/>
  <c r="Z133" i="10"/>
  <c r="Z40" i="10"/>
  <c r="Z215" i="10"/>
  <c r="Z500" i="10"/>
  <c r="Z174" i="10"/>
  <c r="Z84" i="10"/>
  <c r="Z392" i="10"/>
  <c r="Z454" i="10"/>
  <c r="Z507" i="10"/>
  <c r="Z310" i="10"/>
  <c r="Z424" i="10"/>
  <c r="Z539" i="10"/>
  <c r="Z21" i="10"/>
  <c r="Z554" i="10"/>
  <c r="Z60" i="10"/>
  <c r="Z117" i="10"/>
  <c r="Z469" i="10"/>
  <c r="Z65" i="10"/>
  <c r="Z461" i="10"/>
  <c r="Z131" i="10"/>
  <c r="Z520" i="10"/>
  <c r="Z414" i="10"/>
  <c r="Z296" i="10"/>
  <c r="Z239" i="10"/>
  <c r="Z166" i="10"/>
  <c r="Z523" i="10"/>
  <c r="Z59" i="10"/>
  <c r="Z492" i="10"/>
  <c r="Z197" i="10"/>
  <c r="Z416" i="10"/>
  <c r="Z489" i="10"/>
  <c r="Z221" i="10"/>
  <c r="Z292" i="10"/>
  <c r="Z120" i="10"/>
  <c r="Z288" i="10"/>
  <c r="Z493" i="10"/>
  <c r="Z126" i="10"/>
  <c r="Z69" i="10"/>
  <c r="Z228" i="10"/>
  <c r="Z332" i="10"/>
  <c r="Z331" i="10"/>
  <c r="Z124" i="10"/>
  <c r="Z253" i="10"/>
  <c r="Z53" i="10"/>
  <c r="Z545" i="10"/>
  <c r="Z322" i="10"/>
  <c r="Z334" i="10"/>
  <c r="Z275" i="10"/>
  <c r="Z27" i="10"/>
  <c r="Z80" i="10"/>
  <c r="Z148" i="10"/>
  <c r="Z175" i="10"/>
  <c r="Z438" i="10"/>
  <c r="Z96" i="10"/>
  <c r="Z119" i="10"/>
  <c r="Z459" i="10"/>
  <c r="Z518" i="10"/>
  <c r="Z382" i="10"/>
  <c r="Z515" i="10"/>
  <c r="Z365" i="10"/>
  <c r="Z297" i="10"/>
  <c r="Z289" i="10"/>
  <c r="Z405" i="10"/>
  <c r="Z269" i="10"/>
  <c r="Z494" i="10"/>
  <c r="Z258" i="10"/>
  <c r="Z147" i="10"/>
  <c r="Z437" i="10"/>
  <c r="Z231" i="10"/>
  <c r="Z456" i="10"/>
  <c r="Z279" i="10"/>
  <c r="Z537" i="10"/>
  <c r="Z187" i="10"/>
  <c r="Z83" i="10"/>
  <c r="Z535" i="10"/>
  <c r="Z10" i="10"/>
  <c r="Z431" i="10"/>
  <c r="Z486" i="10"/>
  <c r="Z361" i="10"/>
  <c r="Z324" i="10"/>
  <c r="Z33" i="10"/>
  <c r="Z19" i="10"/>
  <c r="Z31" i="10"/>
  <c r="Z39" i="10"/>
  <c r="Z551" i="10"/>
  <c r="Z115" i="10"/>
  <c r="Z543" i="10"/>
  <c r="Z202" i="10"/>
  <c r="Z475" i="10"/>
  <c r="Z287" i="10"/>
  <c r="Z385" i="10"/>
  <c r="Z260" i="10"/>
  <c r="Z503" i="10"/>
  <c r="Z404" i="10"/>
  <c r="Z48" i="10"/>
  <c r="Z400" i="10"/>
  <c r="Z516" i="10"/>
  <c r="Z335" i="10"/>
  <c r="Z90" i="10"/>
  <c r="Z391" i="10"/>
  <c r="Z74" i="10"/>
  <c r="Z369" i="10"/>
  <c r="Z541" i="10"/>
  <c r="Z349" i="10"/>
  <c r="Z360" i="10"/>
  <c r="Z316" i="10"/>
  <c r="Z443" i="10"/>
  <c r="Z92" i="10"/>
  <c r="Z93" i="10"/>
  <c r="Z389" i="10"/>
  <c r="Z522" i="10"/>
  <c r="Z532" i="10"/>
  <c r="Z67" i="10"/>
  <c r="Z149" i="10"/>
  <c r="Z113" i="10"/>
  <c r="Z163" i="10"/>
  <c r="Z428" i="10"/>
  <c r="Z314" i="10"/>
  <c r="Z274" i="10"/>
  <c r="Z77" i="10"/>
  <c r="Z112" i="10"/>
  <c r="Z98" i="10"/>
  <c r="Z190" i="10"/>
  <c r="Z457" i="10"/>
  <c r="Z301" i="10"/>
  <c r="Z390" i="10"/>
  <c r="Z220" i="10"/>
  <c r="Z458" i="10"/>
  <c r="Z88" i="10"/>
  <c r="Z266" i="10"/>
  <c r="Z273" i="10"/>
  <c r="Z157" i="10"/>
  <c r="Z208" i="10"/>
  <c r="Z72" i="10"/>
  <c r="Z497" i="10"/>
  <c r="Z510" i="10"/>
  <c r="Z313" i="10"/>
  <c r="Z168" i="10"/>
  <c r="Z345" i="10"/>
  <c r="Z240" i="10"/>
  <c r="Z326" i="10"/>
  <c r="Z178" i="10"/>
  <c r="Z531" i="10"/>
  <c r="Z137" i="10"/>
  <c r="Z123" i="10"/>
  <c r="Z359" i="10"/>
  <c r="Z511" i="10"/>
  <c r="Z9" i="10"/>
  <c r="Z11" i="10"/>
  <c r="Z34" i="5"/>
  <c r="Z559" i="5"/>
  <c r="Z428" i="5"/>
  <c r="Z359" i="5"/>
  <c r="Z372" i="5"/>
  <c r="Z64" i="5"/>
  <c r="Z434" i="5"/>
  <c r="Z223" i="5"/>
  <c r="Z464" i="5"/>
  <c r="Z313" i="5"/>
  <c r="Z8" i="5"/>
  <c r="Z540" i="5"/>
  <c r="Z308" i="5"/>
  <c r="Z424" i="5"/>
  <c r="Z229" i="5"/>
  <c r="Z381" i="5"/>
  <c r="Z549" i="5"/>
  <c r="Z136" i="5"/>
  <c r="Z529" i="5"/>
  <c r="Z474" i="5"/>
  <c r="Z226" i="5"/>
  <c r="Z554" i="5"/>
  <c r="Z509" i="5"/>
  <c r="Z295" i="5"/>
  <c r="Z58" i="5"/>
  <c r="Z523" i="5"/>
  <c r="Z94" i="5"/>
  <c r="Z373" i="5"/>
  <c r="Z160" i="5"/>
  <c r="Z211" i="5"/>
  <c r="Z502" i="5"/>
  <c r="Z104" i="5"/>
  <c r="Z535" i="5"/>
  <c r="Z415" i="5"/>
  <c r="Z182" i="5"/>
  <c r="Z514" i="5"/>
  <c r="Z446" i="5"/>
  <c r="Z272" i="5"/>
  <c r="Z528" i="5"/>
  <c r="Z475" i="5"/>
  <c r="Z427" i="5"/>
  <c r="Z482" i="5"/>
  <c r="Z488" i="5"/>
  <c r="Z249" i="5"/>
  <c r="Z22" i="5"/>
  <c r="Z413" i="5"/>
  <c r="Z495" i="5"/>
  <c r="Z44" i="5"/>
  <c r="Z448" i="5"/>
  <c r="Z350" i="5"/>
  <c r="Z186" i="5"/>
  <c r="Z436" i="5"/>
  <c r="Z525" i="5"/>
  <c r="Z216" i="5"/>
  <c r="Z456" i="5"/>
  <c r="Z560" i="5"/>
  <c r="Z521" i="5"/>
  <c r="Z10" i="5"/>
  <c r="Z244" i="5"/>
  <c r="Z276" i="5"/>
  <c r="Z79" i="5"/>
  <c r="Z496" i="5"/>
  <c r="Z353" i="5"/>
  <c r="Z504" i="5"/>
  <c r="Z538" i="5"/>
  <c r="Z401" i="5"/>
  <c r="Z150" i="5"/>
  <c r="Z497" i="5"/>
  <c r="Z110" i="5"/>
  <c r="Z534" i="5"/>
  <c r="Z480" i="5"/>
  <c r="Z296" i="5"/>
  <c r="Z382" i="5"/>
  <c r="Z469" i="5"/>
  <c r="Z431" i="5"/>
  <c r="Z95" i="5"/>
  <c r="Z555" i="5"/>
  <c r="Z397" i="5"/>
  <c r="Z178" i="5"/>
  <c r="Z527" i="5"/>
  <c r="Z433" i="5"/>
  <c r="Z461" i="5"/>
  <c r="Z426" i="5"/>
  <c r="Z551" i="5"/>
  <c r="Z512" i="5"/>
  <c r="Z552" i="5"/>
  <c r="Z210" i="5"/>
  <c r="Z371" i="5"/>
  <c r="Z485" i="5"/>
  <c r="Z246" i="5"/>
  <c r="Z334" i="5"/>
  <c r="Z52" i="5"/>
  <c r="Z342" i="5"/>
  <c r="Z328" i="5"/>
  <c r="Z137" i="5"/>
  <c r="Z490" i="5"/>
  <c r="Z557" i="5"/>
  <c r="Z232" i="5"/>
  <c r="Z491" i="5"/>
  <c r="Z470" i="5"/>
  <c r="Z543" i="5"/>
  <c r="Z162" i="5"/>
  <c r="Z550" i="5"/>
  <c r="Z278" i="5"/>
  <c r="Z532" i="5"/>
  <c r="Z463" i="5"/>
  <c r="Z317" i="5"/>
  <c r="Z43" i="5"/>
  <c r="Z513" i="5"/>
  <c r="Z384" i="5"/>
  <c r="Z120" i="5"/>
  <c r="Z460" i="5"/>
  <c r="Z453" i="5"/>
  <c r="Z499" i="5"/>
  <c r="Z406" i="5"/>
  <c r="Z322" i="5"/>
  <c r="Z207" i="5"/>
  <c r="Z69" i="5"/>
  <c r="Z42" i="5"/>
  <c r="Z100" i="5"/>
  <c r="Z250" i="5"/>
  <c r="Z248" i="5"/>
  <c r="Z375" i="5"/>
  <c r="Z311" i="5"/>
  <c r="Z437" i="5"/>
  <c r="Z432" i="5"/>
  <c r="Z429" i="5"/>
  <c r="Z316" i="5"/>
  <c r="Z61" i="5"/>
  <c r="Z161" i="5"/>
  <c r="Z206" i="5"/>
  <c r="Z291" i="5"/>
  <c r="Z351" i="5"/>
  <c r="Z412" i="5"/>
  <c r="Z421" i="5"/>
  <c r="Z355" i="5"/>
  <c r="Z349" i="5"/>
  <c r="Z541" i="5"/>
  <c r="Z471" i="5"/>
  <c r="Z386" i="5"/>
  <c r="Z304" i="5"/>
  <c r="Z56" i="5"/>
  <c r="Z50" i="5"/>
  <c r="Z112" i="5"/>
  <c r="Z282" i="5"/>
  <c r="Z185" i="5"/>
  <c r="Z275" i="5"/>
  <c r="Z143" i="5"/>
  <c r="Z390" i="5"/>
  <c r="Z466" i="5"/>
  <c r="Z378" i="5"/>
  <c r="Z273" i="5"/>
  <c r="Z109" i="5"/>
  <c r="Z30" i="5"/>
  <c r="Z87" i="5"/>
  <c r="Z151" i="5"/>
  <c r="Z194" i="5"/>
  <c r="Z284" i="5"/>
  <c r="Z414" i="5"/>
  <c r="Z344" i="5"/>
  <c r="Z459" i="5"/>
  <c r="Z454" i="5"/>
  <c r="Z450" i="5"/>
  <c r="Z362" i="5"/>
  <c r="Z65" i="5"/>
  <c r="Z146" i="5"/>
  <c r="Z233" i="5"/>
  <c r="Z321" i="5"/>
  <c r="Z347" i="5"/>
  <c r="Z251" i="5"/>
  <c r="Z376" i="5"/>
  <c r="Z396" i="5"/>
  <c r="Z410" i="5"/>
  <c r="Z553" i="5"/>
  <c r="Z409" i="5"/>
  <c r="Z556" i="5"/>
  <c r="Z511" i="5"/>
  <c r="Z398" i="5"/>
  <c r="Z306" i="5"/>
  <c r="Z187" i="5"/>
  <c r="Z66" i="5"/>
  <c r="Z59" i="5"/>
  <c r="Z80" i="5"/>
  <c r="Z123" i="5"/>
  <c r="Z297" i="5"/>
  <c r="Z192" i="5"/>
  <c r="Z169" i="5"/>
  <c r="Z484" i="5"/>
  <c r="Z348" i="5"/>
  <c r="Z298" i="5"/>
  <c r="Z172" i="5"/>
  <c r="Z47" i="5"/>
  <c r="Z88" i="5"/>
  <c r="Z99" i="5"/>
  <c r="Z228" i="5"/>
  <c r="Z326" i="5"/>
  <c r="Z435" i="5"/>
  <c r="Z356" i="5"/>
  <c r="Z477" i="5"/>
  <c r="Z465" i="5"/>
  <c r="Z481" i="5"/>
  <c r="Z458" i="5"/>
  <c r="Z70" i="5"/>
  <c r="Z129" i="5"/>
  <c r="Z132" i="5"/>
  <c r="Z268" i="5"/>
  <c r="Z385" i="5"/>
  <c r="Z325" i="5"/>
  <c r="Z452" i="5"/>
  <c r="Z444" i="5"/>
  <c r="Z441" i="5"/>
  <c r="Z340" i="5"/>
  <c r="Z542" i="5"/>
  <c r="Z516" i="5"/>
  <c r="Z473" i="5"/>
  <c r="Z364" i="5"/>
  <c r="Z257" i="5"/>
  <c r="Z168" i="5"/>
  <c r="Z26" i="5"/>
  <c r="Z24" i="5"/>
  <c r="Z91" i="5"/>
  <c r="Z133" i="5"/>
  <c r="Z156" i="5"/>
  <c r="Z195" i="5"/>
  <c r="Z197" i="5"/>
  <c r="Z253" i="5"/>
  <c r="Z290" i="5"/>
  <c r="Z314" i="5"/>
  <c r="Z417" i="5"/>
  <c r="Z25" i="5"/>
  <c r="Z32" i="5"/>
  <c r="Z86" i="5"/>
  <c r="Z119" i="5"/>
  <c r="Z166" i="5"/>
  <c r="Z217" i="5"/>
  <c r="Z198" i="5"/>
  <c r="Z302" i="5"/>
  <c r="Z255" i="5"/>
  <c r="Z243" i="5"/>
  <c r="Z292" i="5"/>
  <c r="Z76" i="5"/>
  <c r="Z405" i="5"/>
  <c r="Z266" i="5"/>
  <c r="Z323" i="5"/>
  <c r="Z152" i="5"/>
  <c r="Z35" i="5"/>
  <c r="Z97" i="5"/>
  <c r="Z174" i="5"/>
  <c r="Z200" i="5"/>
  <c r="Z260" i="5"/>
  <c r="Z338" i="5"/>
  <c r="Z366" i="5"/>
  <c r="Z492" i="5"/>
  <c r="Z476" i="5"/>
  <c r="Z493" i="5"/>
  <c r="Z31" i="5"/>
  <c r="Z83" i="5"/>
  <c r="Z167" i="5"/>
  <c r="Z204" i="5"/>
  <c r="Z294" i="5"/>
  <c r="Z422" i="5"/>
  <c r="Z345" i="5"/>
  <c r="Z462" i="5"/>
  <c r="Z455" i="5"/>
  <c r="Z451" i="5"/>
  <c r="Z368" i="5"/>
  <c r="Z524" i="5"/>
  <c r="Z354" i="5"/>
  <c r="Z449" i="5"/>
  <c r="Z336" i="5"/>
  <c r="Z283" i="5"/>
  <c r="Z148" i="5"/>
  <c r="Z36" i="5"/>
  <c r="Z45" i="5"/>
  <c r="Z90" i="5"/>
  <c r="Z147" i="5"/>
  <c r="Z175" i="5"/>
  <c r="Z113" i="5"/>
  <c r="Z214" i="5"/>
  <c r="Z264" i="5"/>
  <c r="Z309" i="5"/>
  <c r="Z324" i="5"/>
  <c r="Z425" i="5"/>
  <c r="Z41" i="5"/>
  <c r="Z62" i="5"/>
  <c r="Z102" i="5"/>
  <c r="Z138" i="5"/>
  <c r="Z180" i="5"/>
  <c r="Z230" i="5"/>
  <c r="Z208" i="5"/>
  <c r="Z310" i="5"/>
  <c r="Z265" i="5"/>
  <c r="Z343" i="5"/>
  <c r="Z357" i="5"/>
  <c r="Z134" i="5"/>
  <c r="Z307" i="5"/>
  <c r="Z63" i="5"/>
  <c r="Z183" i="5"/>
  <c r="Z301" i="5"/>
  <c r="Z262" i="5"/>
  <c r="Z149" i="5"/>
  <c r="Z315" i="5"/>
  <c r="Z139" i="5"/>
  <c r="Z49" i="5"/>
  <c r="Z288" i="5"/>
  <c r="Z271" i="5"/>
  <c r="Z546" i="5"/>
  <c r="Z258" i="5"/>
  <c r="Z399" i="5"/>
  <c r="Z261" i="5"/>
  <c r="Z144" i="5"/>
  <c r="Z46" i="5"/>
  <c r="Z111" i="5"/>
  <c r="Z145" i="5"/>
  <c r="Z224" i="5"/>
  <c r="Z279" i="5"/>
  <c r="Z377" i="5"/>
  <c r="Z388" i="5"/>
  <c r="Z505" i="5"/>
  <c r="Z503" i="5"/>
  <c r="Z508" i="5"/>
  <c r="Z20" i="5"/>
  <c r="Z108" i="5"/>
  <c r="Z159" i="5"/>
  <c r="Z241" i="5"/>
  <c r="Z212" i="5"/>
  <c r="Z442" i="5"/>
  <c r="Z358" i="5"/>
  <c r="Z478" i="5"/>
  <c r="Z467" i="5"/>
  <c r="Z487" i="5"/>
  <c r="Z472" i="5"/>
  <c r="Z483" i="5"/>
  <c r="Z544" i="5"/>
  <c r="Z387" i="5"/>
  <c r="Z416" i="5"/>
  <c r="Z303" i="5"/>
  <c r="Z122" i="5"/>
  <c r="Z48" i="5"/>
  <c r="Z54" i="5"/>
  <c r="Z89" i="5"/>
  <c r="Z154" i="5"/>
  <c r="Z115" i="5"/>
  <c r="Z191" i="5"/>
  <c r="Z231" i="5"/>
  <c r="Z285" i="5"/>
  <c r="Z329" i="5"/>
  <c r="Z339" i="5"/>
  <c r="Z439" i="5"/>
  <c r="Z38" i="5"/>
  <c r="Z75" i="5"/>
  <c r="Z81" i="5"/>
  <c r="Z158" i="5"/>
  <c r="Z127" i="5"/>
  <c r="Z240" i="5"/>
  <c r="Z220" i="5"/>
  <c r="Z165" i="5"/>
  <c r="Z277" i="5"/>
  <c r="Z369" i="5"/>
  <c r="Z78" i="5"/>
  <c r="Z225" i="5"/>
  <c r="Z333" i="5"/>
  <c r="Z125" i="5"/>
  <c r="Z242" i="5"/>
  <c r="Z227" i="5"/>
  <c r="Z51" i="5"/>
  <c r="Z332" i="5"/>
  <c r="Z181" i="5"/>
  <c r="Z101" i="5"/>
  <c r="Z440" i="5"/>
  <c r="Z19" i="5"/>
  <c r="Z545" i="5"/>
  <c r="Z500" i="5"/>
  <c r="Z370" i="5"/>
  <c r="Z215" i="5"/>
  <c r="Z105" i="5"/>
  <c r="Z73" i="5"/>
  <c r="Z131" i="5"/>
  <c r="Z193" i="5"/>
  <c r="Z247" i="5"/>
  <c r="Z312" i="5"/>
  <c r="Z392" i="5"/>
  <c r="Z400" i="5"/>
  <c r="Z537" i="5"/>
  <c r="Z519" i="5"/>
  <c r="Z522" i="5"/>
  <c r="Z29" i="5"/>
  <c r="Z103" i="5"/>
  <c r="Z106" i="5"/>
  <c r="Z209" i="5"/>
  <c r="Z270" i="5"/>
  <c r="Z360" i="5"/>
  <c r="Z374" i="5"/>
  <c r="Z498" i="5"/>
  <c r="Z479" i="5"/>
  <c r="Z494" i="5"/>
  <c r="Z533" i="5"/>
  <c r="Z438" i="5"/>
  <c r="Z518" i="5"/>
  <c r="Z531" i="5"/>
  <c r="Z389" i="5"/>
  <c r="Z245" i="5"/>
  <c r="Z128" i="5"/>
  <c r="Z23" i="5"/>
  <c r="Z68" i="5"/>
  <c r="Z74" i="5"/>
  <c r="Z114" i="5"/>
  <c r="Z164" i="5"/>
  <c r="Z213" i="5"/>
  <c r="Z163" i="5"/>
  <c r="Z300" i="5"/>
  <c r="Z254" i="5"/>
  <c r="Z361" i="5"/>
  <c r="Z286" i="5"/>
  <c r="Z28" i="5"/>
  <c r="Z67" i="5"/>
  <c r="Z117" i="5"/>
  <c r="Z124" i="5"/>
  <c r="Z173" i="5"/>
  <c r="Z126" i="5"/>
  <c r="Z234" i="5"/>
  <c r="Z267" i="5"/>
  <c r="Z287" i="5"/>
  <c r="Z383" i="5"/>
  <c r="Z37" i="5"/>
  <c r="Z201" i="5"/>
  <c r="Z352" i="5"/>
  <c r="Z142" i="5"/>
  <c r="Z280" i="5"/>
  <c r="Z171" i="5"/>
  <c r="Z92" i="5"/>
  <c r="Z269" i="5"/>
  <c r="Z238" i="5"/>
  <c r="Z155" i="5"/>
  <c r="Z346" i="5"/>
  <c r="Z501" i="5"/>
  <c r="Z526" i="5"/>
  <c r="Z468" i="5"/>
  <c r="Z423" i="5"/>
  <c r="Z205" i="5"/>
  <c r="Z84" i="5"/>
  <c r="Z53" i="5"/>
  <c r="Z153" i="5"/>
  <c r="Z190" i="5"/>
  <c r="Z281" i="5"/>
  <c r="Z337" i="5"/>
  <c r="Z408" i="5"/>
  <c r="Z420" i="5"/>
  <c r="Z341" i="5"/>
  <c r="Z327" i="5"/>
  <c r="Z539" i="5"/>
  <c r="Z39" i="5"/>
  <c r="Z118" i="5"/>
  <c r="Z177" i="5"/>
  <c r="Z239" i="5"/>
  <c r="Z289" i="5"/>
  <c r="Z380" i="5"/>
  <c r="Z394" i="5"/>
  <c r="Z507" i="5"/>
  <c r="Z506" i="5"/>
  <c r="Z510" i="5"/>
  <c r="Z558" i="5"/>
  <c r="Z547" i="5"/>
  <c r="Z489" i="5"/>
  <c r="Z486" i="5"/>
  <c r="Z335" i="5"/>
  <c r="Z199" i="5"/>
  <c r="Z96" i="5"/>
  <c r="Z98" i="5"/>
  <c r="Z176" i="5"/>
  <c r="Z263" i="5"/>
  <c r="Z82" i="5"/>
  <c r="Z184" i="5"/>
  <c r="Z404" i="5"/>
  <c r="Z40" i="5"/>
  <c r="Z219" i="5"/>
  <c r="Z179" i="5"/>
  <c r="Z57" i="5"/>
  <c r="Z330" i="5"/>
  <c r="Z443" i="5"/>
  <c r="Z536" i="5"/>
  <c r="Z391" i="5"/>
  <c r="Z363" i="5"/>
  <c r="Z235" i="5"/>
  <c r="Z71" i="5"/>
  <c r="Z77" i="5"/>
  <c r="Z130" i="5"/>
  <c r="Z222" i="5"/>
  <c r="Z305" i="5"/>
  <c r="Z318" i="5"/>
  <c r="Z419" i="5"/>
  <c r="Z367" i="5"/>
  <c r="Z393" i="5"/>
  <c r="Z407" i="5"/>
  <c r="Z548" i="5"/>
  <c r="Z60" i="5"/>
  <c r="Z140" i="5"/>
  <c r="Z203" i="5"/>
  <c r="Z259" i="5"/>
  <c r="Z320" i="5"/>
  <c r="Z395" i="5"/>
  <c r="Z403" i="5"/>
  <c r="Z189" i="5"/>
  <c r="Z520" i="5"/>
  <c r="Z530" i="5"/>
  <c r="Z447" i="5"/>
  <c r="Z515" i="5"/>
  <c r="Z445" i="5"/>
  <c r="Z457" i="5"/>
  <c r="Z411" i="5"/>
  <c r="Z188" i="5"/>
  <c r="Z85" i="5"/>
  <c r="Z33" i="5"/>
  <c r="Z72" i="5"/>
  <c r="Z107" i="5"/>
  <c r="Z157" i="5"/>
  <c r="Z121" i="5"/>
  <c r="Z236" i="5"/>
  <c r="Z218" i="5"/>
  <c r="Z331" i="5"/>
  <c r="Z274" i="5"/>
  <c r="Z365" i="5"/>
  <c r="Z27" i="5"/>
  <c r="Z55" i="5"/>
  <c r="Z93" i="5"/>
  <c r="Z135" i="5"/>
  <c r="Z141" i="5"/>
  <c r="Z196" i="5"/>
  <c r="Z202" i="5"/>
  <c r="Z256" i="5"/>
  <c r="Z293" i="5"/>
  <c r="Z319" i="5"/>
  <c r="Z418" i="5"/>
  <c r="Z517" i="5"/>
  <c r="Z299" i="5"/>
  <c r="Z221" i="5"/>
  <c r="Z21" i="5"/>
  <c r="Z116" i="5"/>
  <c r="Z252" i="5"/>
  <c r="Z379" i="5"/>
  <c r="Z170" i="5"/>
  <c r="Z430" i="5"/>
  <c r="Z402" i="5"/>
  <c r="Z237" i="5"/>
  <c r="Z9" i="5"/>
  <c r="Z11" i="5"/>
  <c r="AQ157" i="4"/>
  <c r="AR157" i="4" s="1"/>
  <c r="AS157" i="4" s="1"/>
  <c r="AQ133" i="4"/>
  <c r="AR133" i="4" s="1"/>
  <c r="AS133" i="4" s="1"/>
  <c r="AQ126" i="4"/>
  <c r="AR126" i="4" s="1"/>
  <c r="AS126" i="4" s="1"/>
  <c r="AN150" i="4"/>
  <c r="AS150" i="4" s="1"/>
  <c r="AQ152" i="4"/>
  <c r="AR152" i="4" s="1"/>
  <c r="AS152" i="4" s="1"/>
  <c r="AR131" i="4"/>
  <c r="AS131" i="4" s="1"/>
  <c r="AR127" i="4"/>
  <c r="AS127" i="4" s="1"/>
  <c r="AN122" i="4"/>
  <c r="AS122" i="4" s="1"/>
  <c r="AN154" i="4"/>
  <c r="AS154" i="4" s="1"/>
  <c r="AR155" i="4"/>
  <c r="AS155" i="4" s="1"/>
  <c r="AS121" i="4"/>
  <c r="BX8" i="4"/>
  <c r="AS15" i="4"/>
  <c r="BZ7" i="4"/>
  <c r="AS17" i="4"/>
  <c r="AS93" i="4"/>
  <c r="AS31" i="4"/>
  <c r="AS144" i="4"/>
  <c r="AS94" i="4"/>
  <c r="AS89" i="4"/>
  <c r="AS80" i="4"/>
  <c r="AD113" i="4"/>
  <c r="AE113" i="4" s="1"/>
  <c r="BX113" i="4" s="1"/>
  <c r="AH113" i="4"/>
  <c r="AJ113" i="4" s="1"/>
  <c r="AD104" i="4"/>
  <c r="AE104" i="4" s="1"/>
  <c r="BX104" i="4" s="1"/>
  <c r="AH104" i="4"/>
  <c r="AJ104" i="4" s="1"/>
  <c r="AD137" i="4"/>
  <c r="AE137" i="4" s="1"/>
  <c r="BX137" i="4" s="1"/>
  <c r="AH137" i="4"/>
  <c r="AJ137" i="4" s="1"/>
  <c r="AD65" i="4"/>
  <c r="AE65" i="4" s="1"/>
  <c r="BX65" i="4" s="1"/>
  <c r="AH65" i="4"/>
  <c r="AJ65" i="4" s="1"/>
  <c r="AD32" i="4"/>
  <c r="AE32" i="4" s="1"/>
  <c r="BX32" i="4" s="1"/>
  <c r="AH32" i="4"/>
  <c r="AJ32" i="4" s="1"/>
  <c r="AD106" i="4"/>
  <c r="AE106" i="4" s="1"/>
  <c r="BX106" i="4" s="1"/>
  <c r="AH106" i="4"/>
  <c r="AJ106" i="4" s="1"/>
  <c r="AD54" i="4"/>
  <c r="AE54" i="4" s="1"/>
  <c r="BX54" i="4" s="1"/>
  <c r="AH54" i="4"/>
  <c r="AJ54" i="4" s="1"/>
  <c r="AD148" i="4"/>
  <c r="AE148" i="4" s="1"/>
  <c r="BX148" i="4" s="1"/>
  <c r="AH148" i="4"/>
  <c r="AJ148" i="4" s="1"/>
  <c r="AD124" i="4"/>
  <c r="AE124" i="4" s="1"/>
  <c r="BX124" i="4" s="1"/>
  <c r="AH124" i="4"/>
  <c r="AJ124" i="4" s="1"/>
  <c r="AD82" i="4"/>
  <c r="AE82" i="4" s="1"/>
  <c r="BX82" i="4" s="1"/>
  <c r="AH82" i="4"/>
  <c r="AJ82" i="4" s="1"/>
  <c r="AD111" i="4"/>
  <c r="AE111" i="4" s="1"/>
  <c r="BX111" i="4" s="1"/>
  <c r="AH111" i="4"/>
  <c r="AJ111" i="4" s="1"/>
  <c r="AD47" i="4"/>
  <c r="AE47" i="4" s="1"/>
  <c r="BX47" i="4" s="1"/>
  <c r="AH47" i="4"/>
  <c r="AJ47" i="4" s="1"/>
  <c r="AD64" i="4"/>
  <c r="AE64" i="4" s="1"/>
  <c r="BX64" i="4" s="1"/>
  <c r="AH64" i="4"/>
  <c r="AJ64" i="4" s="1"/>
  <c r="AD146" i="4"/>
  <c r="AE146" i="4" s="1"/>
  <c r="BX146" i="4" s="1"/>
  <c r="AH146" i="4"/>
  <c r="AJ146" i="4" s="1"/>
  <c r="AD21" i="4"/>
  <c r="AE21" i="4" s="1"/>
  <c r="BX21" i="4" s="1"/>
  <c r="AH21" i="4"/>
  <c r="AJ21" i="4" s="1"/>
  <c r="AD79" i="4"/>
  <c r="AE79" i="4" s="1"/>
  <c r="BX79" i="4" s="1"/>
  <c r="AH79" i="4"/>
  <c r="AJ79" i="4" s="1"/>
  <c r="AD46" i="4"/>
  <c r="AE46" i="4" s="1"/>
  <c r="BX46" i="4" s="1"/>
  <c r="AH46" i="4"/>
  <c r="AJ46" i="4" s="1"/>
  <c r="AD117" i="4"/>
  <c r="AE117" i="4" s="1"/>
  <c r="BX117" i="4" s="1"/>
  <c r="AH117" i="4"/>
  <c r="AJ117" i="4" s="1"/>
  <c r="AD157" i="4"/>
  <c r="AE157" i="4" s="1"/>
  <c r="BX157" i="4" s="1"/>
  <c r="AH157" i="4"/>
  <c r="AJ157" i="4" s="1"/>
  <c r="AD143" i="4"/>
  <c r="AE143" i="4" s="1"/>
  <c r="BX143" i="4" s="1"/>
  <c r="AH143" i="4"/>
  <c r="AJ143" i="4" s="1"/>
  <c r="AD122" i="4"/>
  <c r="AE122" i="4" s="1"/>
  <c r="BX122" i="4" s="1"/>
  <c r="AH122" i="4"/>
  <c r="AJ122" i="4" s="1"/>
  <c r="AD59" i="4"/>
  <c r="AE59" i="4" s="1"/>
  <c r="BX59" i="4" s="1"/>
  <c r="AH59" i="4"/>
  <c r="AJ59" i="4" s="1"/>
  <c r="AD140" i="4"/>
  <c r="AE140" i="4" s="1"/>
  <c r="BX140" i="4" s="1"/>
  <c r="AH140" i="4"/>
  <c r="AJ140" i="4" s="1"/>
  <c r="AD24" i="4"/>
  <c r="AE24" i="4" s="1"/>
  <c r="BX24" i="4" s="1"/>
  <c r="AH24" i="4"/>
  <c r="AJ24" i="4" s="1"/>
  <c r="AD136" i="4"/>
  <c r="AE136" i="4" s="1"/>
  <c r="BX136" i="4" s="1"/>
  <c r="AH136" i="4"/>
  <c r="AJ136" i="4" s="1"/>
  <c r="AD49" i="4"/>
  <c r="AE49" i="4" s="1"/>
  <c r="BX49" i="4" s="1"/>
  <c r="AH49" i="4"/>
  <c r="AJ49" i="4" s="1"/>
  <c r="AD48" i="4"/>
  <c r="AE48" i="4" s="1"/>
  <c r="BX48" i="4" s="1"/>
  <c r="AH48" i="4"/>
  <c r="AJ48" i="4" s="1"/>
  <c r="AD94" i="4"/>
  <c r="AE94" i="4" s="1"/>
  <c r="BX94" i="4" s="1"/>
  <c r="AH94" i="4"/>
  <c r="AJ94" i="4" s="1"/>
  <c r="AD102" i="4"/>
  <c r="AE102" i="4" s="1"/>
  <c r="BX102" i="4" s="1"/>
  <c r="AH102" i="4"/>
  <c r="AJ102" i="4" s="1"/>
  <c r="AD39" i="4"/>
  <c r="AE39" i="4" s="1"/>
  <c r="BX39" i="4" s="1"/>
  <c r="AH39" i="4"/>
  <c r="AJ39" i="4" s="1"/>
  <c r="AD81" i="4"/>
  <c r="AE81" i="4" s="1"/>
  <c r="BX81" i="4" s="1"/>
  <c r="AH81" i="4"/>
  <c r="AJ81" i="4" s="1"/>
  <c r="AD118" i="4"/>
  <c r="AE118" i="4" s="1"/>
  <c r="BX118" i="4" s="1"/>
  <c r="AH118" i="4"/>
  <c r="AJ118" i="4" s="1"/>
  <c r="AD149" i="4"/>
  <c r="AE149" i="4" s="1"/>
  <c r="BX149" i="4" s="1"/>
  <c r="AH149" i="4"/>
  <c r="AJ149" i="4" s="1"/>
  <c r="AD26" i="4"/>
  <c r="AE26" i="4" s="1"/>
  <c r="BX26" i="4" s="1"/>
  <c r="AH26" i="4"/>
  <c r="AJ26" i="4" s="1"/>
  <c r="AD110" i="4"/>
  <c r="AE110" i="4" s="1"/>
  <c r="BX110" i="4" s="1"/>
  <c r="AH110" i="4"/>
  <c r="AJ110" i="4" s="1"/>
  <c r="AD19" i="4"/>
  <c r="AE19" i="4" s="1"/>
  <c r="BX19" i="4" s="1"/>
  <c r="AH19" i="4"/>
  <c r="AJ19" i="4" s="1"/>
  <c r="AD156" i="4"/>
  <c r="AE156" i="4" s="1"/>
  <c r="BX156" i="4" s="1"/>
  <c r="AH156" i="4"/>
  <c r="AJ156" i="4" s="1"/>
  <c r="AD126" i="4"/>
  <c r="AE126" i="4" s="1"/>
  <c r="BX126" i="4" s="1"/>
  <c r="AH126" i="4"/>
  <c r="AJ126" i="4" s="1"/>
  <c r="AS57" i="4"/>
  <c r="AS39" i="4"/>
  <c r="AS27" i="4"/>
  <c r="AS70" i="4"/>
  <c r="AS53" i="4"/>
  <c r="AS43" i="4"/>
  <c r="AS73" i="4"/>
  <c r="AS58" i="4"/>
  <c r="AJ97" i="4"/>
  <c r="AS88" i="4"/>
  <c r="AS103" i="4"/>
  <c r="AS25" i="4"/>
  <c r="AS50" i="4"/>
  <c r="AS97" i="4"/>
  <c r="AS61" i="4"/>
  <c r="AS151" i="4"/>
  <c r="AS76" i="4"/>
  <c r="AS12" i="4"/>
  <c r="AS16" i="4"/>
  <c r="AJ90" i="4"/>
  <c r="AS67" i="4"/>
  <c r="AS109" i="4"/>
  <c r="AN24" i="4"/>
  <c r="AS51" i="4"/>
  <c r="AS69" i="4"/>
  <c r="AS141" i="4"/>
  <c r="AS30" i="4"/>
  <c r="AS8" i="4"/>
  <c r="AN65" i="4"/>
  <c r="AS52" i="4"/>
  <c r="AS82" i="4"/>
  <c r="AN81" i="4"/>
  <c r="AS81" i="4" s="1"/>
  <c r="AS90" i="4"/>
  <c r="AS119" i="4"/>
  <c r="AS41" i="4"/>
  <c r="AS38" i="4"/>
  <c r="AE25" i="4"/>
  <c r="BX25" i="4" s="1"/>
  <c r="AE89" i="4"/>
  <c r="BX89" i="4" s="1"/>
  <c r="AQ145" i="4"/>
  <c r="AR145" i="4" s="1"/>
  <c r="AE41" i="4"/>
  <c r="BX41" i="4" s="1"/>
  <c r="AE55" i="4"/>
  <c r="BX55" i="4" s="1"/>
  <c r="AE31" i="4"/>
  <c r="BX31" i="4" s="1"/>
  <c r="AE33" i="4"/>
  <c r="BX33" i="4" s="1"/>
  <c r="AE56" i="4"/>
  <c r="BX56" i="4" s="1"/>
  <c r="AE37" i="4"/>
  <c r="BX37" i="4" s="1"/>
  <c r="AE45" i="4"/>
  <c r="BX45" i="4" s="1"/>
  <c r="AE58" i="4"/>
  <c r="BX58" i="4" s="1"/>
  <c r="AE130" i="4"/>
  <c r="BX130" i="4" s="1"/>
  <c r="AE109" i="4"/>
  <c r="BX109" i="4" s="1"/>
  <c r="AE34" i="4"/>
  <c r="BX34" i="4" s="1"/>
  <c r="AQ65" i="4"/>
  <c r="AR65" i="4" s="1"/>
  <c r="AQ19" i="4"/>
  <c r="AR19" i="4" s="1"/>
  <c r="AS19" i="4" s="1"/>
  <c r="AS75" i="4"/>
  <c r="AN149" i="4"/>
  <c r="AQ108" i="4"/>
  <c r="AR108" i="4" s="1"/>
  <c r="AQ143" i="4"/>
  <c r="AR143" i="4" s="1"/>
  <c r="AQ146" i="4"/>
  <c r="AR146" i="4" s="1"/>
  <c r="AN156" i="4"/>
  <c r="AN110" i="4"/>
  <c r="AS29" i="4"/>
  <c r="AN116" i="4"/>
  <c r="AS23" i="4"/>
  <c r="AE105" i="4"/>
  <c r="BX105" i="4" s="1"/>
  <c r="AE17" i="4"/>
  <c r="BX17" i="4" s="1"/>
  <c r="AE29" i="4"/>
  <c r="BX29" i="4" s="1"/>
  <c r="AE135" i="4"/>
  <c r="BX135" i="4" s="1"/>
  <c r="AE99" i="4"/>
  <c r="BX99" i="4" s="1"/>
  <c r="AE95" i="4"/>
  <c r="BX95" i="4" s="1"/>
  <c r="AQ24" i="4"/>
  <c r="AR24" i="4" s="1"/>
  <c r="AQ49" i="4"/>
  <c r="AR49" i="4" s="1"/>
  <c r="AS49" i="4" s="1"/>
  <c r="AN124" i="4"/>
  <c r="AN136" i="4"/>
  <c r="AS136" i="4" s="1"/>
  <c r="AQ137" i="4"/>
  <c r="AQ21" i="4"/>
  <c r="AR21" i="4" s="1"/>
  <c r="AE57" i="4"/>
  <c r="BX57" i="4" s="1"/>
  <c r="AE87" i="4"/>
  <c r="BX87" i="4" s="1"/>
  <c r="AE116" i="4"/>
  <c r="BX116" i="4" s="1"/>
  <c r="AE91" i="4"/>
  <c r="BX91" i="4" s="1"/>
  <c r="AE10" i="4"/>
  <c r="BX10" i="4" s="1"/>
  <c r="AN145" i="4"/>
  <c r="AQ54" i="4"/>
  <c r="AR54" i="4" s="1"/>
  <c r="AN117" i="4"/>
  <c r="AS117" i="4" s="1"/>
  <c r="AQ113" i="4"/>
  <c r="AR113" i="4" s="1"/>
  <c r="AN148" i="4"/>
  <c r="AS148" i="4" s="1"/>
  <c r="AS34" i="4"/>
  <c r="AS63" i="4"/>
  <c r="AQ130" i="4"/>
  <c r="AR130" i="4" s="1"/>
  <c r="AS130" i="4" s="1"/>
  <c r="BT8" i="4"/>
  <c r="AQ110" i="4"/>
  <c r="AR110" i="4" s="1"/>
  <c r="AN146" i="4"/>
  <c r="AN54" i="4"/>
  <c r="AQ116" i="4"/>
  <c r="AR116" i="4" s="1"/>
  <c r="AQ124" i="4"/>
  <c r="AR124" i="4" s="1"/>
  <c r="AJ52" i="4"/>
  <c r="AN21" i="4"/>
  <c r="AN108" i="4"/>
  <c r="AN143" i="4"/>
  <c r="AN142" i="4"/>
  <c r="AQ142" i="4"/>
  <c r="AR142" i="4" s="1"/>
  <c r="AN113" i="4"/>
  <c r="AN137" i="4"/>
  <c r="AQ149" i="4"/>
  <c r="AR149" i="4" s="1"/>
  <c r="AQ156" i="4"/>
  <c r="AR156" i="4" s="1"/>
  <c r="AN140" i="4"/>
  <c r="AQ140" i="4"/>
  <c r="AR140" i="4" s="1"/>
  <c r="AQ123" i="4"/>
  <c r="AN123" i="4"/>
  <c r="AJ123" i="4"/>
  <c r="AJ108" i="4"/>
  <c r="AS132" i="4"/>
  <c r="AS44" i="4"/>
  <c r="AS114" i="4"/>
  <c r="AS32" i="4"/>
  <c r="AS92" i="4"/>
  <c r="AS112" i="4"/>
  <c r="AS106" i="4"/>
  <c r="AS96" i="4"/>
  <c r="AS26" i="4"/>
  <c r="AS100" i="4"/>
  <c r="AS64" i="4"/>
  <c r="AS48" i="4"/>
  <c r="AS79" i="4"/>
  <c r="AS128" i="4"/>
  <c r="AS134" i="4"/>
  <c r="AQ118" i="4"/>
  <c r="AR118" i="4" s="1"/>
  <c r="AN118" i="4"/>
  <c r="AQ46" i="4"/>
  <c r="AR46" i="4" s="1"/>
  <c r="AN46" i="4"/>
  <c r="AN104" i="4"/>
  <c r="AQ104" i="4"/>
  <c r="AR104" i="4" s="1"/>
  <c r="AN47" i="4"/>
  <c r="AQ47" i="4"/>
  <c r="AR47" i="4" s="1"/>
  <c r="AJ16" i="4"/>
  <c r="AJ120" i="4"/>
  <c r="AJ95" i="4"/>
  <c r="AJ41" i="4"/>
  <c r="AJ87" i="4"/>
  <c r="AJ37" i="4"/>
  <c r="AJ133" i="4"/>
  <c r="AJ33" i="4"/>
  <c r="AJ25" i="4"/>
  <c r="AJ152" i="4"/>
  <c r="AJ57" i="4"/>
  <c r="AJ107" i="4"/>
  <c r="BY107" i="4" s="1"/>
  <c r="BZ107" i="4" s="1"/>
  <c r="AJ105" i="4"/>
  <c r="AJ55" i="4"/>
  <c r="AJ155" i="4"/>
  <c r="AJ83" i="4"/>
  <c r="AJ89" i="4"/>
  <c r="AJ62" i="4"/>
  <c r="AJ69" i="4"/>
  <c r="AJ29" i="4"/>
  <c r="AJ99" i="4"/>
  <c r="AJ75" i="4"/>
  <c r="AJ142" i="4"/>
  <c r="AJ116" i="4"/>
  <c r="AJ109" i="4"/>
  <c r="AJ76" i="4"/>
  <c r="AJ45" i="4"/>
  <c r="AJ58" i="4"/>
  <c r="AJ31" i="4"/>
  <c r="AJ56" i="4"/>
  <c r="AJ150" i="4"/>
  <c r="AJ130" i="4"/>
  <c r="AJ91" i="4"/>
  <c r="AJ135" i="4"/>
  <c r="AJ72" i="4"/>
  <c r="AC378" i="10" l="1"/>
  <c r="AE378" i="10" s="1"/>
  <c r="AC189" i="10"/>
  <c r="AD189" i="10" s="1"/>
  <c r="AC227" i="10"/>
  <c r="AD227" i="10" s="1"/>
  <c r="AC265" i="10"/>
  <c r="AE265" i="10" s="1"/>
  <c r="AC258" i="10"/>
  <c r="AD258" i="10" s="1"/>
  <c r="AC311" i="10"/>
  <c r="AD311" i="10" s="1"/>
  <c r="AC49" i="10"/>
  <c r="AE49" i="10" s="1"/>
  <c r="AC327" i="10"/>
  <c r="AE327" i="10" s="1"/>
  <c r="AC558" i="10"/>
  <c r="AD558" i="10" s="1"/>
  <c r="AC190" i="10"/>
  <c r="AD190" i="10" s="1"/>
  <c r="AC518" i="10"/>
  <c r="AD518" i="10" s="1"/>
  <c r="AC371" i="10"/>
  <c r="AE371" i="10" s="1"/>
  <c r="AC154" i="10"/>
  <c r="AE154" i="10" s="1"/>
  <c r="AC333" i="10"/>
  <c r="AD333" i="10" s="1"/>
  <c r="AC393" i="10"/>
  <c r="AE393" i="10" s="1"/>
  <c r="AC146" i="10"/>
  <c r="AD146" i="10" s="1"/>
  <c r="AC414" i="10"/>
  <c r="AE414" i="10" s="1"/>
  <c r="AC235" i="10"/>
  <c r="AD235" i="10" s="1"/>
  <c r="AC53" i="10"/>
  <c r="AE53" i="10" s="1"/>
  <c r="AC381" i="10"/>
  <c r="AE381" i="10" s="1"/>
  <c r="AC339" i="10"/>
  <c r="AD339" i="10" s="1"/>
  <c r="AC545" i="10"/>
  <c r="AC463" i="10"/>
  <c r="AE463" i="10" s="1"/>
  <c r="AC401" i="10"/>
  <c r="AD401" i="10" s="1"/>
  <c r="AC512" i="10"/>
  <c r="AE512" i="10" s="1"/>
  <c r="AC362" i="10"/>
  <c r="AD362" i="10" s="1"/>
  <c r="AC434" i="10"/>
  <c r="AE434" i="10" s="1"/>
  <c r="AC238" i="10"/>
  <c r="AE238" i="10" s="1"/>
  <c r="AC534" i="10"/>
  <c r="AD534" i="10" s="1"/>
  <c r="AC124" i="10"/>
  <c r="AD124" i="10" s="1"/>
  <c r="AC83" i="10"/>
  <c r="AE83" i="10" s="1"/>
  <c r="AC249" i="10"/>
  <c r="AE249" i="10" s="1"/>
  <c r="AC423" i="10"/>
  <c r="AE423" i="10" s="1"/>
  <c r="AC69" i="10"/>
  <c r="AD69" i="10" s="1"/>
  <c r="AC376" i="10"/>
  <c r="AD376" i="10" s="1"/>
  <c r="AC92" i="10"/>
  <c r="AE92" i="10" s="1"/>
  <c r="AC62" i="10"/>
  <c r="AE62" i="10" s="1"/>
  <c r="AC486" i="10"/>
  <c r="AE486" i="10" s="1"/>
  <c r="AC364" i="10"/>
  <c r="AE364" i="10" s="1"/>
  <c r="AC336" i="10"/>
  <c r="AD336" i="10" s="1"/>
  <c r="AC173" i="10"/>
  <c r="AE173" i="10" s="1"/>
  <c r="AC269" i="10"/>
  <c r="AD269" i="10" s="1"/>
  <c r="AC539" i="10"/>
  <c r="AD539" i="10" s="1"/>
  <c r="AC314" i="10"/>
  <c r="AE314" i="10" s="1"/>
  <c r="AC90" i="10"/>
  <c r="AE90" i="10" s="1"/>
  <c r="AC416" i="10"/>
  <c r="AE416" i="10" s="1"/>
  <c r="AC61" i="10"/>
  <c r="AD61" i="10" s="1"/>
  <c r="AC278" i="10"/>
  <c r="AD278" i="10" s="1"/>
  <c r="AC426" i="10"/>
  <c r="AE426" i="10" s="1"/>
  <c r="AC395" i="10"/>
  <c r="AE395" i="10" s="1"/>
  <c r="AC242" i="10"/>
  <c r="AE242" i="10" s="1"/>
  <c r="AC519" i="10"/>
  <c r="AD519" i="10" s="1"/>
  <c r="AC139" i="10"/>
  <c r="AE139" i="10" s="1"/>
  <c r="AC304" i="10"/>
  <c r="AD304" i="10" s="1"/>
  <c r="AC478" i="10"/>
  <c r="AD478" i="10" s="1"/>
  <c r="AC520" i="10"/>
  <c r="AD520" i="10" s="1"/>
  <c r="AC73" i="10"/>
  <c r="AD73" i="10" s="1"/>
  <c r="AC413" i="5"/>
  <c r="AE413" i="5" s="1"/>
  <c r="AC548" i="10"/>
  <c r="AE548" i="10" s="1"/>
  <c r="AC319" i="10"/>
  <c r="AD319" i="10" s="1"/>
  <c r="AC446" i="10"/>
  <c r="AD446" i="10" s="1"/>
  <c r="AC550" i="10"/>
  <c r="AD550" i="10" s="1"/>
  <c r="AC57" i="10"/>
  <c r="AE57" i="10" s="1"/>
  <c r="AA40" i="5"/>
  <c r="AB40" i="5"/>
  <c r="AB300" i="5"/>
  <c r="AA300" i="5"/>
  <c r="AB240" i="5"/>
  <c r="AA240" i="5"/>
  <c r="AB90" i="5"/>
  <c r="AA90" i="5"/>
  <c r="AB441" i="5"/>
  <c r="AA441" i="5"/>
  <c r="AB87" i="5"/>
  <c r="AA87" i="5"/>
  <c r="AA334" i="5"/>
  <c r="AB334" i="5"/>
  <c r="AB373" i="5"/>
  <c r="AA373" i="5"/>
  <c r="AB149" i="10"/>
  <c r="AA149" i="10"/>
  <c r="AA288" i="10"/>
  <c r="AB288" i="10"/>
  <c r="AB402" i="10"/>
  <c r="AA402" i="10"/>
  <c r="AB340" i="10"/>
  <c r="AA340" i="10"/>
  <c r="AB422" i="10"/>
  <c r="AA422" i="10"/>
  <c r="AB305" i="10"/>
  <c r="AA305" i="10"/>
  <c r="AB472" i="10"/>
  <c r="AA472" i="10"/>
  <c r="AA170" i="5"/>
  <c r="AB170" i="5"/>
  <c r="AA418" i="5"/>
  <c r="AB418" i="5"/>
  <c r="AB93" i="5"/>
  <c r="AA93" i="5"/>
  <c r="AA121" i="5"/>
  <c r="AB121" i="5"/>
  <c r="AA457" i="5"/>
  <c r="AB457" i="5"/>
  <c r="AB395" i="5"/>
  <c r="AA395" i="5"/>
  <c r="AB393" i="5"/>
  <c r="AA393" i="5"/>
  <c r="AB71" i="5"/>
  <c r="AA71" i="5"/>
  <c r="AA179" i="5"/>
  <c r="AB179" i="5"/>
  <c r="AA98" i="5"/>
  <c r="AB98" i="5"/>
  <c r="AB510" i="5"/>
  <c r="AA510" i="5"/>
  <c r="AB118" i="5"/>
  <c r="AA118" i="5"/>
  <c r="AB281" i="5"/>
  <c r="AA281" i="5"/>
  <c r="AA526" i="5"/>
  <c r="AB526" i="5"/>
  <c r="AA280" i="5"/>
  <c r="AB280" i="5"/>
  <c r="AB234" i="5"/>
  <c r="AA234" i="5"/>
  <c r="AA361" i="5"/>
  <c r="AB361" i="5"/>
  <c r="AA68" i="5"/>
  <c r="AB68" i="5"/>
  <c r="AB533" i="5"/>
  <c r="AA533" i="5"/>
  <c r="AA106" i="5"/>
  <c r="AB106" i="5"/>
  <c r="AA312" i="5"/>
  <c r="AB312" i="5"/>
  <c r="AB500" i="5"/>
  <c r="AA500" i="5"/>
  <c r="AB227" i="5"/>
  <c r="AA227" i="5"/>
  <c r="AA165" i="5"/>
  <c r="AB165" i="5"/>
  <c r="AB439" i="5"/>
  <c r="AA439" i="5"/>
  <c r="AA89" i="5"/>
  <c r="AB89" i="5"/>
  <c r="AB483" i="5"/>
  <c r="AA483" i="5"/>
  <c r="AB241" i="5"/>
  <c r="AA241" i="5"/>
  <c r="AA377" i="5"/>
  <c r="AB377" i="5"/>
  <c r="AA399" i="5"/>
  <c r="AB399" i="5"/>
  <c r="AB149" i="5"/>
  <c r="AA149" i="5"/>
  <c r="AA343" i="5"/>
  <c r="AB343" i="5"/>
  <c r="AB62" i="5"/>
  <c r="AA62" i="5"/>
  <c r="AA175" i="5"/>
  <c r="AB175" i="5"/>
  <c r="AA449" i="5"/>
  <c r="AB449" i="5"/>
  <c r="AB422" i="5"/>
  <c r="AA422" i="5"/>
  <c r="AB492" i="5"/>
  <c r="AA492" i="5"/>
  <c r="AB152" i="5"/>
  <c r="AA152" i="5"/>
  <c r="AA302" i="5"/>
  <c r="AB302" i="5"/>
  <c r="AB417" i="5"/>
  <c r="AA417" i="5"/>
  <c r="AA91" i="5"/>
  <c r="AB91" i="5"/>
  <c r="AA542" i="5"/>
  <c r="AB542" i="5"/>
  <c r="AA132" i="5"/>
  <c r="AB132" i="5"/>
  <c r="AB435" i="5"/>
  <c r="AA435" i="5"/>
  <c r="AA348" i="5"/>
  <c r="AB348" i="5"/>
  <c r="AB66" i="5"/>
  <c r="AA66" i="5"/>
  <c r="AA410" i="5"/>
  <c r="AB410" i="5"/>
  <c r="AB65" i="5"/>
  <c r="AA65" i="5"/>
  <c r="AB194" i="5"/>
  <c r="AA194" i="5"/>
  <c r="AA390" i="5"/>
  <c r="AB390" i="5"/>
  <c r="AB304" i="5"/>
  <c r="AA304" i="5"/>
  <c r="AB351" i="5"/>
  <c r="AA351" i="5"/>
  <c r="AA419" i="5"/>
  <c r="AB419" i="5"/>
  <c r="AB352" i="5"/>
  <c r="AA352" i="5"/>
  <c r="AB125" i="5"/>
  <c r="AA125" i="5"/>
  <c r="AB301" i="5"/>
  <c r="AA301" i="5"/>
  <c r="AB217" i="5"/>
  <c r="AA217" i="5"/>
  <c r="AB376" i="5"/>
  <c r="AA376" i="5"/>
  <c r="AB406" i="5"/>
  <c r="AA406" i="5"/>
  <c r="AB186" i="5"/>
  <c r="AA186" i="5"/>
  <c r="AA168" i="10"/>
  <c r="AB168" i="10"/>
  <c r="AA147" i="10"/>
  <c r="AB147" i="10"/>
  <c r="AA215" i="10"/>
  <c r="AB215" i="10"/>
  <c r="AA394" i="10"/>
  <c r="AB394" i="10"/>
  <c r="AB201" i="10"/>
  <c r="AA201" i="10"/>
  <c r="AA379" i="5"/>
  <c r="AB379" i="5"/>
  <c r="AB319" i="5"/>
  <c r="AA319" i="5"/>
  <c r="AB55" i="5"/>
  <c r="AA55" i="5"/>
  <c r="AA157" i="5"/>
  <c r="AB157" i="5"/>
  <c r="AB445" i="5"/>
  <c r="AA445" i="5"/>
  <c r="AB320" i="5"/>
  <c r="AA320" i="5"/>
  <c r="AB367" i="5"/>
  <c r="AA367" i="5"/>
  <c r="AA235" i="5"/>
  <c r="AB235" i="5"/>
  <c r="AB219" i="5"/>
  <c r="AA219" i="5"/>
  <c r="AA96" i="5"/>
  <c r="AB96" i="5"/>
  <c r="AA506" i="5"/>
  <c r="AB506" i="5"/>
  <c r="AA39" i="5"/>
  <c r="AB39" i="5"/>
  <c r="AA190" i="5"/>
  <c r="AB190" i="5"/>
  <c r="AA501" i="5"/>
  <c r="AB501" i="5"/>
  <c r="AA142" i="5"/>
  <c r="AB142" i="5"/>
  <c r="AB126" i="5"/>
  <c r="AA126" i="5"/>
  <c r="AB254" i="5"/>
  <c r="AA254" i="5"/>
  <c r="AA23" i="5"/>
  <c r="AB23" i="5"/>
  <c r="AB494" i="5"/>
  <c r="AA494" i="5"/>
  <c r="AA103" i="5"/>
  <c r="AB103" i="5"/>
  <c r="AB247" i="5"/>
  <c r="AA247" i="5"/>
  <c r="AB545" i="5"/>
  <c r="AA545" i="5"/>
  <c r="AA242" i="5"/>
  <c r="AB242" i="5"/>
  <c r="AB220" i="5"/>
  <c r="AA220" i="5"/>
  <c r="AB339" i="5"/>
  <c r="AA339" i="5"/>
  <c r="AA54" i="5"/>
  <c r="AB54" i="5"/>
  <c r="AA472" i="5"/>
  <c r="AB472" i="5"/>
  <c r="AB159" i="5"/>
  <c r="AA159" i="5"/>
  <c r="AB279" i="5"/>
  <c r="AA279" i="5"/>
  <c r="AA258" i="5"/>
  <c r="AB258" i="5"/>
  <c r="AB262" i="5"/>
  <c r="AA262" i="5"/>
  <c r="AB265" i="5"/>
  <c r="AA265" i="5"/>
  <c r="AB41" i="5"/>
  <c r="AA41" i="5"/>
  <c r="AA147" i="5"/>
  <c r="AB147" i="5"/>
  <c r="AA354" i="5"/>
  <c r="AB354" i="5"/>
  <c r="AB294" i="5"/>
  <c r="AA294" i="5"/>
  <c r="AA366" i="5"/>
  <c r="AB366" i="5"/>
  <c r="AA323" i="5"/>
  <c r="AB323" i="5"/>
  <c r="AB198" i="5"/>
  <c r="AA198" i="5"/>
  <c r="AA314" i="5"/>
  <c r="AB314" i="5"/>
  <c r="AB24" i="5"/>
  <c r="AA24" i="5"/>
  <c r="AB340" i="5"/>
  <c r="AA340" i="5"/>
  <c r="AB129" i="5"/>
  <c r="AA129" i="5"/>
  <c r="AB326" i="5"/>
  <c r="AA326" i="5"/>
  <c r="AA484" i="5"/>
  <c r="AB484" i="5"/>
  <c r="AA187" i="5"/>
  <c r="AB187" i="5"/>
  <c r="AA396" i="5"/>
  <c r="AB396" i="5"/>
  <c r="AB362" i="5"/>
  <c r="AA362" i="5"/>
  <c r="AB151" i="5"/>
  <c r="AA151" i="5"/>
  <c r="AA143" i="5"/>
  <c r="AB143" i="5"/>
  <c r="AB386" i="5"/>
  <c r="AA386" i="5"/>
  <c r="AA291" i="5"/>
  <c r="AB291" i="5"/>
  <c r="AA311" i="5"/>
  <c r="AB311" i="5"/>
  <c r="AA322" i="5"/>
  <c r="AB322" i="5"/>
  <c r="AB43" i="5"/>
  <c r="AA43" i="5"/>
  <c r="AB470" i="5"/>
  <c r="AA470" i="5"/>
  <c r="AB293" i="5"/>
  <c r="AA293" i="5"/>
  <c r="AB199" i="5"/>
  <c r="AA199" i="5"/>
  <c r="AA128" i="5"/>
  <c r="AB128" i="5"/>
  <c r="AA487" i="5"/>
  <c r="AB487" i="5"/>
  <c r="AA524" i="5"/>
  <c r="AB524" i="5"/>
  <c r="AB290" i="5"/>
  <c r="AA290" i="5"/>
  <c r="AA450" i="5"/>
  <c r="AB450" i="5"/>
  <c r="AB491" i="5"/>
  <c r="AA491" i="5"/>
  <c r="AA514" i="5"/>
  <c r="AB514" i="5"/>
  <c r="AA98" i="10"/>
  <c r="AB98" i="10"/>
  <c r="AB515" i="10"/>
  <c r="AA515" i="10"/>
  <c r="AB407" i="10"/>
  <c r="AA407" i="10"/>
  <c r="AB55" i="10"/>
  <c r="AA55" i="10"/>
  <c r="AB552" i="10"/>
  <c r="AA552" i="10"/>
  <c r="AA129" i="10"/>
  <c r="AB129" i="10"/>
  <c r="AB183" i="10"/>
  <c r="AA183" i="10"/>
  <c r="AA479" i="10"/>
  <c r="AB479" i="10"/>
  <c r="AA20" i="10"/>
  <c r="AB20" i="10"/>
  <c r="AB71" i="10"/>
  <c r="AA71" i="10"/>
  <c r="AB505" i="10"/>
  <c r="AA505" i="10"/>
  <c r="AB36" i="10"/>
  <c r="AA36" i="10"/>
  <c r="AB28" i="10"/>
  <c r="AA28" i="10"/>
  <c r="AB455" i="10"/>
  <c r="AA455" i="10"/>
  <c r="AB94" i="10"/>
  <c r="AA94" i="10"/>
  <c r="AA398" i="10"/>
  <c r="AB398" i="10"/>
  <c r="AB86" i="10"/>
  <c r="AA86" i="10"/>
  <c r="AA521" i="10"/>
  <c r="AB521" i="10"/>
  <c r="AA280" i="10"/>
  <c r="AB280" i="10"/>
  <c r="AC287" i="10"/>
  <c r="AE227" i="10"/>
  <c r="AD265" i="10"/>
  <c r="AC316" i="10"/>
  <c r="AC183" i="10"/>
  <c r="AC94" i="10"/>
  <c r="AC105" i="10"/>
  <c r="AC20" i="10"/>
  <c r="AC402" i="10"/>
  <c r="AA259" i="5"/>
  <c r="AB259" i="5"/>
  <c r="AB153" i="5"/>
  <c r="AA153" i="5"/>
  <c r="AA19" i="5"/>
  <c r="AB19" i="5"/>
  <c r="AB546" i="5"/>
  <c r="AA546" i="5"/>
  <c r="AB338" i="5"/>
  <c r="AA338" i="5"/>
  <c r="AA169" i="5"/>
  <c r="AB169" i="5"/>
  <c r="AB375" i="5"/>
  <c r="AA375" i="5"/>
  <c r="AA150" i="5"/>
  <c r="AB150" i="5"/>
  <c r="AA372" i="5"/>
  <c r="AB372" i="5"/>
  <c r="AB19" i="10"/>
  <c r="AA19" i="10"/>
  <c r="AB59" i="10"/>
  <c r="AA59" i="10"/>
  <c r="AA230" i="10"/>
  <c r="AB230" i="10"/>
  <c r="AB99" i="10"/>
  <c r="AA99" i="10"/>
  <c r="AB379" i="10"/>
  <c r="AA379" i="10"/>
  <c r="AA445" i="10"/>
  <c r="AB445" i="10"/>
  <c r="AA384" i="10"/>
  <c r="AB384" i="10"/>
  <c r="AB365" i="5"/>
  <c r="AA365" i="5"/>
  <c r="AB391" i="5"/>
  <c r="AA391" i="5"/>
  <c r="AA53" i="5"/>
  <c r="AB53" i="5"/>
  <c r="AB245" i="5"/>
  <c r="AA245" i="5"/>
  <c r="AA333" i="5"/>
  <c r="AB333" i="5"/>
  <c r="AA20" i="5"/>
  <c r="AB20" i="5"/>
  <c r="AA324" i="5"/>
  <c r="AB324" i="5"/>
  <c r="AA368" i="5"/>
  <c r="AB368" i="5"/>
  <c r="AB253" i="5"/>
  <c r="AA253" i="5"/>
  <c r="AB168" i="5"/>
  <c r="AA168" i="5"/>
  <c r="AA458" i="5"/>
  <c r="AB458" i="5"/>
  <c r="AA99" i="5"/>
  <c r="AB99" i="5"/>
  <c r="AA192" i="5"/>
  <c r="AB192" i="5"/>
  <c r="AB398" i="5"/>
  <c r="AA398" i="5"/>
  <c r="AA251" i="5"/>
  <c r="AB251" i="5"/>
  <c r="AB454" i="5"/>
  <c r="AA454" i="5"/>
  <c r="AB30" i="5"/>
  <c r="AA30" i="5"/>
  <c r="AA185" i="5"/>
  <c r="AB185" i="5"/>
  <c r="AA541" i="5"/>
  <c r="AB541" i="5"/>
  <c r="AB161" i="5"/>
  <c r="AA161" i="5"/>
  <c r="AB248" i="5"/>
  <c r="AA248" i="5"/>
  <c r="AB499" i="5"/>
  <c r="AA499" i="5"/>
  <c r="AA463" i="5"/>
  <c r="AB463" i="5"/>
  <c r="AA232" i="5"/>
  <c r="AB232" i="5"/>
  <c r="AB246" i="5"/>
  <c r="AA246" i="5"/>
  <c r="AA461" i="5"/>
  <c r="AB461" i="5"/>
  <c r="AB469" i="5"/>
  <c r="AA469" i="5"/>
  <c r="AB401" i="5"/>
  <c r="AA401" i="5"/>
  <c r="AB10" i="5"/>
  <c r="AA10" i="5"/>
  <c r="AA350" i="5"/>
  <c r="AB350" i="5"/>
  <c r="AB482" i="5"/>
  <c r="AA482" i="5"/>
  <c r="AA182" i="5"/>
  <c r="AB182" i="5"/>
  <c r="AA94" i="5"/>
  <c r="AB94" i="5"/>
  <c r="AA474" i="5"/>
  <c r="AB474" i="5"/>
  <c r="AB540" i="5"/>
  <c r="AA540" i="5"/>
  <c r="AB359" i="5"/>
  <c r="AA359" i="5"/>
  <c r="AB123" i="10"/>
  <c r="AA123" i="10"/>
  <c r="AB313" i="10"/>
  <c r="AA313" i="10"/>
  <c r="AA88" i="10"/>
  <c r="AB88" i="10"/>
  <c r="AB112" i="10"/>
  <c r="AA112" i="10"/>
  <c r="AB67" i="10"/>
  <c r="AA67" i="10"/>
  <c r="AA360" i="10"/>
  <c r="AB360" i="10"/>
  <c r="AA516" i="10"/>
  <c r="AB516" i="10"/>
  <c r="AB475" i="10"/>
  <c r="AA475" i="10"/>
  <c r="AB33" i="10"/>
  <c r="AA33" i="10"/>
  <c r="AA83" i="10"/>
  <c r="AB83" i="10"/>
  <c r="AA258" i="10"/>
  <c r="AB258" i="10"/>
  <c r="AB382" i="10"/>
  <c r="AA382" i="10"/>
  <c r="AA80" i="10"/>
  <c r="AB80" i="10"/>
  <c r="AB107" i="5"/>
  <c r="AA107" i="5"/>
  <c r="AA539" i="5"/>
  <c r="AB539" i="5"/>
  <c r="AB29" i="5"/>
  <c r="AA29" i="5"/>
  <c r="AA108" i="5"/>
  <c r="AB108" i="5"/>
  <c r="AB204" i="5"/>
  <c r="AA204" i="5"/>
  <c r="AB228" i="5"/>
  <c r="AA228" i="5"/>
  <c r="AB317" i="5"/>
  <c r="AA317" i="5"/>
  <c r="AA488" i="5"/>
  <c r="AB488" i="5"/>
  <c r="AA266" i="10"/>
  <c r="AB266" i="10"/>
  <c r="AA424" i="10"/>
  <c r="AB424" i="10"/>
  <c r="AA247" i="10"/>
  <c r="AB247" i="10"/>
  <c r="AB164" i="10"/>
  <c r="AA164" i="10"/>
  <c r="AA97" i="10"/>
  <c r="AB97" i="10"/>
  <c r="AB346" i="10"/>
  <c r="AA346" i="10"/>
  <c r="AB51" i="10"/>
  <c r="AA51" i="10"/>
  <c r="AA11" i="5"/>
  <c r="AB11" i="5"/>
  <c r="AB447" i="5"/>
  <c r="AA447" i="5"/>
  <c r="AA335" i="5"/>
  <c r="AB335" i="5"/>
  <c r="AB201" i="5"/>
  <c r="AA201" i="5"/>
  <c r="AA498" i="5"/>
  <c r="AB498" i="5"/>
  <c r="AB127" i="5"/>
  <c r="AA127" i="5"/>
  <c r="AB145" i="5"/>
  <c r="AA145" i="5"/>
  <c r="AA45" i="5"/>
  <c r="AB45" i="5"/>
  <c r="AB166" i="5"/>
  <c r="AA166" i="5"/>
  <c r="AA444" i="5"/>
  <c r="AB444" i="5"/>
  <c r="AA9" i="5"/>
  <c r="AB9" i="5"/>
  <c r="AA21" i="5"/>
  <c r="AB21" i="5"/>
  <c r="AB202" i="5"/>
  <c r="AA202" i="5"/>
  <c r="AB274" i="5"/>
  <c r="AA274" i="5"/>
  <c r="AA33" i="5"/>
  <c r="AB33" i="5"/>
  <c r="AA530" i="5"/>
  <c r="AB530" i="5"/>
  <c r="AB140" i="5"/>
  <c r="AA140" i="5"/>
  <c r="AA305" i="5"/>
  <c r="AB305" i="5"/>
  <c r="AA536" i="5"/>
  <c r="AB536" i="5"/>
  <c r="AB184" i="5"/>
  <c r="AA184" i="5"/>
  <c r="AA486" i="5"/>
  <c r="AB486" i="5"/>
  <c r="AA380" i="5"/>
  <c r="AB380" i="5"/>
  <c r="AB341" i="5"/>
  <c r="AA341" i="5"/>
  <c r="AB84" i="5"/>
  <c r="AA84" i="5"/>
  <c r="AA238" i="5"/>
  <c r="AB238" i="5"/>
  <c r="AA37" i="5"/>
  <c r="AB37" i="5"/>
  <c r="AA117" i="5"/>
  <c r="AB117" i="5"/>
  <c r="AA213" i="5"/>
  <c r="AB213" i="5"/>
  <c r="AA389" i="5"/>
  <c r="AB389" i="5"/>
  <c r="AB374" i="5"/>
  <c r="AA374" i="5"/>
  <c r="AB519" i="5"/>
  <c r="AA519" i="5"/>
  <c r="AA73" i="5"/>
  <c r="AB73" i="5"/>
  <c r="AB101" i="5"/>
  <c r="AA101" i="5"/>
  <c r="AB225" i="5"/>
  <c r="AA225" i="5"/>
  <c r="AB158" i="5"/>
  <c r="AA158" i="5"/>
  <c r="AA231" i="5"/>
  <c r="AB231" i="5"/>
  <c r="AB303" i="5"/>
  <c r="AA303" i="5"/>
  <c r="AB478" i="5"/>
  <c r="AA478" i="5"/>
  <c r="AA508" i="5"/>
  <c r="AB508" i="5"/>
  <c r="AB111" i="5"/>
  <c r="AA111" i="5"/>
  <c r="AA288" i="5"/>
  <c r="AB288" i="5"/>
  <c r="AB63" i="5"/>
  <c r="AA63" i="5"/>
  <c r="AB230" i="5"/>
  <c r="AA230" i="5"/>
  <c r="AA309" i="5"/>
  <c r="AB309" i="5"/>
  <c r="AB36" i="5"/>
  <c r="AA36" i="5"/>
  <c r="AA451" i="5"/>
  <c r="AB451" i="5"/>
  <c r="AB83" i="5"/>
  <c r="AA83" i="5"/>
  <c r="AB200" i="5"/>
  <c r="AA200" i="5"/>
  <c r="AB252" i="5"/>
  <c r="AA252" i="5"/>
  <c r="AA363" i="5"/>
  <c r="AB363" i="5"/>
  <c r="AA173" i="5"/>
  <c r="AB173" i="5"/>
  <c r="AA329" i="5"/>
  <c r="AB329" i="5"/>
  <c r="AB310" i="5"/>
  <c r="AA310" i="5"/>
  <c r="AA26" i="5"/>
  <c r="AB26" i="5"/>
  <c r="AB275" i="5"/>
  <c r="AA275" i="5"/>
  <c r="AA426" i="5"/>
  <c r="AB426" i="5"/>
  <c r="AB226" i="5"/>
  <c r="AA226" i="5"/>
  <c r="AA316" i="10"/>
  <c r="AB316" i="10"/>
  <c r="AA253" i="10"/>
  <c r="AB253" i="10"/>
  <c r="AA328" i="10"/>
  <c r="AB328" i="10"/>
  <c r="AB156" i="10"/>
  <c r="AA156" i="10"/>
  <c r="AB209" i="10"/>
  <c r="AA209" i="10"/>
  <c r="AB105" i="10"/>
  <c r="AA105" i="10"/>
  <c r="AB397" i="10"/>
  <c r="AA397" i="10"/>
  <c r="AA256" i="5"/>
  <c r="AB256" i="5"/>
  <c r="AB318" i="5"/>
  <c r="AA318" i="5"/>
  <c r="AB327" i="5"/>
  <c r="AA327" i="5"/>
  <c r="AB163" i="5"/>
  <c r="AA163" i="5"/>
  <c r="AA440" i="5"/>
  <c r="AB440" i="5"/>
  <c r="AA467" i="5"/>
  <c r="AB467" i="5"/>
  <c r="AA208" i="5"/>
  <c r="AB208" i="5"/>
  <c r="AA260" i="5"/>
  <c r="AB260" i="5"/>
  <c r="AB237" i="5"/>
  <c r="AA237" i="5"/>
  <c r="AA221" i="5"/>
  <c r="AB221" i="5"/>
  <c r="AB196" i="5"/>
  <c r="AA196" i="5"/>
  <c r="AB331" i="5"/>
  <c r="AA331" i="5"/>
  <c r="AA85" i="5"/>
  <c r="AB85" i="5"/>
  <c r="AB520" i="5"/>
  <c r="AA520" i="5"/>
  <c r="AB60" i="5"/>
  <c r="AA60" i="5"/>
  <c r="AB222" i="5"/>
  <c r="AA222" i="5"/>
  <c r="AB443" i="5"/>
  <c r="AA443" i="5"/>
  <c r="AB82" i="5"/>
  <c r="AA82" i="5"/>
  <c r="AB489" i="5"/>
  <c r="AA489" i="5"/>
  <c r="AB289" i="5"/>
  <c r="AA289" i="5"/>
  <c r="AB420" i="5"/>
  <c r="AA420" i="5"/>
  <c r="AB205" i="5"/>
  <c r="AA205" i="5"/>
  <c r="AA269" i="5"/>
  <c r="AB269" i="5"/>
  <c r="AB383" i="5"/>
  <c r="AA383" i="5"/>
  <c r="AB67" i="5"/>
  <c r="AA67" i="5"/>
  <c r="AB164" i="5"/>
  <c r="AA164" i="5"/>
  <c r="AB531" i="5"/>
  <c r="AA531" i="5"/>
  <c r="AB360" i="5"/>
  <c r="AA360" i="5"/>
  <c r="AB537" i="5"/>
  <c r="AA537" i="5"/>
  <c r="AA105" i="5"/>
  <c r="AB105" i="5"/>
  <c r="AA181" i="5"/>
  <c r="AB181" i="5"/>
  <c r="AB78" i="5"/>
  <c r="AA78" i="5"/>
  <c r="AB81" i="5"/>
  <c r="AA81" i="5"/>
  <c r="AA191" i="5"/>
  <c r="AB191" i="5"/>
  <c r="AA416" i="5"/>
  <c r="AB416" i="5"/>
  <c r="AB358" i="5"/>
  <c r="AA358" i="5"/>
  <c r="AA503" i="5"/>
  <c r="AB503" i="5"/>
  <c r="AB46" i="5"/>
  <c r="AA46" i="5"/>
  <c r="AB49" i="5"/>
  <c r="AA49" i="5"/>
  <c r="AA307" i="5"/>
  <c r="AB307" i="5"/>
  <c r="AA180" i="5"/>
  <c r="AB180" i="5"/>
  <c r="AB264" i="5"/>
  <c r="AA264" i="5"/>
  <c r="AA148" i="5"/>
  <c r="AB148" i="5"/>
  <c r="AB455" i="5"/>
  <c r="AA455" i="5"/>
  <c r="AA31" i="5"/>
  <c r="AB31" i="5"/>
  <c r="AA174" i="5"/>
  <c r="AB174" i="5"/>
  <c r="AA292" i="5"/>
  <c r="AB292" i="5"/>
  <c r="AB86" i="5"/>
  <c r="AA86" i="5"/>
  <c r="AA195" i="5"/>
  <c r="AB195" i="5"/>
  <c r="AB364" i="5"/>
  <c r="AA364" i="5"/>
  <c r="AB27" i="5"/>
  <c r="AA27" i="5"/>
  <c r="AA507" i="5"/>
  <c r="AB507" i="5"/>
  <c r="AB479" i="5"/>
  <c r="AA479" i="5"/>
  <c r="AB48" i="5"/>
  <c r="AA48" i="5"/>
  <c r="AB425" i="5"/>
  <c r="AA425" i="5"/>
  <c r="AB70" i="5"/>
  <c r="AA70" i="5"/>
  <c r="AA471" i="5"/>
  <c r="AB471" i="5"/>
  <c r="AB431" i="5"/>
  <c r="AA431" i="5"/>
  <c r="AB308" i="5"/>
  <c r="AA308" i="5"/>
  <c r="AB335" i="10"/>
  <c r="AA335" i="10"/>
  <c r="AB148" i="10"/>
  <c r="AA148" i="10"/>
  <c r="AA216" i="10"/>
  <c r="AB216" i="10"/>
  <c r="AB136" i="10"/>
  <c r="AA136" i="10"/>
  <c r="AB317" i="10"/>
  <c r="AA317" i="10"/>
  <c r="AB429" i="10"/>
  <c r="AA429" i="10"/>
  <c r="AA170" i="10"/>
  <c r="AB170" i="10"/>
  <c r="AA72" i="5"/>
  <c r="AB72" i="5"/>
  <c r="AA404" i="5"/>
  <c r="AB404" i="5"/>
  <c r="AB155" i="5"/>
  <c r="AA155" i="5"/>
  <c r="AA522" i="5"/>
  <c r="AB522" i="5"/>
  <c r="AA122" i="5"/>
  <c r="AB122" i="5"/>
  <c r="AA183" i="5"/>
  <c r="AB183" i="5"/>
  <c r="AA405" i="5"/>
  <c r="AB405" i="5"/>
  <c r="AB402" i="5"/>
  <c r="AA402" i="5"/>
  <c r="AB299" i="5"/>
  <c r="AA299" i="5"/>
  <c r="AA141" i="5"/>
  <c r="AB141" i="5"/>
  <c r="AA218" i="5"/>
  <c r="AB218" i="5"/>
  <c r="AB188" i="5"/>
  <c r="AA188" i="5"/>
  <c r="AB189" i="5"/>
  <c r="AA189" i="5"/>
  <c r="AA548" i="5"/>
  <c r="AB548" i="5"/>
  <c r="AA130" i="5"/>
  <c r="AB130" i="5"/>
  <c r="AB330" i="5"/>
  <c r="AA330" i="5"/>
  <c r="AB263" i="5"/>
  <c r="AA263" i="5"/>
  <c r="AA547" i="5"/>
  <c r="AB547" i="5"/>
  <c r="AA239" i="5"/>
  <c r="AB239" i="5"/>
  <c r="AA408" i="5"/>
  <c r="AB408" i="5"/>
  <c r="AB423" i="5"/>
  <c r="AA423" i="5"/>
  <c r="AA92" i="5"/>
  <c r="AB92" i="5"/>
  <c r="AA287" i="5"/>
  <c r="AB287" i="5"/>
  <c r="AB28" i="5"/>
  <c r="AA28" i="5"/>
  <c r="AB114" i="5"/>
  <c r="AA114" i="5"/>
  <c r="AB518" i="5"/>
  <c r="AA518" i="5"/>
  <c r="AA270" i="5"/>
  <c r="AB270" i="5"/>
  <c r="AB400" i="5"/>
  <c r="AA400" i="5"/>
  <c r="AB215" i="5"/>
  <c r="AA215" i="5"/>
  <c r="AA332" i="5"/>
  <c r="AB332" i="5"/>
  <c r="AB369" i="5"/>
  <c r="AA369" i="5"/>
  <c r="AA75" i="5"/>
  <c r="AB75" i="5"/>
  <c r="AB115" i="5"/>
  <c r="AA115" i="5"/>
  <c r="AA387" i="5"/>
  <c r="AB387" i="5"/>
  <c r="AB442" i="5"/>
  <c r="AA442" i="5"/>
  <c r="AB505" i="5"/>
  <c r="AA505" i="5"/>
  <c r="AA144" i="5"/>
  <c r="AB144" i="5"/>
  <c r="AA139" i="5"/>
  <c r="AB139" i="5"/>
  <c r="AA134" i="5"/>
  <c r="AB134" i="5"/>
  <c r="AA138" i="5"/>
  <c r="AB138" i="5"/>
  <c r="AA214" i="5"/>
  <c r="AB214" i="5"/>
  <c r="AB283" i="5"/>
  <c r="AA283" i="5"/>
  <c r="AB462" i="5"/>
  <c r="AA462" i="5"/>
  <c r="AB493" i="5"/>
  <c r="AA493" i="5"/>
  <c r="AA515" i="5"/>
  <c r="AB515" i="5"/>
  <c r="AB346" i="5"/>
  <c r="AA346" i="5"/>
  <c r="AA193" i="5"/>
  <c r="AB193" i="5"/>
  <c r="AB224" i="5"/>
  <c r="AA224" i="5"/>
  <c r="AB266" i="5"/>
  <c r="AA266" i="5"/>
  <c r="AA306" i="5"/>
  <c r="AB306" i="5"/>
  <c r="AB206" i="5"/>
  <c r="AA206" i="5"/>
  <c r="AA244" i="5"/>
  <c r="AB244" i="5"/>
  <c r="AA359" i="10"/>
  <c r="AB359" i="10"/>
  <c r="AB287" i="10"/>
  <c r="AA287" i="10"/>
  <c r="AA461" i="10"/>
  <c r="AB461" i="10"/>
  <c r="AA517" i="10"/>
  <c r="AB517" i="10"/>
  <c r="AB415" i="10"/>
  <c r="AA415" i="10"/>
  <c r="AB95" i="10"/>
  <c r="AA95" i="10"/>
  <c r="AB255" i="10"/>
  <c r="AA255" i="10"/>
  <c r="AA211" i="10"/>
  <c r="AB211" i="10"/>
  <c r="AA116" i="5"/>
  <c r="AB116" i="5"/>
  <c r="AB203" i="5"/>
  <c r="AA203" i="5"/>
  <c r="AB394" i="5"/>
  <c r="AA394" i="5"/>
  <c r="AA124" i="5"/>
  <c r="AB124" i="5"/>
  <c r="AB131" i="5"/>
  <c r="AA131" i="5"/>
  <c r="AA285" i="5"/>
  <c r="AB285" i="5"/>
  <c r="AA271" i="5"/>
  <c r="AB271" i="5"/>
  <c r="AB167" i="5"/>
  <c r="AA167" i="5"/>
  <c r="AB430" i="5"/>
  <c r="AA430" i="5"/>
  <c r="AA517" i="5"/>
  <c r="AB517" i="5"/>
  <c r="AA135" i="5"/>
  <c r="AB135" i="5"/>
  <c r="AA236" i="5"/>
  <c r="AB236" i="5"/>
  <c r="AA411" i="5"/>
  <c r="AB411" i="5"/>
  <c r="AA403" i="5"/>
  <c r="AB403" i="5"/>
  <c r="AB407" i="5"/>
  <c r="AA407" i="5"/>
  <c r="AA77" i="5"/>
  <c r="AB77" i="5"/>
  <c r="AB57" i="5"/>
  <c r="AA57" i="5"/>
  <c r="AB176" i="5"/>
  <c r="AA176" i="5"/>
  <c r="AB558" i="5"/>
  <c r="AA558" i="5"/>
  <c r="AB177" i="5"/>
  <c r="AA177" i="5"/>
  <c r="AA337" i="5"/>
  <c r="AB337" i="5"/>
  <c r="AA468" i="5"/>
  <c r="AB468" i="5"/>
  <c r="AB171" i="5"/>
  <c r="AA171" i="5"/>
  <c r="AA267" i="5"/>
  <c r="AB267" i="5"/>
  <c r="AB286" i="5"/>
  <c r="AA286" i="5"/>
  <c r="AA74" i="5"/>
  <c r="AB74" i="5"/>
  <c r="AA438" i="5"/>
  <c r="AB438" i="5"/>
  <c r="AB209" i="5"/>
  <c r="AA209" i="5"/>
  <c r="AB392" i="5"/>
  <c r="AA392" i="5"/>
  <c r="AB370" i="5"/>
  <c r="AA370" i="5"/>
  <c r="AB51" i="5"/>
  <c r="AA51" i="5"/>
  <c r="AB277" i="5"/>
  <c r="AA277" i="5"/>
  <c r="AB38" i="5"/>
  <c r="AA38" i="5"/>
  <c r="AB154" i="5"/>
  <c r="AA154" i="5"/>
  <c r="AB544" i="5"/>
  <c r="AA544" i="5"/>
  <c r="AB212" i="5"/>
  <c r="AA212" i="5"/>
  <c r="AB388" i="5"/>
  <c r="AA388" i="5"/>
  <c r="AB261" i="5"/>
  <c r="AA261" i="5"/>
  <c r="AB315" i="5"/>
  <c r="AA315" i="5"/>
  <c r="AA357" i="5"/>
  <c r="AB357" i="5"/>
  <c r="AA102" i="5"/>
  <c r="AB102" i="5"/>
  <c r="AA113" i="5"/>
  <c r="AB113" i="5"/>
  <c r="AA336" i="5"/>
  <c r="AB336" i="5"/>
  <c r="AB345" i="5"/>
  <c r="AA345" i="5"/>
  <c r="AB476" i="5"/>
  <c r="AA476" i="5"/>
  <c r="AA35" i="5"/>
  <c r="AB35" i="5"/>
  <c r="AA437" i="5"/>
  <c r="AB437" i="5"/>
  <c r="AA207" i="5"/>
  <c r="AB207" i="5"/>
  <c r="AB513" i="5"/>
  <c r="AA513" i="5"/>
  <c r="AB543" i="5"/>
  <c r="AA543" i="5"/>
  <c r="AA342" i="5"/>
  <c r="AB342" i="5"/>
  <c r="AB512" i="5"/>
  <c r="AA512" i="5"/>
  <c r="AA555" i="5"/>
  <c r="AB555" i="5"/>
  <c r="AA110" i="5"/>
  <c r="AB110" i="5"/>
  <c r="AA79" i="5"/>
  <c r="AB79" i="5"/>
  <c r="AA525" i="5"/>
  <c r="AB525" i="5"/>
  <c r="AA22" i="5"/>
  <c r="AB22" i="5"/>
  <c r="AA272" i="5"/>
  <c r="AB272" i="5"/>
  <c r="AA211" i="5"/>
  <c r="AB211" i="5"/>
  <c r="AA509" i="5"/>
  <c r="AB509" i="5"/>
  <c r="AA229" i="5"/>
  <c r="AB229" i="5"/>
  <c r="AA434" i="5"/>
  <c r="AB434" i="5"/>
  <c r="AA9" i="10"/>
  <c r="AB9" i="10"/>
  <c r="AA240" i="10"/>
  <c r="AB240" i="10"/>
  <c r="AB157" i="10"/>
  <c r="AA157" i="10"/>
  <c r="AA457" i="10"/>
  <c r="AB457" i="10"/>
  <c r="AB163" i="10"/>
  <c r="AA163" i="10"/>
  <c r="AA92" i="10"/>
  <c r="AB92" i="10"/>
  <c r="AB391" i="10"/>
  <c r="AA391" i="10"/>
  <c r="AB260" i="10"/>
  <c r="AA260" i="10"/>
  <c r="AB39" i="10"/>
  <c r="AA39" i="10"/>
  <c r="AB10" i="10"/>
  <c r="AA10" i="10"/>
  <c r="AB231" i="10"/>
  <c r="AA231" i="10"/>
  <c r="AA297" i="10"/>
  <c r="AB297" i="10"/>
  <c r="AA438" i="10"/>
  <c r="AB438" i="10"/>
  <c r="AA545" i="10"/>
  <c r="AB545" i="10"/>
  <c r="AB126" i="10"/>
  <c r="AA126" i="10"/>
  <c r="AA197" i="10"/>
  <c r="AB197" i="10"/>
  <c r="AB520" i="10"/>
  <c r="AA520" i="10"/>
  <c r="AB21" i="10"/>
  <c r="AA21" i="10"/>
  <c r="AA174" i="10"/>
  <c r="AB174" i="10"/>
  <c r="AA411" i="10"/>
  <c r="AB411" i="10"/>
  <c r="AB395" i="10"/>
  <c r="AA395" i="10"/>
  <c r="AA188" i="10"/>
  <c r="AB188" i="10"/>
  <c r="AA37" i="10"/>
  <c r="AB37" i="10"/>
  <c r="AA47" i="10"/>
  <c r="AB47" i="10"/>
  <c r="AB519" i="10"/>
  <c r="AA519" i="10"/>
  <c r="AA227" i="10"/>
  <c r="AB227" i="10"/>
  <c r="AA299" i="10"/>
  <c r="AB299" i="10"/>
  <c r="AB508" i="10"/>
  <c r="AA508" i="10"/>
  <c r="AB353" i="10"/>
  <c r="AA353" i="10"/>
  <c r="AA196" i="10"/>
  <c r="AB196" i="10"/>
  <c r="AA154" i="10"/>
  <c r="AB154" i="10"/>
  <c r="AB75" i="10"/>
  <c r="AA75" i="10"/>
  <c r="AB81" i="10"/>
  <c r="AA81" i="10"/>
  <c r="AB261" i="10"/>
  <c r="AA261" i="10"/>
  <c r="AA534" i="10"/>
  <c r="AB534" i="10"/>
  <c r="AB58" i="10"/>
  <c r="AA58" i="10"/>
  <c r="AB210" i="10"/>
  <c r="AA210" i="10"/>
  <c r="AA214" i="10"/>
  <c r="AB214" i="10"/>
  <c r="AA487" i="10"/>
  <c r="AB487" i="10"/>
  <c r="AB362" i="10"/>
  <c r="AA362" i="10"/>
  <c r="AA347" i="10"/>
  <c r="AB347" i="10"/>
  <c r="AA412" i="10"/>
  <c r="AB412" i="10"/>
  <c r="AB22" i="10"/>
  <c r="AA22" i="10"/>
  <c r="AB358" i="10"/>
  <c r="AA358" i="10"/>
  <c r="AB49" i="10"/>
  <c r="AA49" i="10"/>
  <c r="AA336" i="10"/>
  <c r="AB336" i="10"/>
  <c r="AA262" i="10"/>
  <c r="AB262" i="10"/>
  <c r="AA536" i="10"/>
  <c r="AB536" i="10"/>
  <c r="AB380" i="10"/>
  <c r="AA380" i="10"/>
  <c r="AB179" i="10"/>
  <c r="AA179" i="10"/>
  <c r="AA524" i="10"/>
  <c r="AB524" i="10"/>
  <c r="AB560" i="10"/>
  <c r="AA560" i="10"/>
  <c r="AA229" i="10"/>
  <c r="AB229" i="10"/>
  <c r="AB306" i="10"/>
  <c r="AA306" i="10"/>
  <c r="AB102" i="10"/>
  <c r="AA102" i="10"/>
  <c r="AA265" i="10"/>
  <c r="AB265" i="10"/>
  <c r="AA160" i="10"/>
  <c r="AB160" i="10"/>
  <c r="AB138" i="10"/>
  <c r="AA138" i="10"/>
  <c r="AB68" i="10"/>
  <c r="AA68" i="10"/>
  <c r="AB85" i="10"/>
  <c r="AA85" i="10"/>
  <c r="AB79" i="10"/>
  <c r="AA79" i="10"/>
  <c r="AB338" i="10"/>
  <c r="AA338" i="10"/>
  <c r="AB194" i="10"/>
  <c r="AA194" i="10"/>
  <c r="AB546" i="10"/>
  <c r="AA546" i="10"/>
  <c r="AB381" i="10"/>
  <c r="AA381" i="10"/>
  <c r="AA249" i="10"/>
  <c r="AB249" i="10"/>
  <c r="AB114" i="10"/>
  <c r="AA114" i="10"/>
  <c r="AA76" i="10"/>
  <c r="AB76" i="10"/>
  <c r="AB368" i="10"/>
  <c r="AA368" i="10"/>
  <c r="AC458" i="10"/>
  <c r="AC296" i="10"/>
  <c r="AC115" i="10"/>
  <c r="AC137" i="10"/>
  <c r="AC427" i="10"/>
  <c r="AC266" i="10"/>
  <c r="AC212" i="10"/>
  <c r="AC492" i="10"/>
  <c r="AC128" i="10"/>
  <c r="AC454" i="10"/>
  <c r="AC54" i="10"/>
  <c r="AC150" i="10"/>
  <c r="AC22" i="10"/>
  <c r="AC473" i="10"/>
  <c r="AC334" i="10"/>
  <c r="AC129" i="10"/>
  <c r="AC313" i="10"/>
  <c r="AC501" i="10"/>
  <c r="AC76" i="10"/>
  <c r="AC331" i="10"/>
  <c r="AC88" i="10"/>
  <c r="AC100" i="10"/>
  <c r="AC391" i="10"/>
  <c r="AC67" i="10"/>
  <c r="AC342" i="10"/>
  <c r="AC325" i="10"/>
  <c r="AC59" i="10"/>
  <c r="AC354" i="10"/>
  <c r="AC256" i="10"/>
  <c r="AC260" i="10"/>
  <c r="AC515" i="10"/>
  <c r="AC176" i="10"/>
  <c r="AC471" i="10"/>
  <c r="AC47" i="10"/>
  <c r="AC79" i="10"/>
  <c r="AC30" i="10"/>
  <c r="AC444" i="10"/>
  <c r="AC254" i="10"/>
  <c r="AC32" i="10"/>
  <c r="AC312" i="10"/>
  <c r="AC397" i="10"/>
  <c r="AC375" i="10"/>
  <c r="AC356" i="10"/>
  <c r="AC152" i="10"/>
  <c r="AC292" i="10"/>
  <c r="AC510" i="10"/>
  <c r="AC223" i="10"/>
  <c r="AC480" i="10"/>
  <c r="AC26" i="10"/>
  <c r="AC86" i="10"/>
  <c r="AC89" i="10"/>
  <c r="AC442" i="10"/>
  <c r="AC352" i="10"/>
  <c r="AC263" i="10"/>
  <c r="AC285" i="10"/>
  <c r="AC552" i="10"/>
  <c r="AC219" i="10"/>
  <c r="AC234" i="10"/>
  <c r="AC175" i="10"/>
  <c r="AC243" i="10"/>
  <c r="AC289" i="10"/>
  <c r="AC229" i="10"/>
  <c r="AC355" i="10"/>
  <c r="AC372" i="10"/>
  <c r="AC306" i="10"/>
  <c r="AC412" i="10"/>
  <c r="AC459" i="10"/>
  <c r="AC19" i="10"/>
  <c r="AC181" i="5"/>
  <c r="AC377" i="5"/>
  <c r="AC209" i="5"/>
  <c r="AC49" i="5"/>
  <c r="AC177" i="5"/>
  <c r="AC560" i="5"/>
  <c r="AC114" i="5"/>
  <c r="AC59" i="5"/>
  <c r="AC483" i="5"/>
  <c r="AC538" i="5"/>
  <c r="AC235" i="5"/>
  <c r="AC172" i="5"/>
  <c r="AC256" i="5"/>
  <c r="AC70" i="5"/>
  <c r="AC533" i="5"/>
  <c r="AC423" i="5"/>
  <c r="AC436" i="5"/>
  <c r="AC347" i="5"/>
  <c r="AC136" i="5"/>
  <c r="AC534" i="5"/>
  <c r="AC299" i="5"/>
  <c r="AC391" i="5"/>
  <c r="AC156" i="5"/>
  <c r="AC474" i="5"/>
  <c r="AC446" i="5"/>
  <c r="AC103" i="5"/>
  <c r="AC476" i="5"/>
  <c r="AC44" i="5"/>
  <c r="AC289" i="5"/>
  <c r="AC296" i="5"/>
  <c r="AC549" i="5"/>
  <c r="AC38" i="5"/>
  <c r="AC518" i="5"/>
  <c r="AC486" i="5"/>
  <c r="AC57" i="5"/>
  <c r="AC262" i="5"/>
  <c r="AC468" i="5"/>
  <c r="AC318" i="5"/>
  <c r="AC332" i="5"/>
  <c r="AC144" i="5"/>
  <c r="AC457" i="5"/>
  <c r="AC60" i="5"/>
  <c r="AC523" i="5"/>
  <c r="AC358" i="5"/>
  <c r="AC278" i="5"/>
  <c r="AC541" i="5"/>
  <c r="AC118" i="5"/>
  <c r="AC361" i="5"/>
  <c r="AC225" i="5"/>
  <c r="AC471" i="5"/>
  <c r="AC524" i="5"/>
  <c r="AC164" i="5"/>
  <c r="AC531" i="5"/>
  <c r="AC75" i="5"/>
  <c r="AC161" i="5"/>
  <c r="AC283" i="5"/>
  <c r="AC344" i="5"/>
  <c r="AC556" i="5"/>
  <c r="AC28" i="5"/>
  <c r="AC434" i="5"/>
  <c r="AC451" i="5"/>
  <c r="AC152" i="5"/>
  <c r="AC141" i="5"/>
  <c r="AC477" i="5"/>
  <c r="AC443" i="5"/>
  <c r="AC540" i="5"/>
  <c r="AC170" i="5"/>
  <c r="AC387" i="5"/>
  <c r="AA52" i="5"/>
  <c r="AB52" i="5"/>
  <c r="AA551" i="5"/>
  <c r="AB551" i="5"/>
  <c r="AA95" i="5"/>
  <c r="AB95" i="5"/>
  <c r="AA497" i="5"/>
  <c r="AB497" i="5"/>
  <c r="AA276" i="5"/>
  <c r="AB276" i="5"/>
  <c r="AB436" i="5"/>
  <c r="AA436" i="5"/>
  <c r="AB249" i="5"/>
  <c r="AA249" i="5"/>
  <c r="AB446" i="5"/>
  <c r="AA446" i="5"/>
  <c r="AA160" i="5"/>
  <c r="AB160" i="5"/>
  <c r="AB554" i="5"/>
  <c r="AA554" i="5"/>
  <c r="AA424" i="5"/>
  <c r="AB424" i="5"/>
  <c r="AB64" i="5"/>
  <c r="AA64" i="5"/>
  <c r="AB511" i="10"/>
  <c r="AA511" i="10"/>
  <c r="AB345" i="10"/>
  <c r="AA345" i="10"/>
  <c r="AA273" i="10"/>
  <c r="AB273" i="10"/>
  <c r="AA190" i="10"/>
  <c r="AB190" i="10"/>
  <c r="AA113" i="10"/>
  <c r="AB113" i="10"/>
  <c r="AA443" i="10"/>
  <c r="AB443" i="10"/>
  <c r="AB90" i="10"/>
  <c r="AA90" i="10"/>
  <c r="AA385" i="10"/>
  <c r="AB385" i="10"/>
  <c r="AA31" i="10"/>
  <c r="AB31" i="10"/>
  <c r="AB535" i="10"/>
  <c r="AA535" i="10"/>
  <c r="AA437" i="10"/>
  <c r="AB437" i="10"/>
  <c r="AB365" i="10"/>
  <c r="AA365" i="10"/>
  <c r="AA175" i="10"/>
  <c r="AB175" i="10"/>
  <c r="AB53" i="10"/>
  <c r="AA53" i="10"/>
  <c r="AA493" i="10"/>
  <c r="AB493" i="10"/>
  <c r="AB492" i="10"/>
  <c r="AA492" i="10"/>
  <c r="AA131" i="10"/>
  <c r="AB131" i="10"/>
  <c r="AA539" i="10"/>
  <c r="AB539" i="10"/>
  <c r="AA500" i="10"/>
  <c r="AB500" i="10"/>
  <c r="AB330" i="10"/>
  <c r="AA330" i="10"/>
  <c r="AB476" i="10"/>
  <c r="AA476" i="10"/>
  <c r="AA352" i="10"/>
  <c r="AB352" i="10"/>
  <c r="AB237" i="10"/>
  <c r="AA237" i="10"/>
  <c r="AB111" i="10"/>
  <c r="AA111" i="10"/>
  <c r="AA26" i="10"/>
  <c r="AB26" i="10"/>
  <c r="AB377" i="10"/>
  <c r="AA377" i="10"/>
  <c r="AB408" i="10"/>
  <c r="AA408" i="10"/>
  <c r="AB121" i="10"/>
  <c r="AA121" i="10"/>
  <c r="AA401" i="10"/>
  <c r="AB401" i="10"/>
  <c r="AB488" i="10"/>
  <c r="AA488" i="10"/>
  <c r="AA502" i="10"/>
  <c r="AB502" i="10"/>
  <c r="AB281" i="10"/>
  <c r="AA281" i="10"/>
  <c r="AB169" i="10"/>
  <c r="AA169" i="10"/>
  <c r="AB243" i="10"/>
  <c r="AA243" i="10"/>
  <c r="AA396" i="10"/>
  <c r="AB396" i="10"/>
  <c r="AA420" i="10"/>
  <c r="AB420" i="10"/>
  <c r="AB38" i="10"/>
  <c r="AA38" i="10"/>
  <c r="AA291" i="10"/>
  <c r="AB291" i="10"/>
  <c r="AB367" i="10"/>
  <c r="AA367" i="10"/>
  <c r="AA473" i="10"/>
  <c r="AB473" i="10"/>
  <c r="AB553" i="10"/>
  <c r="AA553" i="10"/>
  <c r="AA495" i="10"/>
  <c r="AB495" i="10"/>
  <c r="AB323" i="10"/>
  <c r="AA323" i="10"/>
  <c r="AA283" i="10"/>
  <c r="AB283" i="10"/>
  <c r="AA155" i="10"/>
  <c r="AB155" i="10"/>
  <c r="AB501" i="10"/>
  <c r="AA501" i="10"/>
  <c r="AB218" i="10"/>
  <c r="AA218" i="10"/>
  <c r="AA417" i="10"/>
  <c r="AB417" i="10"/>
  <c r="AA159" i="10"/>
  <c r="AB159" i="10"/>
  <c r="AA298" i="10"/>
  <c r="AB298" i="10"/>
  <c r="AB366" i="10"/>
  <c r="AA366" i="10"/>
  <c r="AA248" i="10"/>
  <c r="AB248" i="10"/>
  <c r="AB339" i="10"/>
  <c r="AA339" i="10"/>
  <c r="AB278" i="10"/>
  <c r="AA278" i="10"/>
  <c r="AB491" i="10"/>
  <c r="AA491" i="10"/>
  <c r="AA393" i="10"/>
  <c r="AB393" i="10"/>
  <c r="AB290" i="10"/>
  <c r="AA290" i="10"/>
  <c r="AB293" i="10"/>
  <c r="AA293" i="10"/>
  <c r="AA100" i="10"/>
  <c r="AB100" i="10"/>
  <c r="AA529" i="10"/>
  <c r="AB529" i="10"/>
  <c r="AB251" i="10"/>
  <c r="AA251" i="10"/>
  <c r="AA447" i="10"/>
  <c r="AB447" i="10"/>
  <c r="AA199" i="10"/>
  <c r="AB199" i="10"/>
  <c r="AA213" i="10"/>
  <c r="AB213" i="10"/>
  <c r="AB526" i="10"/>
  <c r="AA526" i="10"/>
  <c r="AA268" i="10"/>
  <c r="AB268" i="10"/>
  <c r="AA319" i="10"/>
  <c r="AB319" i="10"/>
  <c r="AB252" i="10"/>
  <c r="AA252" i="10"/>
  <c r="AB467" i="10"/>
  <c r="AA467" i="10"/>
  <c r="AC126" i="10"/>
  <c r="AC191" i="10"/>
  <c r="AC164" i="10"/>
  <c r="AC78" i="10"/>
  <c r="AC77" i="10"/>
  <c r="AC273" i="10"/>
  <c r="AC368" i="10"/>
  <c r="AC198" i="10"/>
  <c r="AC526" i="10"/>
  <c r="AC204" i="10"/>
  <c r="AC485" i="10"/>
  <c r="AC438" i="10"/>
  <c r="AC303" i="10"/>
  <c r="AC38" i="10"/>
  <c r="AC544" i="10"/>
  <c r="AC422" i="10"/>
  <c r="AC58" i="10"/>
  <c r="AC326" i="10"/>
  <c r="AC274" i="10"/>
  <c r="AC31" i="10"/>
  <c r="AC322" i="10"/>
  <c r="AC224" i="10"/>
  <c r="AC186" i="10"/>
  <c r="AC409" i="10"/>
  <c r="AC162" i="10"/>
  <c r="AC430" i="10"/>
  <c r="AC180" i="10"/>
  <c r="AC24" i="10"/>
  <c r="AC413" i="10"/>
  <c r="AC386" i="10"/>
  <c r="AC245" i="10"/>
  <c r="AC541" i="10"/>
  <c r="AC252" i="10"/>
  <c r="AC496" i="10"/>
  <c r="AC522" i="10"/>
  <c r="AC107" i="10"/>
  <c r="AC133" i="10"/>
  <c r="AC506" i="10"/>
  <c r="AC384" i="10"/>
  <c r="AC267" i="10"/>
  <c r="AC246" i="10"/>
  <c r="AC347" i="10"/>
  <c r="AC121" i="10"/>
  <c r="AC420" i="10"/>
  <c r="AC178" i="10"/>
  <c r="AC277" i="10"/>
  <c r="AC546" i="10"/>
  <c r="AC284" i="10"/>
  <c r="AC533" i="10"/>
  <c r="AC488" i="10"/>
  <c r="AC147" i="10"/>
  <c r="AC259" i="10"/>
  <c r="AC527" i="10"/>
  <c r="AC286" i="10"/>
  <c r="AC45" i="10"/>
  <c r="AC344" i="10"/>
  <c r="AC537" i="10"/>
  <c r="AC122" i="10"/>
  <c r="AC341" i="10"/>
  <c r="AC211" i="10"/>
  <c r="AC9" i="10"/>
  <c r="AC27" i="10"/>
  <c r="AC521" i="10"/>
  <c r="AC48" i="10"/>
  <c r="AC307" i="10"/>
  <c r="AC365" i="10"/>
  <c r="AC123" i="10"/>
  <c r="AC184" i="10"/>
  <c r="AC481" i="5"/>
  <c r="AC535" i="5"/>
  <c r="AC143" i="5"/>
  <c r="AC174" i="5"/>
  <c r="AC467" i="5"/>
  <c r="AC327" i="5"/>
  <c r="AC527" i="5"/>
  <c r="AC10" i="5"/>
  <c r="AC336" i="5"/>
  <c r="AC74" i="5"/>
  <c r="AC522" i="5"/>
  <c r="AC305" i="5"/>
  <c r="AC62" i="5"/>
  <c r="AC362" i="5"/>
  <c r="AC295" i="5"/>
  <c r="AC157" i="5"/>
  <c r="AC504" i="5"/>
  <c r="AC389" i="5"/>
  <c r="AC187" i="5"/>
  <c r="AC240" i="5"/>
  <c r="AC309" i="5"/>
  <c r="AC414" i="5"/>
  <c r="AC462" i="5"/>
  <c r="AC184" i="5"/>
  <c r="AC280" i="5"/>
  <c r="AC338" i="5"/>
  <c r="AC82" i="5"/>
  <c r="AC350" i="5"/>
  <c r="AC408" i="5"/>
  <c r="AC130" i="5"/>
  <c r="AC438" i="5"/>
  <c r="AC238" i="5"/>
  <c r="AC322" i="5"/>
  <c r="AC478" i="5"/>
  <c r="AC445" i="5"/>
  <c r="AC398" i="5"/>
  <c r="AC249" i="5"/>
  <c r="AC286" i="5"/>
  <c r="AC26" i="5"/>
  <c r="AC452" i="5"/>
  <c r="AC266" i="5"/>
  <c r="AC166" i="5"/>
  <c r="AC67" i="5"/>
  <c r="AC335" i="5"/>
  <c r="AC39" i="5"/>
  <c r="AC312" i="5"/>
  <c r="AC310" i="5"/>
  <c r="AC178" i="5"/>
  <c r="AC360" i="5"/>
  <c r="AC40" i="5"/>
  <c r="AC515" i="5"/>
  <c r="AC357" i="5"/>
  <c r="AC254" i="5"/>
  <c r="AC473" i="5"/>
  <c r="AC194" i="5"/>
  <c r="AC399" i="5"/>
  <c r="AC165" i="5"/>
  <c r="AC539" i="5"/>
  <c r="AC275" i="5"/>
  <c r="AC205" i="5"/>
  <c r="AC404" i="5"/>
  <c r="AC190" i="5"/>
  <c r="AC272" i="5"/>
  <c r="AC163" i="5"/>
  <c r="AC171" i="5"/>
  <c r="AC92" i="5"/>
  <c r="AC430" i="5"/>
  <c r="AC381" i="5"/>
  <c r="AC32" i="5"/>
  <c r="AC168" i="10"/>
  <c r="AC55" i="10"/>
  <c r="AC247" i="10"/>
  <c r="AC511" i="10"/>
  <c r="AC97" i="10"/>
  <c r="AC500" i="5"/>
  <c r="AC245" i="5"/>
  <c r="AC458" i="5"/>
  <c r="AC53" i="5"/>
  <c r="AC232" i="5"/>
  <c r="AC69" i="5"/>
  <c r="AC234" i="5"/>
  <c r="AC331" i="5"/>
  <c r="AC252" i="5"/>
  <c r="AC325" i="5"/>
  <c r="AC158" i="5"/>
  <c r="AC207" i="5"/>
  <c r="AC512" i="5"/>
  <c r="AC175" i="5"/>
  <c r="AC129" i="5"/>
  <c r="AC308" i="5"/>
  <c r="AC183" i="5"/>
  <c r="AC61" i="5"/>
  <c r="AC507" i="5"/>
  <c r="AC128" i="5"/>
  <c r="AC427" i="5"/>
  <c r="AC339" i="5"/>
  <c r="AC81" i="5"/>
  <c r="AC485" i="5"/>
  <c r="AC390" i="5"/>
  <c r="AC219" i="5"/>
  <c r="AC367" i="5"/>
  <c r="AC388" i="5"/>
  <c r="AC153" i="5"/>
  <c r="AC47" i="5"/>
  <c r="AC544" i="5"/>
  <c r="AC554" i="5"/>
  <c r="AC227" i="5"/>
  <c r="AC551" i="5"/>
  <c r="AC120" i="5"/>
  <c r="AC300" i="5"/>
  <c r="AC493" i="5"/>
  <c r="AC459" i="5"/>
  <c r="AC475" i="5"/>
  <c r="AC464" i="5"/>
  <c r="AC258" i="5"/>
  <c r="AC43" i="5"/>
  <c r="AC66" i="5"/>
  <c r="AC337" i="5"/>
  <c r="AC180" i="5"/>
  <c r="AC241" i="5"/>
  <c r="AC429" i="5"/>
  <c r="AC72" i="5"/>
  <c r="AC24" i="5"/>
  <c r="AC50" i="5"/>
  <c r="AC135" i="5"/>
  <c r="AC330" i="5"/>
  <c r="AC210" i="5"/>
  <c r="AC169" i="5"/>
  <c r="AC412" i="5"/>
  <c r="AC375" i="5"/>
  <c r="AC64" i="5"/>
  <c r="AC506" i="5"/>
  <c r="AC233" i="5"/>
  <c r="AC366" i="5"/>
  <c r="AC340" i="5"/>
  <c r="AC334" i="5"/>
  <c r="AC469" i="5"/>
  <c r="AC302" i="5"/>
  <c r="AC95" i="5"/>
  <c r="AC508" i="5"/>
  <c r="AC80" i="5"/>
  <c r="AA124" i="10"/>
  <c r="AB124" i="10"/>
  <c r="AB120" i="10"/>
  <c r="AA120" i="10"/>
  <c r="AA523" i="10"/>
  <c r="AB523" i="10"/>
  <c r="AB65" i="10"/>
  <c r="AA65" i="10"/>
  <c r="AA310" i="10"/>
  <c r="AB310" i="10"/>
  <c r="AB40" i="10"/>
  <c r="AA40" i="10"/>
  <c r="AA191" i="10"/>
  <c r="AB191" i="10"/>
  <c r="AB195" i="10"/>
  <c r="AA195" i="10"/>
  <c r="AB480" i="10"/>
  <c r="AA480" i="10"/>
  <c r="AA542" i="10"/>
  <c r="AB542" i="10"/>
  <c r="AB173" i="10"/>
  <c r="AA173" i="10"/>
  <c r="AA34" i="10"/>
  <c r="AB34" i="10"/>
  <c r="AA512" i="10"/>
  <c r="AB512" i="10"/>
  <c r="AB311" i="10"/>
  <c r="AA311" i="10"/>
  <c r="AA127" i="10"/>
  <c r="AB127" i="10"/>
  <c r="AA250" i="10"/>
  <c r="AB250" i="10"/>
  <c r="AB530" i="10"/>
  <c r="AA530" i="10"/>
  <c r="AA434" i="10"/>
  <c r="AB434" i="10"/>
  <c r="AB423" i="10"/>
  <c r="AA423" i="10"/>
  <c r="AB222" i="10"/>
  <c r="AA222" i="10"/>
  <c r="AA357" i="10"/>
  <c r="AB357" i="10"/>
  <c r="AA235" i="10"/>
  <c r="AB235" i="10"/>
  <c r="AA484" i="10"/>
  <c r="AB484" i="10"/>
  <c r="AA525" i="10"/>
  <c r="AB525" i="10"/>
  <c r="AB242" i="10"/>
  <c r="AA242" i="10"/>
  <c r="AA219" i="10"/>
  <c r="AB219" i="10"/>
  <c r="AB145" i="10"/>
  <c r="AA145" i="10"/>
  <c r="AB432" i="10"/>
  <c r="AA432" i="10"/>
  <c r="AA485" i="10"/>
  <c r="AB485" i="10"/>
  <c r="AA125" i="10"/>
  <c r="AB125" i="10"/>
  <c r="AA513" i="10"/>
  <c r="AB513" i="10"/>
  <c r="AA189" i="10"/>
  <c r="AB189" i="10"/>
  <c r="AA24" i="10"/>
  <c r="AB24" i="10"/>
  <c r="AB403" i="10"/>
  <c r="AA403" i="10"/>
  <c r="AA150" i="10"/>
  <c r="AB150" i="10"/>
  <c r="AA118" i="10"/>
  <c r="AB118" i="10"/>
  <c r="AB470" i="10"/>
  <c r="AA470" i="10"/>
  <c r="AB433" i="10"/>
  <c r="AA433" i="10"/>
  <c r="AA198" i="10"/>
  <c r="AB198" i="10"/>
  <c r="AA355" i="10"/>
  <c r="AB355" i="10"/>
  <c r="AB462" i="10"/>
  <c r="AA462" i="10"/>
  <c r="AA303" i="10"/>
  <c r="AB303" i="10"/>
  <c r="AB478" i="10"/>
  <c r="AA478" i="10"/>
  <c r="AA477" i="10"/>
  <c r="AB477" i="10"/>
  <c r="AA212" i="10"/>
  <c r="AB212" i="10"/>
  <c r="AA244" i="10"/>
  <c r="AB244" i="10"/>
  <c r="AB304" i="10"/>
  <c r="AA304" i="10"/>
  <c r="AB89" i="10"/>
  <c r="AA89" i="10"/>
  <c r="AA372" i="10"/>
  <c r="AB372" i="10"/>
  <c r="AA421" i="10"/>
  <c r="AB421" i="10"/>
  <c r="AB236" i="10"/>
  <c r="AA236" i="10"/>
  <c r="AB533" i="10"/>
  <c r="AA533" i="10"/>
  <c r="AA471" i="10"/>
  <c r="AB471" i="10"/>
  <c r="AB307" i="10"/>
  <c r="AA307" i="10"/>
  <c r="AA43" i="10"/>
  <c r="AB43" i="10"/>
  <c r="AA263" i="10"/>
  <c r="AB263" i="10"/>
  <c r="AC484" i="10"/>
  <c r="AC543" i="10"/>
  <c r="AC134" i="10"/>
  <c r="AC195" i="10"/>
  <c r="AC231" i="10"/>
  <c r="AC301" i="10"/>
  <c r="AC382" i="10"/>
  <c r="AC66" i="10"/>
  <c r="AC560" i="10"/>
  <c r="AC120" i="10"/>
  <c r="AC297" i="10"/>
  <c r="AC70" i="10"/>
  <c r="AC37" i="10"/>
  <c r="AC167" i="10"/>
  <c r="AC385" i="10"/>
  <c r="AC138" i="10"/>
  <c r="AC50" i="10"/>
  <c r="AC497" i="10"/>
  <c r="AC330" i="10"/>
  <c r="AC244" i="10"/>
  <c r="AC508" i="10"/>
  <c r="AC160" i="10"/>
  <c r="AC455" i="10"/>
  <c r="AC93" i="10"/>
  <c r="AC60" i="10"/>
  <c r="AC11" i="10"/>
  <c r="AC421" i="10"/>
  <c r="AC353" i="10"/>
  <c r="AC205" i="10"/>
  <c r="AC367" i="10"/>
  <c r="AC8" i="10"/>
  <c r="AC194" i="10"/>
  <c r="AC280" i="10"/>
  <c r="AC111" i="10"/>
  <c r="AC181" i="10"/>
  <c r="AC432" i="10"/>
  <c r="AC237" i="10"/>
  <c r="AC415" i="10"/>
  <c r="AC43" i="10"/>
  <c r="AC149" i="10"/>
  <c r="AC495" i="10"/>
  <c r="AC428" i="10"/>
  <c r="AC270" i="10"/>
  <c r="AC42" i="10"/>
  <c r="AC328" i="10"/>
  <c r="AC208" i="10"/>
  <c r="AC202" i="10"/>
  <c r="AC155" i="10"/>
  <c r="AC348" i="10"/>
  <c r="AC451" i="10"/>
  <c r="AC98" i="10"/>
  <c r="AC408" i="10"/>
  <c r="AC218" i="10"/>
  <c r="AC169" i="10"/>
  <c r="AC467" i="10"/>
  <c r="AC349" i="10"/>
  <c r="AC264" i="10"/>
  <c r="AC51" i="10"/>
  <c r="AC141" i="10"/>
  <c r="AC140" i="10"/>
  <c r="AC226" i="10"/>
  <c r="AC357" i="10"/>
  <c r="AC200" i="10"/>
  <c r="AC282" i="10"/>
  <c r="AC231" i="5"/>
  <c r="AC553" i="5"/>
  <c r="AC126" i="5"/>
  <c r="AC193" i="5"/>
  <c r="AC291" i="5"/>
  <c r="AC46" i="5"/>
  <c r="AC257" i="5"/>
  <c r="AC373" i="5"/>
  <c r="AC23" i="5"/>
  <c r="AC147" i="5"/>
  <c r="AC29" i="5"/>
  <c r="AC437" i="5"/>
  <c r="AC341" i="5"/>
  <c r="AC447" i="5"/>
  <c r="AC22" i="5"/>
  <c r="AC501" i="5"/>
  <c r="AC133" i="5"/>
  <c r="AC411" i="5"/>
  <c r="AC287" i="5"/>
  <c r="AC268" i="5"/>
  <c r="AC185" i="5"/>
  <c r="AC89" i="5"/>
  <c r="AC298" i="5"/>
  <c r="AC134" i="5"/>
  <c r="AC349" i="5"/>
  <c r="AC33" i="5"/>
  <c r="AC213" i="5"/>
  <c r="AC112" i="5"/>
  <c r="AC547" i="5"/>
  <c r="AC356" i="5"/>
  <c r="AC48" i="5"/>
  <c r="AC229" i="5"/>
  <c r="AC520" i="5"/>
  <c r="AC159" i="5"/>
  <c r="AC380" i="5"/>
  <c r="AC297" i="5"/>
  <c r="AC255" i="5"/>
  <c r="AC56" i="5"/>
  <c r="AC324" i="5"/>
  <c r="AC444" i="5"/>
  <c r="AC104" i="5"/>
  <c r="AC378" i="5"/>
  <c r="AC435" i="5"/>
  <c r="AC264" i="5"/>
  <c r="AC439" i="5"/>
  <c r="AC465" i="5"/>
  <c r="AC542" i="5"/>
  <c r="AC173" i="5"/>
  <c r="AC288" i="5"/>
  <c r="AC454" i="5"/>
  <c r="AC97" i="5"/>
  <c r="AC383" i="5"/>
  <c r="AC98" i="5"/>
  <c r="AC425" i="5"/>
  <c r="AC68" i="5"/>
  <c r="AC110" i="5"/>
  <c r="AC221" i="5"/>
  <c r="AC218" i="5"/>
  <c r="AC236" i="5"/>
  <c r="AC440" i="5"/>
  <c r="AC108" i="5"/>
  <c r="AC418" i="5"/>
  <c r="AC21" i="5"/>
  <c r="AC246" i="5"/>
  <c r="AC271" i="5"/>
  <c r="AC343" i="5"/>
  <c r="AC123" i="5"/>
  <c r="AC100" i="5"/>
  <c r="AC179" i="5"/>
  <c r="AA76" i="5"/>
  <c r="AB76" i="5"/>
  <c r="AA119" i="5"/>
  <c r="AB119" i="5"/>
  <c r="AB197" i="5"/>
  <c r="AA197" i="5"/>
  <c r="AA257" i="5"/>
  <c r="AB257" i="5"/>
  <c r="AB452" i="5"/>
  <c r="AA452" i="5"/>
  <c r="AB481" i="5"/>
  <c r="AA481" i="5"/>
  <c r="AB88" i="5"/>
  <c r="AA88" i="5"/>
  <c r="AA297" i="5"/>
  <c r="AB297" i="5"/>
  <c r="AB511" i="5"/>
  <c r="AA511" i="5"/>
  <c r="AB347" i="5"/>
  <c r="AA347" i="5"/>
  <c r="AA459" i="5"/>
  <c r="AB459" i="5"/>
  <c r="AA109" i="5"/>
  <c r="AB109" i="5"/>
  <c r="AB282" i="5"/>
  <c r="AA282" i="5"/>
  <c r="AA349" i="5"/>
  <c r="AB349" i="5"/>
  <c r="AA61" i="5"/>
  <c r="AB61" i="5"/>
  <c r="AA250" i="5"/>
  <c r="AB250" i="5"/>
  <c r="AA453" i="5"/>
  <c r="AB453" i="5"/>
  <c r="AB532" i="5"/>
  <c r="AA532" i="5"/>
  <c r="AA557" i="5"/>
  <c r="AB557" i="5"/>
  <c r="AB485" i="5"/>
  <c r="AA485" i="5"/>
  <c r="AB433" i="5"/>
  <c r="AA433" i="5"/>
  <c r="AA382" i="5"/>
  <c r="AB382" i="5"/>
  <c r="AA538" i="5"/>
  <c r="AB538" i="5"/>
  <c r="AB521" i="5"/>
  <c r="AA521" i="5"/>
  <c r="AA448" i="5"/>
  <c r="AB448" i="5"/>
  <c r="AA415" i="5"/>
  <c r="AB415" i="5"/>
  <c r="AB529" i="5"/>
  <c r="AA529" i="5"/>
  <c r="AA8" i="5"/>
  <c r="AB8" i="5"/>
  <c r="AB428" i="5"/>
  <c r="AA428" i="5"/>
  <c r="AA137" i="10"/>
  <c r="AB137" i="10"/>
  <c r="AB510" i="10"/>
  <c r="AA510" i="10"/>
  <c r="AA458" i="10"/>
  <c r="AB458" i="10"/>
  <c r="AB77" i="10"/>
  <c r="AA77" i="10"/>
  <c r="AB532" i="10"/>
  <c r="AA532" i="10"/>
  <c r="AB349" i="10"/>
  <c r="AA349" i="10"/>
  <c r="AB400" i="10"/>
  <c r="AA400" i="10"/>
  <c r="AA202" i="10"/>
  <c r="AB202" i="10"/>
  <c r="AB324" i="10"/>
  <c r="AA324" i="10"/>
  <c r="AA187" i="10"/>
  <c r="AB187" i="10"/>
  <c r="AA494" i="10"/>
  <c r="AB494" i="10"/>
  <c r="AA518" i="10"/>
  <c r="AB518" i="10"/>
  <c r="AB27" i="10"/>
  <c r="AA27" i="10"/>
  <c r="AA331" i="10"/>
  <c r="AB331" i="10"/>
  <c r="AA292" i="10"/>
  <c r="AB292" i="10"/>
  <c r="AB166" i="10"/>
  <c r="AA166" i="10"/>
  <c r="AA469" i="10"/>
  <c r="AB469" i="10"/>
  <c r="AB507" i="10"/>
  <c r="AA507" i="10"/>
  <c r="AB133" i="10"/>
  <c r="AA133" i="10"/>
  <c r="AB549" i="10"/>
  <c r="AA549" i="10"/>
  <c r="AB320" i="10"/>
  <c r="AA320" i="10"/>
  <c r="AB481" i="10"/>
  <c r="AA481" i="10"/>
  <c r="AB312" i="10"/>
  <c r="AA312" i="10"/>
  <c r="AB496" i="10"/>
  <c r="AA496" i="10"/>
  <c r="AA559" i="10"/>
  <c r="AB559" i="10"/>
  <c r="AB498" i="10"/>
  <c r="AA498" i="10"/>
  <c r="AA387" i="10"/>
  <c r="AB387" i="10"/>
  <c r="AB50" i="10"/>
  <c r="AA50" i="10"/>
  <c r="AA409" i="10"/>
  <c r="AB409" i="10"/>
  <c r="AA134" i="10"/>
  <c r="AB134" i="10"/>
  <c r="AB162" i="10"/>
  <c r="AA162" i="10"/>
  <c r="AB223" i="10"/>
  <c r="AA223" i="10"/>
  <c r="AA337" i="10"/>
  <c r="AB337" i="10"/>
  <c r="AA238" i="10"/>
  <c r="AB238" i="10"/>
  <c r="AA374" i="10"/>
  <c r="AB374" i="10"/>
  <c r="AB107" i="10"/>
  <c r="AA107" i="10"/>
  <c r="AA180" i="10"/>
  <c r="AB180" i="10"/>
  <c r="AA232" i="10"/>
  <c r="AB232" i="10"/>
  <c r="AB116" i="10"/>
  <c r="AA116" i="10"/>
  <c r="AB167" i="10"/>
  <c r="AA167" i="10"/>
  <c r="AB23" i="10"/>
  <c r="AA23" i="10"/>
  <c r="AA226" i="10"/>
  <c r="AB226" i="10"/>
  <c r="AB430" i="10"/>
  <c r="AA430" i="10"/>
  <c r="AB110" i="10"/>
  <c r="AA110" i="10"/>
  <c r="AA302" i="10"/>
  <c r="AB302" i="10"/>
  <c r="AA474" i="10"/>
  <c r="AB474" i="10"/>
  <c r="AA217" i="10"/>
  <c r="AB217" i="10"/>
  <c r="AB82" i="10"/>
  <c r="AA82" i="10"/>
  <c r="AA527" i="10"/>
  <c r="AB527" i="10"/>
  <c r="AA442" i="10"/>
  <c r="AB442" i="10"/>
  <c r="AB207" i="10"/>
  <c r="AA207" i="10"/>
  <c r="AA333" i="10"/>
  <c r="AB333" i="10"/>
  <c r="AA344" i="10"/>
  <c r="AB344" i="10"/>
  <c r="AB490" i="10"/>
  <c r="AA490" i="10"/>
  <c r="AA130" i="10"/>
  <c r="AB130" i="10"/>
  <c r="AA181" i="10"/>
  <c r="AB181" i="10"/>
  <c r="AB482" i="10"/>
  <c r="AA482" i="10"/>
  <c r="AA325" i="10"/>
  <c r="AB325" i="10"/>
  <c r="AB399" i="10"/>
  <c r="AA399" i="10"/>
  <c r="AB259" i="10"/>
  <c r="AA259" i="10"/>
  <c r="AA441" i="10"/>
  <c r="AB441" i="10"/>
  <c r="AB364" i="10"/>
  <c r="AA364" i="10"/>
  <c r="AB241" i="10"/>
  <c r="AA241" i="10"/>
  <c r="AB63" i="10"/>
  <c r="AA63" i="10"/>
  <c r="AA200" i="10"/>
  <c r="AB200" i="10"/>
  <c r="AA285" i="10"/>
  <c r="AB285" i="10"/>
  <c r="AA193" i="10"/>
  <c r="AB193" i="10"/>
  <c r="AA468" i="10"/>
  <c r="AB468" i="10"/>
  <c r="AC302" i="10"/>
  <c r="AC390" i="10"/>
  <c r="AC405" i="10"/>
  <c r="AC95" i="10"/>
  <c r="AC196" i="10"/>
  <c r="AC182" i="10"/>
  <c r="AC174" i="10"/>
  <c r="AC540" i="10"/>
  <c r="AC318" i="10"/>
  <c r="AC113" i="10"/>
  <c r="AC374" i="10"/>
  <c r="AC498" i="10"/>
  <c r="AC75" i="10"/>
  <c r="AC290" i="10"/>
  <c r="AC456" i="10"/>
  <c r="AC228" i="10"/>
  <c r="AC494" i="10"/>
  <c r="AC144" i="10"/>
  <c r="AC470" i="10"/>
  <c r="AC34" i="10"/>
  <c r="AC33" i="10"/>
  <c r="AC551" i="10"/>
  <c r="AC389" i="10"/>
  <c r="AC230" i="10"/>
  <c r="AC524" i="10"/>
  <c r="AC236" i="10"/>
  <c r="AC502" i="10"/>
  <c r="AC542" i="10"/>
  <c r="AC233" i="10"/>
  <c r="AC109" i="10"/>
  <c r="AC500" i="10"/>
  <c r="AC366" i="10"/>
  <c r="AC161" i="10"/>
  <c r="AC345" i="10"/>
  <c r="AC452" i="10"/>
  <c r="AC143" i="10"/>
  <c r="AC324" i="10"/>
  <c r="AC132" i="10"/>
  <c r="AC28" i="10"/>
  <c r="AC472" i="10"/>
  <c r="AC68" i="10"/>
  <c r="AC435" i="10"/>
  <c r="AC165" i="10"/>
  <c r="AC99" i="10"/>
  <c r="AC64" i="10"/>
  <c r="AC445" i="10"/>
  <c r="AC400" i="10"/>
  <c r="AC299" i="10"/>
  <c r="AC262" i="10"/>
  <c r="AC439" i="10"/>
  <c r="AC209" i="10"/>
  <c r="AC309" i="10"/>
  <c r="AC172" i="10"/>
  <c r="AC23" i="10"/>
  <c r="AC482" i="10"/>
  <c r="AC119" i="10"/>
  <c r="AC443" i="10"/>
  <c r="AC159" i="10"/>
  <c r="AC291" i="10"/>
  <c r="AC528" i="10"/>
  <c r="AC403" i="10"/>
  <c r="AC117" i="10"/>
  <c r="AC479" i="10"/>
  <c r="AC157" i="10"/>
  <c r="AC56" i="10"/>
  <c r="AC283" i="10"/>
  <c r="AC118" i="10"/>
  <c r="AC315" i="10"/>
  <c r="AC142" i="10"/>
  <c r="AC113" i="5"/>
  <c r="AC456" i="5"/>
  <c r="AC86" i="5"/>
  <c r="AC490" i="5"/>
  <c r="AC491" i="5"/>
  <c r="AC250" i="5"/>
  <c r="AC548" i="5"/>
  <c r="AC528" i="5"/>
  <c r="AC259" i="5"/>
  <c r="AC484" i="5"/>
  <c r="AC8" i="5"/>
  <c r="AC149" i="5"/>
  <c r="AC224" i="5"/>
  <c r="AC433" i="5"/>
  <c r="AC293" i="5"/>
  <c r="AC354" i="5"/>
  <c r="AC186" i="5"/>
  <c r="AC265" i="5"/>
  <c r="AC34" i="5"/>
  <c r="AC461" i="5"/>
  <c r="AC140" i="5"/>
  <c r="AC453" i="5"/>
  <c r="AC511" i="5"/>
  <c r="AC311" i="5"/>
  <c r="AC359" i="5"/>
  <c r="AC90" i="5"/>
  <c r="AC509" i="5"/>
  <c r="AC96" i="5"/>
  <c r="AC267" i="5"/>
  <c r="AC532" i="5"/>
  <c r="AC204" i="5"/>
  <c r="AC85" i="5"/>
  <c r="AC407" i="5"/>
  <c r="AC30" i="5"/>
  <c r="AC294" i="5"/>
  <c r="AC198" i="5"/>
  <c r="AC394" i="5"/>
  <c r="AC65" i="5"/>
  <c r="AC409" i="5"/>
  <c r="AC317" i="5"/>
  <c r="AC199" i="5"/>
  <c r="AC355" i="5"/>
  <c r="AC536" i="5"/>
  <c r="AC292" i="5"/>
  <c r="AC102" i="5"/>
  <c r="AC321" i="5"/>
  <c r="AC19" i="5"/>
  <c r="AC277" i="5"/>
  <c r="AC417" i="5"/>
  <c r="AC323" i="5"/>
  <c r="AC405" i="5"/>
  <c r="AC385" i="5"/>
  <c r="AC492" i="5"/>
  <c r="AC395" i="5"/>
  <c r="AC364" i="5"/>
  <c r="AC306" i="5"/>
  <c r="AC466" i="5"/>
  <c r="AC237" i="5"/>
  <c r="AC393" i="5"/>
  <c r="AC127" i="5"/>
  <c r="AC260" i="5"/>
  <c r="AC376" i="5"/>
  <c r="AC223" i="5"/>
  <c r="AC363" i="5"/>
  <c r="AC550" i="5"/>
  <c r="AC36" i="5"/>
  <c r="AC463" i="5"/>
  <c r="AC206" i="5"/>
  <c r="AC455" i="5"/>
  <c r="AA325" i="5"/>
  <c r="AB325" i="5"/>
  <c r="AA465" i="5"/>
  <c r="AB465" i="5"/>
  <c r="AB47" i="5"/>
  <c r="AA47" i="5"/>
  <c r="AA123" i="5"/>
  <c r="AB123" i="5"/>
  <c r="AA556" i="5"/>
  <c r="AB556" i="5"/>
  <c r="AA321" i="5"/>
  <c r="AB321" i="5"/>
  <c r="AB344" i="5"/>
  <c r="AA344" i="5"/>
  <c r="AB273" i="5"/>
  <c r="AA273" i="5"/>
  <c r="AA112" i="5"/>
  <c r="AB112" i="5"/>
  <c r="AA355" i="5"/>
  <c r="AB355" i="5"/>
  <c r="AA316" i="5"/>
  <c r="AB316" i="5"/>
  <c r="AA100" i="5"/>
  <c r="AB100" i="5"/>
  <c r="AA460" i="5"/>
  <c r="AB460" i="5"/>
  <c r="AA278" i="5"/>
  <c r="AB278" i="5"/>
  <c r="AB490" i="5"/>
  <c r="AA490" i="5"/>
  <c r="AB371" i="5"/>
  <c r="AA371" i="5"/>
  <c r="AA527" i="5"/>
  <c r="AB527" i="5"/>
  <c r="AA296" i="5"/>
  <c r="AB296" i="5"/>
  <c r="AB504" i="5"/>
  <c r="AA504" i="5"/>
  <c r="AA560" i="5"/>
  <c r="AB560" i="5"/>
  <c r="AB44" i="5"/>
  <c r="AA44" i="5"/>
  <c r="AA427" i="5"/>
  <c r="AB427" i="5"/>
  <c r="AA535" i="5"/>
  <c r="AB535" i="5"/>
  <c r="AA523" i="5"/>
  <c r="AB523" i="5"/>
  <c r="AB136" i="5"/>
  <c r="AA136" i="5"/>
  <c r="AA313" i="5"/>
  <c r="AB313" i="5"/>
  <c r="AA559" i="5"/>
  <c r="AB559" i="5"/>
  <c r="AA531" i="10"/>
  <c r="AB531" i="10"/>
  <c r="AB497" i="10"/>
  <c r="AA497" i="10"/>
  <c r="AA220" i="10"/>
  <c r="AB220" i="10"/>
  <c r="AA274" i="10"/>
  <c r="AB274" i="10"/>
  <c r="AB522" i="10"/>
  <c r="AA522" i="10"/>
  <c r="AA541" i="10"/>
  <c r="AB541" i="10"/>
  <c r="AA48" i="10"/>
  <c r="AB48" i="10"/>
  <c r="AB543" i="10"/>
  <c r="AA543" i="10"/>
  <c r="AB361" i="10"/>
  <c r="AA361" i="10"/>
  <c r="AA537" i="10"/>
  <c r="AB537" i="10"/>
  <c r="AB269" i="10"/>
  <c r="AA269" i="10"/>
  <c r="AB459" i="10"/>
  <c r="AA459" i="10"/>
  <c r="AB275" i="10"/>
  <c r="AA275" i="10"/>
  <c r="AB332" i="10"/>
  <c r="AA332" i="10"/>
  <c r="AB221" i="10"/>
  <c r="AA221" i="10"/>
  <c r="AB239" i="10"/>
  <c r="AA239" i="10"/>
  <c r="AA117" i="10"/>
  <c r="AB117" i="10"/>
  <c r="AB454" i="10"/>
  <c r="AA454" i="10"/>
  <c r="AA343" i="10"/>
  <c r="AB343" i="10"/>
  <c r="AA450" i="10"/>
  <c r="AB450" i="10"/>
  <c r="AB205" i="10"/>
  <c r="AA205" i="10"/>
  <c r="AA356" i="10"/>
  <c r="AB356" i="10"/>
  <c r="AB46" i="10"/>
  <c r="AA46" i="10"/>
  <c r="AB35" i="10"/>
  <c r="AA35" i="10"/>
  <c r="AB413" i="10"/>
  <c r="AA413" i="10"/>
  <c r="AA540" i="10"/>
  <c r="AB540" i="10"/>
  <c r="AA73" i="10"/>
  <c r="AB73" i="10"/>
  <c r="AB144" i="10"/>
  <c r="AA144" i="10"/>
  <c r="AA66" i="10"/>
  <c r="AB66" i="10"/>
  <c r="AA547" i="10"/>
  <c r="AB547" i="10"/>
  <c r="AB141" i="10"/>
  <c r="AA141" i="10"/>
  <c r="AB538" i="10"/>
  <c r="AA538" i="10"/>
  <c r="AB128" i="10"/>
  <c r="AA128" i="10"/>
  <c r="AB386" i="10"/>
  <c r="AA386" i="10"/>
  <c r="AA342" i="10"/>
  <c r="AB342" i="10"/>
  <c r="AA327" i="10"/>
  <c r="AB327" i="10"/>
  <c r="AB108" i="10"/>
  <c r="AA108" i="10"/>
  <c r="AB444" i="10"/>
  <c r="AA444" i="10"/>
  <c r="AA122" i="10"/>
  <c r="AB122" i="10"/>
  <c r="AA158" i="10"/>
  <c r="AB158" i="10"/>
  <c r="AB436" i="10"/>
  <c r="AA436" i="10"/>
  <c r="AB318" i="10"/>
  <c r="AA318" i="10"/>
  <c r="AA204" i="10"/>
  <c r="AB204" i="10"/>
  <c r="AB406" i="10"/>
  <c r="AA406" i="10"/>
  <c r="AB350" i="10"/>
  <c r="AA350" i="10"/>
  <c r="AB418" i="10"/>
  <c r="AA418" i="10"/>
  <c r="AB152" i="10"/>
  <c r="AA152" i="10"/>
  <c r="AA558" i="10"/>
  <c r="AB558" i="10"/>
  <c r="AB419" i="10"/>
  <c r="AA419" i="10"/>
  <c r="AB254" i="10"/>
  <c r="AA254" i="10"/>
  <c r="AB453" i="10"/>
  <c r="AA453" i="10"/>
  <c r="AB171" i="10"/>
  <c r="AA171" i="10"/>
  <c r="AB45" i="10"/>
  <c r="AA45" i="10"/>
  <c r="AB321" i="10"/>
  <c r="AA321" i="10"/>
  <c r="AA106" i="10"/>
  <c r="AB106" i="10"/>
  <c r="AA165" i="10"/>
  <c r="AB165" i="10"/>
  <c r="AB271" i="10"/>
  <c r="AA271" i="10"/>
  <c r="AA276" i="10"/>
  <c r="AB276" i="10"/>
  <c r="AB449" i="10"/>
  <c r="AA449" i="10"/>
  <c r="AA176" i="10"/>
  <c r="AB176" i="10"/>
  <c r="AB448" i="10"/>
  <c r="AA448" i="10"/>
  <c r="AB234" i="10"/>
  <c r="AA234" i="10"/>
  <c r="AB439" i="10"/>
  <c r="AA439" i="10"/>
  <c r="AA142" i="10"/>
  <c r="AB142" i="10"/>
  <c r="AB446" i="10"/>
  <c r="AA446" i="10"/>
  <c r="AA557" i="10"/>
  <c r="AB557" i="10"/>
  <c r="AB294" i="10"/>
  <c r="AA294" i="10"/>
  <c r="AA151" i="10"/>
  <c r="AB151" i="10"/>
  <c r="AC21" i="10"/>
  <c r="AC361" i="10"/>
  <c r="AC449" i="10"/>
  <c r="AC477" i="10"/>
  <c r="AC507" i="10"/>
  <c r="AC499" i="10"/>
  <c r="AC185" i="10"/>
  <c r="AC406" i="10"/>
  <c r="AC39" i="10"/>
  <c r="AC310" i="10"/>
  <c r="AC338" i="10"/>
  <c r="AC255" i="10"/>
  <c r="AC460" i="10"/>
  <c r="AC305" i="10"/>
  <c r="AC214" i="10"/>
  <c r="AC535" i="10"/>
  <c r="AC220" i="10"/>
  <c r="AC487" i="10"/>
  <c r="AC554" i="10"/>
  <c r="AC213" i="10"/>
  <c r="AC52" i="10"/>
  <c r="AC491" i="10"/>
  <c r="AC359" i="10"/>
  <c r="AC10" i="10"/>
  <c r="AC222" i="10"/>
  <c r="AC516" i="10"/>
  <c r="AC419" i="10"/>
  <c r="AC104" i="10"/>
  <c r="AC63" i="10"/>
  <c r="AC407" i="10"/>
  <c r="AC87" i="10"/>
  <c r="AC358" i="10"/>
  <c r="AC340" i="10"/>
  <c r="AC201" i="10"/>
  <c r="AC388" i="10"/>
  <c r="AC288" i="10"/>
  <c r="AC276" i="10"/>
  <c r="AC525" i="10"/>
  <c r="AC192" i="10"/>
  <c r="AC483" i="10"/>
  <c r="AC513" i="10"/>
  <c r="AC127" i="10"/>
  <c r="AC153" i="10"/>
  <c r="AC503" i="10"/>
  <c r="AC437" i="10"/>
  <c r="AC82" i="10"/>
  <c r="AC392" i="10"/>
  <c r="AC281" i="10"/>
  <c r="AC35" i="10"/>
  <c r="AC410" i="10"/>
  <c r="AC210" i="10"/>
  <c r="AC383" i="10"/>
  <c r="AC461" i="10"/>
  <c r="AC96" i="10"/>
  <c r="AC474" i="10"/>
  <c r="AC275" i="10"/>
  <c r="AC106" i="10"/>
  <c r="AC177" i="10"/>
  <c r="AC489" i="10"/>
  <c r="AC387" i="10"/>
  <c r="AC215" i="10"/>
  <c r="AC74" i="10"/>
  <c r="AC481" i="10"/>
  <c r="AC447" i="10"/>
  <c r="AC505" i="10"/>
  <c r="AC156" i="10"/>
  <c r="AC394" i="10"/>
  <c r="AC495" i="5"/>
  <c r="AC182" i="5"/>
  <c r="AC314" i="5"/>
  <c r="AC470" i="5"/>
  <c r="AC155" i="5"/>
  <c r="AC203" i="5"/>
  <c r="AC449" i="5"/>
  <c r="AC386" i="5"/>
  <c r="AC214" i="5"/>
  <c r="AC261" i="5"/>
  <c r="AC301" i="5"/>
  <c r="AC384" i="5"/>
  <c r="AC431" i="5"/>
  <c r="AC251" i="5"/>
  <c r="AC432" i="5"/>
  <c r="AC496" i="5"/>
  <c r="AC151" i="5"/>
  <c r="AC167" i="5"/>
  <c r="AC281" i="5"/>
  <c r="AC91" i="5"/>
  <c r="AC396" i="5"/>
  <c r="AC284" i="5"/>
  <c r="AC242" i="5"/>
  <c r="AC137" i="5"/>
  <c r="AC558" i="5"/>
  <c r="AC342" i="5"/>
  <c r="AC307" i="5"/>
  <c r="AC111" i="5"/>
  <c r="AC290" i="5"/>
  <c r="AC352" i="5"/>
  <c r="AC146" i="5"/>
  <c r="AC400" i="5"/>
  <c r="AC76" i="5"/>
  <c r="AC303" i="5"/>
  <c r="AC243" i="5"/>
  <c r="AC125" i="5"/>
  <c r="AC415" i="5"/>
  <c r="AC191" i="5"/>
  <c r="AC543" i="5"/>
  <c r="AC94" i="5"/>
  <c r="AC374" i="5"/>
  <c r="AC239" i="5"/>
  <c r="AC285" i="5"/>
  <c r="AC51" i="5"/>
  <c r="AC510" i="5"/>
  <c r="AC197" i="5"/>
  <c r="AC368" i="5"/>
  <c r="AC479" i="5"/>
  <c r="AC521" i="5"/>
  <c r="AC406" i="5"/>
  <c r="AC122" i="5"/>
  <c r="AC215" i="5"/>
  <c r="AC279" i="5"/>
  <c r="AC401" i="5"/>
  <c r="AC315" i="5"/>
  <c r="AC329" i="5"/>
  <c r="AC517" i="5"/>
  <c r="AC276" i="5"/>
  <c r="AC530" i="5"/>
  <c r="AC195" i="5"/>
  <c r="AC11" i="5"/>
  <c r="AC124" i="5"/>
  <c r="AC37" i="5"/>
  <c r="AC247" i="5"/>
  <c r="AC422" i="5"/>
  <c r="AC139" i="5"/>
  <c r="AC482" i="5"/>
  <c r="AD7" i="5"/>
  <c r="AE7" i="5"/>
  <c r="AB97" i="5"/>
  <c r="AA97" i="5"/>
  <c r="AB243" i="5"/>
  <c r="AA243" i="5"/>
  <c r="AA32" i="5"/>
  <c r="AB32" i="5"/>
  <c r="AA156" i="5"/>
  <c r="AB156" i="5"/>
  <c r="AA473" i="5"/>
  <c r="AB473" i="5"/>
  <c r="AA385" i="5"/>
  <c r="AB385" i="5"/>
  <c r="AB477" i="5"/>
  <c r="AA477" i="5"/>
  <c r="AB172" i="5"/>
  <c r="AA172" i="5"/>
  <c r="AB80" i="5"/>
  <c r="AA80" i="5"/>
  <c r="AA409" i="5"/>
  <c r="AB409" i="5"/>
  <c r="AA233" i="5"/>
  <c r="AB233" i="5"/>
  <c r="AB414" i="5"/>
  <c r="AA414" i="5"/>
  <c r="AA378" i="5"/>
  <c r="AB378" i="5"/>
  <c r="AB50" i="5"/>
  <c r="AA50" i="5"/>
  <c r="AB421" i="5"/>
  <c r="AA421" i="5"/>
  <c r="AA429" i="5"/>
  <c r="AB429" i="5"/>
  <c r="AB42" i="5"/>
  <c r="AA42" i="5"/>
  <c r="AB120" i="5"/>
  <c r="AA120" i="5"/>
  <c r="AA550" i="5"/>
  <c r="AB550" i="5"/>
  <c r="AB137" i="5"/>
  <c r="AA137" i="5"/>
  <c r="AB210" i="5"/>
  <c r="AA210" i="5"/>
  <c r="AB178" i="5"/>
  <c r="AA178" i="5"/>
  <c r="AA480" i="5"/>
  <c r="AB480" i="5"/>
  <c r="AB353" i="5"/>
  <c r="AA353" i="5"/>
  <c r="AB456" i="5"/>
  <c r="AA456" i="5"/>
  <c r="AB495" i="5"/>
  <c r="AA495" i="5"/>
  <c r="AA475" i="5"/>
  <c r="AB475" i="5"/>
  <c r="AB104" i="5"/>
  <c r="AA104" i="5"/>
  <c r="AB58" i="5"/>
  <c r="AA58" i="5"/>
  <c r="AB549" i="5"/>
  <c r="AA549" i="5"/>
  <c r="AA464" i="5"/>
  <c r="AB464" i="5"/>
  <c r="AA34" i="5"/>
  <c r="AB34" i="5"/>
  <c r="AA178" i="10"/>
  <c r="AB178" i="10"/>
  <c r="AA72" i="10"/>
  <c r="AB72" i="10"/>
  <c r="AB390" i="10"/>
  <c r="AA390" i="10"/>
  <c r="AB314" i="10"/>
  <c r="AA314" i="10"/>
  <c r="AA389" i="10"/>
  <c r="AB389" i="10"/>
  <c r="AB369" i="10"/>
  <c r="AA369" i="10"/>
  <c r="AB404" i="10"/>
  <c r="AA404" i="10"/>
  <c r="AA115" i="10"/>
  <c r="AB115" i="10"/>
  <c r="AB486" i="10"/>
  <c r="AA486" i="10"/>
  <c r="AA279" i="10"/>
  <c r="AB279" i="10"/>
  <c r="AB405" i="10"/>
  <c r="AA405" i="10"/>
  <c r="AB119" i="10"/>
  <c r="AA119" i="10"/>
  <c r="AA334" i="10"/>
  <c r="AB334" i="10"/>
  <c r="AB228" i="10"/>
  <c r="AA228" i="10"/>
  <c r="AA489" i="10"/>
  <c r="AB489" i="10"/>
  <c r="AB296" i="10"/>
  <c r="AA296" i="10"/>
  <c r="AB60" i="10"/>
  <c r="AA60" i="10"/>
  <c r="AB392" i="10"/>
  <c r="AA392" i="10"/>
  <c r="AA370" i="10"/>
  <c r="AB370" i="10"/>
  <c r="AB70" i="10"/>
  <c r="AA70" i="10"/>
  <c r="AA315" i="10"/>
  <c r="AB315" i="10"/>
  <c r="AA435" i="10"/>
  <c r="AB435" i="10"/>
  <c r="AA233" i="10"/>
  <c r="AB233" i="10"/>
  <c r="AA56" i="10"/>
  <c r="AB56" i="10"/>
  <c r="AB206" i="10"/>
  <c r="AA206" i="10"/>
  <c r="AB245" i="10"/>
  <c r="AA245" i="10"/>
  <c r="AA466" i="10"/>
  <c r="AB466" i="10"/>
  <c r="AA264" i="10"/>
  <c r="AB264" i="10"/>
  <c r="AA295" i="10"/>
  <c r="AB295" i="10"/>
  <c r="AB465" i="10"/>
  <c r="AA465" i="10"/>
  <c r="AB30" i="10"/>
  <c r="AA30" i="10"/>
  <c r="AB182" i="10"/>
  <c r="AA182" i="10"/>
  <c r="AB460" i="10"/>
  <c r="AA460" i="10"/>
  <c r="AA7" i="10"/>
  <c r="AB7" i="10"/>
  <c r="AB267" i="10"/>
  <c r="AA267" i="10"/>
  <c r="AB146" i="10"/>
  <c r="AA146" i="10"/>
  <c r="AB91" i="10"/>
  <c r="AA91" i="10"/>
  <c r="AA186" i="10"/>
  <c r="AB186" i="10"/>
  <c r="AA143" i="10"/>
  <c r="AB143" i="10"/>
  <c r="AB203" i="10"/>
  <c r="AA203" i="10"/>
  <c r="AA101" i="10"/>
  <c r="AB101" i="10"/>
  <c r="AB32" i="10"/>
  <c r="AA32" i="10"/>
  <c r="AB514" i="10"/>
  <c r="AA514" i="10"/>
  <c r="AA41" i="10"/>
  <c r="AB41" i="10"/>
  <c r="AA109" i="10"/>
  <c r="AB109" i="10"/>
  <c r="AA548" i="10"/>
  <c r="AB548" i="10"/>
  <c r="AB132" i="10"/>
  <c r="AA132" i="10"/>
  <c r="AB309" i="10"/>
  <c r="AA309" i="10"/>
  <c r="AB29" i="10"/>
  <c r="AA29" i="10"/>
  <c r="AB224" i="10"/>
  <c r="AA224" i="10"/>
  <c r="AA104" i="10"/>
  <c r="AB104" i="10"/>
  <c r="AA54" i="10"/>
  <c r="AB54" i="10"/>
  <c r="AB440" i="10"/>
  <c r="AA440" i="10"/>
  <c r="AA464" i="10"/>
  <c r="AB464" i="10"/>
  <c r="AA375" i="10"/>
  <c r="AB375" i="10"/>
  <c r="AB378" i="10"/>
  <c r="AA378" i="10"/>
  <c r="AB225" i="10"/>
  <c r="AA225" i="10"/>
  <c r="AB329" i="10"/>
  <c r="AA329" i="10"/>
  <c r="AB284" i="10"/>
  <c r="AA284" i="10"/>
  <c r="AA555" i="10"/>
  <c r="AB555" i="10"/>
  <c r="AA354" i="10"/>
  <c r="AB354" i="10"/>
  <c r="AB61" i="10"/>
  <c r="AA61" i="10"/>
  <c r="AA184" i="10"/>
  <c r="AB184" i="10"/>
  <c r="AA87" i="10"/>
  <c r="AB87" i="10"/>
  <c r="AB78" i="10"/>
  <c r="AA78" i="10"/>
  <c r="AB177" i="10"/>
  <c r="AA177" i="10"/>
  <c r="AB550" i="10"/>
  <c r="AA550" i="10"/>
  <c r="AA425" i="10"/>
  <c r="AB425" i="10"/>
  <c r="AC360" i="10"/>
  <c r="AC294" i="10"/>
  <c r="AC114" i="10"/>
  <c r="AC135" i="10"/>
  <c r="AC112" i="10"/>
  <c r="AC379" i="10"/>
  <c r="AC271" i="10"/>
  <c r="AC536" i="10"/>
  <c r="AC377" i="10"/>
  <c r="AC130" i="10"/>
  <c r="AC398" i="10"/>
  <c r="AC232" i="10"/>
  <c r="AC40" i="10"/>
  <c r="AC465" i="10"/>
  <c r="AC298" i="10"/>
  <c r="AC343" i="10"/>
  <c r="AC206" i="10"/>
  <c r="AC531" i="10"/>
  <c r="AC373" i="10"/>
  <c r="AC84" i="10"/>
  <c r="AC41" i="10"/>
  <c r="AC559" i="10"/>
  <c r="AC337" i="10"/>
  <c r="AC44" i="10"/>
  <c r="AC351" i="10"/>
  <c r="AC7" i="10"/>
  <c r="AC257" i="10"/>
  <c r="AC248" i="10"/>
  <c r="AC241" i="10"/>
  <c r="AC411" i="10"/>
  <c r="AC425" i="10"/>
  <c r="AC221" i="10"/>
  <c r="AC399" i="10"/>
  <c r="AC136" i="10"/>
  <c r="AC295" i="10"/>
  <c r="AC436" i="10"/>
  <c r="AC332" i="10"/>
  <c r="AC261" i="10"/>
  <c r="AC532" i="10"/>
  <c r="AC268" i="10"/>
  <c r="AC509" i="10"/>
  <c r="AC380" i="10"/>
  <c r="AC148" i="10"/>
  <c r="AC71" i="10"/>
  <c r="AC116" i="10"/>
  <c r="AC448" i="10"/>
  <c r="AC103" i="10"/>
  <c r="AC431" i="10"/>
  <c r="AC203" i="10"/>
  <c r="AC81" i="10"/>
  <c r="AC466" i="10"/>
  <c r="AC317" i="10"/>
  <c r="AC166" i="10"/>
  <c r="AC523" i="10"/>
  <c r="AC239" i="10"/>
  <c r="AC504" i="10"/>
  <c r="AC490" i="10"/>
  <c r="AC171" i="10"/>
  <c r="AC46" i="10"/>
  <c r="AC538" i="10"/>
  <c r="AC163" i="10"/>
  <c r="AC193" i="10"/>
  <c r="AC370" i="10"/>
  <c r="AC556" i="10"/>
  <c r="AC207" i="10"/>
  <c r="AC240" i="10"/>
  <c r="AC308" i="10"/>
  <c r="AC158" i="10"/>
  <c r="AC487" i="5"/>
  <c r="AC503" i="5"/>
  <c r="AC88" i="5"/>
  <c r="AC460" i="5"/>
  <c r="AC145" i="5"/>
  <c r="AC421" i="5"/>
  <c r="AC494" i="5"/>
  <c r="AC450" i="5"/>
  <c r="AC282" i="5"/>
  <c r="AC497" i="5"/>
  <c r="AC472" i="5"/>
  <c r="AC552" i="5"/>
  <c r="AC333" i="5"/>
  <c r="AC244" i="5"/>
  <c r="AC220" i="5"/>
  <c r="AC160" i="5"/>
  <c r="AC514" i="5"/>
  <c r="AC274" i="5"/>
  <c r="AC87" i="5"/>
  <c r="AC402" i="5"/>
  <c r="AC132" i="5"/>
  <c r="AC505" i="5"/>
  <c r="AC369" i="5"/>
  <c r="AC428" i="5"/>
  <c r="AC365" i="5"/>
  <c r="AC392" i="5"/>
  <c r="AC371" i="5"/>
  <c r="AC83" i="5"/>
  <c r="AC263" i="5"/>
  <c r="AC273" i="5"/>
  <c r="AC253" i="5"/>
  <c r="AC328" i="5"/>
  <c r="AC109" i="5"/>
  <c r="AC372" i="5"/>
  <c r="AC77" i="5"/>
  <c r="AC78" i="5"/>
  <c r="AC489" i="5"/>
  <c r="AC117" i="5"/>
  <c r="AC188" i="5"/>
  <c r="AC516" i="5"/>
  <c r="AC42" i="5"/>
  <c r="AC192" i="5"/>
  <c r="AC121" i="5"/>
  <c r="AC326" i="5"/>
  <c r="AC9" i="5"/>
  <c r="AC79" i="5"/>
  <c r="AC71" i="5"/>
  <c r="AC189" i="5"/>
  <c r="AC304" i="5"/>
  <c r="AC148" i="5"/>
  <c r="AC557" i="5"/>
  <c r="AC106" i="5"/>
  <c r="AC403" i="5"/>
  <c r="AC370" i="5"/>
  <c r="AC410" i="5"/>
  <c r="AC25" i="5"/>
  <c r="AC525" i="5"/>
  <c r="AC216" i="5"/>
  <c r="AC45" i="5"/>
  <c r="AC316" i="5"/>
  <c r="AC208" i="5"/>
  <c r="AC217" i="5"/>
  <c r="AC20" i="5"/>
  <c r="AC131" i="5"/>
  <c r="AC488" i="5"/>
  <c r="AC211" i="5"/>
  <c r="AC226" i="5"/>
  <c r="AC101" i="5"/>
  <c r="AB255" i="5"/>
  <c r="AA255" i="5"/>
  <c r="AB25" i="5"/>
  <c r="AA25" i="5"/>
  <c r="AA133" i="5"/>
  <c r="AB133" i="5"/>
  <c r="AB516" i="5"/>
  <c r="AA516" i="5"/>
  <c r="AB268" i="5"/>
  <c r="AA268" i="5"/>
  <c r="AA356" i="5"/>
  <c r="AB356" i="5"/>
  <c r="AA298" i="5"/>
  <c r="AB298" i="5"/>
  <c r="AA59" i="5"/>
  <c r="AB59" i="5"/>
  <c r="AA553" i="5"/>
  <c r="AB553" i="5"/>
  <c r="AA146" i="5"/>
  <c r="AB146" i="5"/>
  <c r="AB284" i="5"/>
  <c r="AA284" i="5"/>
  <c r="AB466" i="5"/>
  <c r="AA466" i="5"/>
  <c r="AB56" i="5"/>
  <c r="AA56" i="5"/>
  <c r="AB412" i="5"/>
  <c r="AA412" i="5"/>
  <c r="AA432" i="5"/>
  <c r="AB432" i="5"/>
  <c r="AB69" i="5"/>
  <c r="AA69" i="5"/>
  <c r="AA384" i="5"/>
  <c r="AB384" i="5"/>
  <c r="AB162" i="5"/>
  <c r="AA162" i="5"/>
  <c r="AB328" i="5"/>
  <c r="AA328" i="5"/>
  <c r="AA552" i="5"/>
  <c r="AB552" i="5"/>
  <c r="AB397" i="5"/>
  <c r="AA397" i="5"/>
  <c r="AA534" i="5"/>
  <c r="AB534" i="5"/>
  <c r="AB496" i="5"/>
  <c r="AA496" i="5"/>
  <c r="AA216" i="5"/>
  <c r="AB216" i="5"/>
  <c r="AB413" i="5"/>
  <c r="AA413" i="5"/>
  <c r="AA528" i="5"/>
  <c r="AB528" i="5"/>
  <c r="AB502" i="5"/>
  <c r="AA502" i="5"/>
  <c r="AA295" i="5"/>
  <c r="AB295" i="5"/>
  <c r="AA381" i="5"/>
  <c r="AB381" i="5"/>
  <c r="AA223" i="5"/>
  <c r="AB223" i="5"/>
  <c r="AB11" i="10"/>
  <c r="AA11" i="10"/>
  <c r="AA326" i="10"/>
  <c r="AB326" i="10"/>
  <c r="AB208" i="10"/>
  <c r="AA208" i="10"/>
  <c r="AA301" i="10"/>
  <c r="AB301" i="10"/>
  <c r="AA428" i="10"/>
  <c r="AB428" i="10"/>
  <c r="AB93" i="10"/>
  <c r="AA93" i="10"/>
  <c r="AB74" i="10"/>
  <c r="AA74" i="10"/>
  <c r="AB503" i="10"/>
  <c r="AA503" i="10"/>
  <c r="AA551" i="10"/>
  <c r="AB551" i="10"/>
  <c r="AA431" i="10"/>
  <c r="AB431" i="10"/>
  <c r="AB456" i="10"/>
  <c r="AA456" i="10"/>
  <c r="AB289" i="10"/>
  <c r="AA289" i="10"/>
  <c r="AB96" i="10"/>
  <c r="AA96" i="10"/>
  <c r="AA322" i="10"/>
  <c r="AB322" i="10"/>
  <c r="AB69" i="10"/>
  <c r="AA69" i="10"/>
  <c r="AB416" i="10"/>
  <c r="AA416" i="10"/>
  <c r="AB414" i="10"/>
  <c r="AA414" i="10"/>
  <c r="AA554" i="10"/>
  <c r="AB554" i="10"/>
  <c r="AB84" i="10"/>
  <c r="AA84" i="10"/>
  <c r="AB499" i="10"/>
  <c r="AA499" i="10"/>
  <c r="AB363" i="10"/>
  <c r="AA363" i="10"/>
  <c r="AA270" i="10"/>
  <c r="AB270" i="10"/>
  <c r="AB427" i="10"/>
  <c r="AA427" i="10"/>
  <c r="AA451" i="10"/>
  <c r="AB451" i="10"/>
  <c r="AB135" i="10"/>
  <c r="AA135" i="10"/>
  <c r="AA277" i="10"/>
  <c r="AB277" i="10"/>
  <c r="AA8" i="10"/>
  <c r="AB8" i="10"/>
  <c r="AA410" i="10"/>
  <c r="AB410" i="10"/>
  <c r="AA103" i="10"/>
  <c r="AB103" i="10"/>
  <c r="AA308" i="10"/>
  <c r="AB308" i="10"/>
  <c r="AB282" i="10"/>
  <c r="AA282" i="10"/>
  <c r="AB44" i="10"/>
  <c r="AA44" i="10"/>
  <c r="AB185" i="10"/>
  <c r="AA185" i="10"/>
  <c r="AA62" i="10"/>
  <c r="AB62" i="10"/>
  <c r="AA348" i="10"/>
  <c r="AB348" i="10"/>
  <c r="AA371" i="10"/>
  <c r="AB371" i="10"/>
  <c r="AA506" i="10"/>
  <c r="AB506" i="10"/>
  <c r="AB272" i="10"/>
  <c r="AA272" i="10"/>
  <c r="AB256" i="10"/>
  <c r="AA256" i="10"/>
  <c r="AA300" i="10"/>
  <c r="AB300" i="10"/>
  <c r="AB373" i="10"/>
  <c r="AA373" i="10"/>
  <c r="AB139" i="10"/>
  <c r="AA139" i="10"/>
  <c r="AA351" i="10"/>
  <c r="AB351" i="10"/>
  <c r="AB153" i="10"/>
  <c r="AA153" i="10"/>
  <c r="AA388" i="10"/>
  <c r="AB388" i="10"/>
  <c r="AB140" i="10"/>
  <c r="AA140" i="10"/>
  <c r="AB42" i="10"/>
  <c r="AA42" i="10"/>
  <c r="AA161" i="10"/>
  <c r="AB161" i="10"/>
  <c r="AB376" i="10"/>
  <c r="AA376" i="10"/>
  <c r="AA246" i="10"/>
  <c r="AB246" i="10"/>
  <c r="AB383" i="10"/>
  <c r="AA383" i="10"/>
  <c r="AB483" i="10"/>
  <c r="AA483" i="10"/>
  <c r="AA286" i="10"/>
  <c r="AB286" i="10"/>
  <c r="AA509" i="10"/>
  <c r="AB509" i="10"/>
  <c r="AB64" i="10"/>
  <c r="AA64" i="10"/>
  <c r="AA463" i="10"/>
  <c r="AB463" i="10"/>
  <c r="AB556" i="10"/>
  <c r="AA556" i="10"/>
  <c r="AA544" i="10"/>
  <c r="AB544" i="10"/>
  <c r="AB452" i="10"/>
  <c r="AA452" i="10"/>
  <c r="AA504" i="10"/>
  <c r="AB504" i="10"/>
  <c r="AA426" i="10"/>
  <c r="AB426" i="10"/>
  <c r="AB25" i="10"/>
  <c r="AA25" i="10"/>
  <c r="AB528" i="10"/>
  <c r="AA528" i="10"/>
  <c r="AA172" i="10"/>
  <c r="AB172" i="10"/>
  <c r="AB52" i="10"/>
  <c r="AA52" i="10"/>
  <c r="AA257" i="10"/>
  <c r="AB257" i="10"/>
  <c r="AB341" i="10"/>
  <c r="AA341" i="10"/>
  <c r="AB57" i="10"/>
  <c r="AA57" i="10"/>
  <c r="AB192" i="10"/>
  <c r="AA192" i="10"/>
  <c r="AC514" i="10"/>
  <c r="AC404" i="10"/>
  <c r="AC424" i="10"/>
  <c r="AC464" i="10"/>
  <c r="AC441" i="10"/>
  <c r="AC469" i="10"/>
  <c r="AC476" i="10"/>
  <c r="AC433" i="10"/>
  <c r="AC462" i="10"/>
  <c r="AC151" i="10"/>
  <c r="AC369" i="10"/>
  <c r="AC225" i="10"/>
  <c r="AC25" i="10"/>
  <c r="AC553" i="10"/>
  <c r="AC468" i="10"/>
  <c r="AC321" i="10"/>
  <c r="AC85" i="10"/>
  <c r="AC335" i="10"/>
  <c r="AC555" i="10"/>
  <c r="AC323" i="10"/>
  <c r="AC216" i="10"/>
  <c r="AC217" i="10"/>
  <c r="AC429" i="10"/>
  <c r="AC350" i="10"/>
  <c r="AC145" i="10"/>
  <c r="AC329" i="10"/>
  <c r="AC450" i="10"/>
  <c r="AC187" i="10"/>
  <c r="AC363" i="10"/>
  <c r="AC108" i="10"/>
  <c r="AC102" i="10"/>
  <c r="AC475" i="10"/>
  <c r="AC199" i="10"/>
  <c r="AC417" i="10"/>
  <c r="AC91" i="10"/>
  <c r="AC125" i="10"/>
  <c r="AC529" i="10"/>
  <c r="AC396" i="10"/>
  <c r="AC320" i="10"/>
  <c r="AC36" i="10"/>
  <c r="AC253" i="10"/>
  <c r="AC549" i="10"/>
  <c r="AC272" i="10"/>
  <c r="AC170" i="10"/>
  <c r="AC131" i="10"/>
  <c r="AC457" i="10"/>
  <c r="AC493" i="10"/>
  <c r="AC80" i="10"/>
  <c r="AC440" i="10"/>
  <c r="AC279" i="10"/>
  <c r="AC251" i="10"/>
  <c r="AC530" i="10"/>
  <c r="AC418" i="10"/>
  <c r="AC293" i="10"/>
  <c r="AC547" i="10"/>
  <c r="AC300" i="10"/>
  <c r="AC517" i="10"/>
  <c r="AC250" i="10"/>
  <c r="AC188" i="10"/>
  <c r="AC110" i="10"/>
  <c r="AC197" i="10"/>
  <c r="AC557" i="10"/>
  <c r="AC346" i="10"/>
  <c r="AC179" i="10"/>
  <c r="AC453" i="10"/>
  <c r="AC29" i="10"/>
  <c r="AC101" i="10"/>
  <c r="AC65" i="10"/>
  <c r="AC72" i="10"/>
  <c r="AC269" i="5"/>
  <c r="AC196" i="5"/>
  <c r="AC353" i="5"/>
  <c r="AC228" i="5"/>
  <c r="AC73" i="5"/>
  <c r="AC351" i="5"/>
  <c r="AC212" i="5"/>
  <c r="AC93" i="5"/>
  <c r="AC546" i="5"/>
  <c r="AC513" i="5"/>
  <c r="AC498" i="5"/>
  <c r="AC176" i="5"/>
  <c r="AC119" i="5"/>
  <c r="AC559" i="5"/>
  <c r="AC480" i="5"/>
  <c r="AC52" i="5"/>
  <c r="AC230" i="5"/>
  <c r="AC200" i="5"/>
  <c r="AC54" i="5"/>
  <c r="AC529" i="5"/>
  <c r="AC416" i="5"/>
  <c r="AC519" i="5"/>
  <c r="AC27" i="5"/>
  <c r="AC426" i="5"/>
  <c r="AC420" i="5"/>
  <c r="AC397" i="5"/>
  <c r="AC441" i="5"/>
  <c r="AC346" i="5"/>
  <c r="AC116" i="5"/>
  <c r="AC537" i="5"/>
  <c r="AC99" i="5"/>
  <c r="AC502" i="5"/>
  <c r="AC382" i="5"/>
  <c r="AC202" i="5"/>
  <c r="AC107" i="5"/>
  <c r="AC424" i="5"/>
  <c r="AC379" i="5"/>
  <c r="AC320" i="5"/>
  <c r="AC499" i="5"/>
  <c r="AC138" i="5"/>
  <c r="AC319" i="5"/>
  <c r="AC222" i="5"/>
  <c r="AC201" i="5"/>
  <c r="AC448" i="5"/>
  <c r="AC162" i="5"/>
  <c r="AC348" i="5"/>
  <c r="AC35" i="5"/>
  <c r="AC84" i="5"/>
  <c r="AC545" i="5"/>
  <c r="AC154" i="5"/>
  <c r="AC55" i="5"/>
  <c r="AC41" i="5"/>
  <c r="AC248" i="5"/>
  <c r="AC31" i="5"/>
  <c r="AC63" i="5"/>
  <c r="AC150" i="5"/>
  <c r="AC58" i="5"/>
  <c r="AC105" i="5"/>
  <c r="AC526" i="5"/>
  <c r="AC115" i="5"/>
  <c r="AC442" i="5"/>
  <c r="AC555" i="5"/>
  <c r="AC313" i="5"/>
  <c r="AC270" i="5"/>
  <c r="AC345" i="5"/>
  <c r="AC142" i="5"/>
  <c r="AC168" i="5"/>
  <c r="AC419" i="5"/>
  <c r="BY139" i="4"/>
  <c r="BZ139" i="4" s="1"/>
  <c r="BY121" i="4"/>
  <c r="BZ121" i="4" s="1"/>
  <c r="BY153" i="4"/>
  <c r="BZ153" i="4" s="1"/>
  <c r="AR123" i="4"/>
  <c r="AS123" i="4" s="1"/>
  <c r="AR137" i="4"/>
  <c r="AS137" i="4" s="1"/>
  <c r="BY151" i="4"/>
  <c r="BZ151" i="4" s="1"/>
  <c r="BY15" i="4"/>
  <c r="BZ15" i="4" s="1"/>
  <c r="BY93" i="4"/>
  <c r="BZ93" i="4" s="1"/>
  <c r="BY53" i="4"/>
  <c r="BZ53" i="4" s="1"/>
  <c r="BY17" i="4"/>
  <c r="BZ17" i="4" s="1"/>
  <c r="BY39" i="4"/>
  <c r="BZ39" i="4" s="1"/>
  <c r="BY66" i="4"/>
  <c r="BZ66" i="4" s="1"/>
  <c r="BY98" i="4"/>
  <c r="BZ98" i="4" s="1"/>
  <c r="BY11" i="4"/>
  <c r="BZ11" i="4" s="1"/>
  <c r="BY78" i="4"/>
  <c r="BZ78" i="4" s="1"/>
  <c r="BY115" i="4"/>
  <c r="BZ115" i="4" s="1"/>
  <c r="BY129" i="4"/>
  <c r="BZ129" i="4" s="1"/>
  <c r="BY85" i="4"/>
  <c r="BZ85" i="4" s="1"/>
  <c r="BY36" i="4"/>
  <c r="BZ36" i="4" s="1"/>
  <c r="BY60" i="4"/>
  <c r="BZ60" i="4" s="1"/>
  <c r="BY35" i="4"/>
  <c r="BZ35" i="4" s="1"/>
  <c r="BY42" i="4"/>
  <c r="BZ42" i="4" s="1"/>
  <c r="BY105" i="4"/>
  <c r="BZ105" i="4" s="1"/>
  <c r="BY138" i="4"/>
  <c r="BZ138" i="4" s="1"/>
  <c r="BY9" i="4"/>
  <c r="BZ9" i="4" s="1"/>
  <c r="BY111" i="4"/>
  <c r="BZ111" i="4" s="1"/>
  <c r="BY40" i="4"/>
  <c r="BZ40" i="4" s="1"/>
  <c r="BY68" i="4"/>
  <c r="BZ68" i="4" s="1"/>
  <c r="BY20" i="4"/>
  <c r="BZ20" i="4" s="1"/>
  <c r="BY74" i="4"/>
  <c r="BZ74" i="4" s="1"/>
  <c r="BY99" i="4"/>
  <c r="BZ99" i="4" s="1"/>
  <c r="BY86" i="4"/>
  <c r="BZ86" i="4" s="1"/>
  <c r="BY71" i="4"/>
  <c r="BZ71" i="4" s="1"/>
  <c r="BY147" i="4"/>
  <c r="BZ147" i="4" s="1"/>
  <c r="BY14" i="4"/>
  <c r="BZ14" i="4" s="1"/>
  <c r="BY77" i="4"/>
  <c r="BZ77" i="4" s="1"/>
  <c r="BY22" i="4"/>
  <c r="BZ22" i="4" s="1"/>
  <c r="BY18" i="4"/>
  <c r="BZ18" i="4" s="1"/>
  <c r="BY125" i="4"/>
  <c r="BZ125" i="4" s="1"/>
  <c r="BY59" i="4"/>
  <c r="BZ59" i="4" s="1"/>
  <c r="BY87" i="4"/>
  <c r="BZ87" i="4" s="1"/>
  <c r="BY102" i="4"/>
  <c r="BZ102" i="4" s="1"/>
  <c r="BY91" i="4"/>
  <c r="BZ91" i="4" s="1"/>
  <c r="BY135" i="4"/>
  <c r="BZ135" i="4" s="1"/>
  <c r="BY95" i="4"/>
  <c r="BZ95" i="4" s="1"/>
  <c r="BY45" i="4"/>
  <c r="BZ45" i="4" s="1"/>
  <c r="BY55" i="4"/>
  <c r="BZ55" i="4" s="1"/>
  <c r="BY33" i="4"/>
  <c r="BZ33" i="4" s="1"/>
  <c r="BY37" i="4"/>
  <c r="BZ37" i="4" s="1"/>
  <c r="BY56" i="4"/>
  <c r="BZ56" i="4" s="1"/>
  <c r="BY10" i="4"/>
  <c r="BZ10" i="4" s="1"/>
  <c r="BY83" i="4"/>
  <c r="BZ83" i="4" s="1"/>
  <c r="BY120" i="4"/>
  <c r="BZ120" i="4" s="1"/>
  <c r="BY62" i="4"/>
  <c r="BZ62" i="4" s="1"/>
  <c r="BY72" i="4"/>
  <c r="BZ72" i="4" s="1"/>
  <c r="BY84" i="4"/>
  <c r="BZ84" i="4" s="1"/>
  <c r="BY13" i="4"/>
  <c r="BZ13" i="4" s="1"/>
  <c r="BY101" i="4"/>
  <c r="BZ101" i="4" s="1"/>
  <c r="BY28" i="4"/>
  <c r="BZ28" i="4" s="1"/>
  <c r="BY16" i="4"/>
  <c r="BY70" i="4"/>
  <c r="BY31" i="4"/>
  <c r="BZ31" i="4" s="1"/>
  <c r="BY97" i="4"/>
  <c r="BY94" i="4"/>
  <c r="BZ94" i="4" s="1"/>
  <c r="BY89" i="4"/>
  <c r="BZ89" i="4" s="1"/>
  <c r="BY90" i="4"/>
  <c r="BZ90" i="4" s="1"/>
  <c r="BY80" i="4"/>
  <c r="BZ80" i="4" s="1"/>
  <c r="BY52" i="4"/>
  <c r="BY73" i="4"/>
  <c r="BZ73" i="4" s="1"/>
  <c r="BY12" i="4"/>
  <c r="BZ12" i="4" s="1"/>
  <c r="BY109" i="4"/>
  <c r="BZ109" i="4" s="1"/>
  <c r="AS65" i="4"/>
  <c r="BY27" i="4"/>
  <c r="BZ27" i="4" s="1"/>
  <c r="BY119" i="4"/>
  <c r="BY133" i="4"/>
  <c r="BZ133" i="4" s="1"/>
  <c r="BY43" i="4"/>
  <c r="BZ43" i="4" s="1"/>
  <c r="BY25" i="4"/>
  <c r="BZ25" i="4" s="1"/>
  <c r="BY58" i="4"/>
  <c r="BZ58" i="4" s="1"/>
  <c r="BY103" i="4"/>
  <c r="BZ103" i="4" s="1"/>
  <c r="AS124" i="4"/>
  <c r="BY61" i="4"/>
  <c r="BZ61" i="4" s="1"/>
  <c r="BY150" i="4"/>
  <c r="BZ150" i="4" s="1"/>
  <c r="AS24" i="4"/>
  <c r="BY69" i="4"/>
  <c r="BZ69" i="4" s="1"/>
  <c r="BY50" i="4"/>
  <c r="BZ50" i="4" s="1"/>
  <c r="AS113" i="4"/>
  <c r="AS116" i="4"/>
  <c r="BY76" i="4"/>
  <c r="BZ76" i="4" s="1"/>
  <c r="BY41" i="4"/>
  <c r="BZ41" i="4" s="1"/>
  <c r="AS156" i="4"/>
  <c r="AS21" i="4"/>
  <c r="AS54" i="4"/>
  <c r="BY34" i="4"/>
  <c r="BZ34" i="4" s="1"/>
  <c r="AY8" i="4"/>
  <c r="AV8" i="4"/>
  <c r="BY23" i="4"/>
  <c r="BZ23" i="4" s="1"/>
  <c r="AS143" i="4"/>
  <c r="AS145" i="4"/>
  <c r="AS110" i="4"/>
  <c r="AS146" i="4"/>
  <c r="BY63" i="4"/>
  <c r="BZ63" i="4" s="1"/>
  <c r="BY29" i="4"/>
  <c r="BZ29" i="4" s="1"/>
  <c r="AS108" i="4"/>
  <c r="AS149" i="4"/>
  <c r="AS140" i="4"/>
  <c r="AS142" i="4"/>
  <c r="AS46" i="4"/>
  <c r="AS47" i="4"/>
  <c r="AS104" i="4"/>
  <c r="AS118" i="4"/>
  <c r="AE446" i="10" l="1"/>
  <c r="AD154" i="10"/>
  <c r="AE558" i="10"/>
  <c r="AE189" i="10"/>
  <c r="AD378" i="10"/>
  <c r="AE339" i="10"/>
  <c r="AE258" i="10"/>
  <c r="AD90" i="10"/>
  <c r="AE73" i="10"/>
  <c r="AD139" i="10"/>
  <c r="AE534" i="10"/>
  <c r="AD512" i="10"/>
  <c r="AD62" i="10"/>
  <c r="AD414" i="10"/>
  <c r="AD426" i="10"/>
  <c r="AE319" i="10"/>
  <c r="AD57" i="10"/>
  <c r="AD413" i="5"/>
  <c r="AD395" i="10"/>
  <c r="AE190" i="10"/>
  <c r="AD548" i="10"/>
  <c r="AE519" i="10"/>
  <c r="AD314" i="10"/>
  <c r="AD371" i="10"/>
  <c r="AE362" i="10"/>
  <c r="AD238" i="10"/>
  <c r="AD92" i="10"/>
  <c r="AD381" i="10"/>
  <c r="AD242" i="10"/>
  <c r="AE376" i="10"/>
  <c r="AE518" i="10"/>
  <c r="AE539" i="10"/>
  <c r="AE478" i="10"/>
  <c r="AD364" i="10"/>
  <c r="AD53" i="10"/>
  <c r="AD434" i="10"/>
  <c r="AE269" i="10"/>
  <c r="AE235" i="10"/>
  <c r="AE69" i="10"/>
  <c r="AD416" i="10"/>
  <c r="AE333" i="10"/>
  <c r="AD393" i="10"/>
  <c r="AD83" i="10"/>
  <c r="AD463" i="10"/>
  <c r="AE61" i="10"/>
  <c r="AD49" i="10"/>
  <c r="AD423" i="10"/>
  <c r="AD173" i="10"/>
  <c r="AE550" i="10"/>
  <c r="AE304" i="10"/>
  <c r="AE520" i="10"/>
  <c r="AD249" i="10"/>
  <c r="AE278" i="10"/>
  <c r="AE146" i="10"/>
  <c r="AD327" i="10"/>
  <c r="AE336" i="10"/>
  <c r="AE401" i="10"/>
  <c r="AD486" i="10"/>
  <c r="AD545" i="10"/>
  <c r="AE545" i="10"/>
  <c r="AE311" i="10"/>
  <c r="AE124" i="10"/>
  <c r="AE320" i="5"/>
  <c r="AD320" i="5"/>
  <c r="AE91" i="10"/>
  <c r="AD91" i="10"/>
  <c r="AD489" i="5"/>
  <c r="AE489" i="5"/>
  <c r="AE399" i="10"/>
  <c r="AD399" i="10"/>
  <c r="AE94" i="5"/>
  <c r="AD94" i="5"/>
  <c r="AD345" i="5"/>
  <c r="AE345" i="5"/>
  <c r="AE150" i="5"/>
  <c r="AD150" i="5"/>
  <c r="AE84" i="5"/>
  <c r="AD84" i="5"/>
  <c r="AD138" i="5"/>
  <c r="AE138" i="5"/>
  <c r="AE502" i="5"/>
  <c r="AD502" i="5"/>
  <c r="AD426" i="5"/>
  <c r="AE426" i="5"/>
  <c r="AE52" i="5"/>
  <c r="AD52" i="5"/>
  <c r="AE93" i="5"/>
  <c r="AD93" i="5"/>
  <c r="AD72" i="10"/>
  <c r="AE72" i="10"/>
  <c r="AD197" i="10"/>
  <c r="AE197" i="10"/>
  <c r="AE418" i="10"/>
  <c r="AD418" i="10"/>
  <c r="AE131" i="10"/>
  <c r="AD131" i="10"/>
  <c r="AD529" i="10"/>
  <c r="AE529" i="10"/>
  <c r="AD363" i="10"/>
  <c r="AE363" i="10"/>
  <c r="AD216" i="10"/>
  <c r="AE216" i="10"/>
  <c r="AE25" i="10"/>
  <c r="AD25" i="10"/>
  <c r="AD441" i="10"/>
  <c r="AE441" i="10"/>
  <c r="AD20" i="5"/>
  <c r="AE20" i="5"/>
  <c r="AE410" i="5"/>
  <c r="AD410" i="5"/>
  <c r="AE71" i="5"/>
  <c r="AD71" i="5"/>
  <c r="AD188" i="5"/>
  <c r="AE188" i="5"/>
  <c r="AE253" i="5"/>
  <c r="AD253" i="5"/>
  <c r="AE369" i="5"/>
  <c r="AD369" i="5"/>
  <c r="AD220" i="5"/>
  <c r="AE220" i="5"/>
  <c r="AD494" i="5"/>
  <c r="AE494" i="5"/>
  <c r="AE308" i="10"/>
  <c r="AD308" i="10"/>
  <c r="AD46" i="10"/>
  <c r="AE46" i="10"/>
  <c r="AE466" i="10"/>
  <c r="AD466" i="10"/>
  <c r="AD148" i="10"/>
  <c r="AE148" i="10"/>
  <c r="AD295" i="10"/>
  <c r="AE295" i="10"/>
  <c r="AD257" i="10"/>
  <c r="AE257" i="10"/>
  <c r="AD373" i="10"/>
  <c r="AE373" i="10"/>
  <c r="AD232" i="10"/>
  <c r="AE232" i="10"/>
  <c r="AE135" i="10"/>
  <c r="AD135" i="10"/>
  <c r="AD139" i="5"/>
  <c r="AE139" i="5"/>
  <c r="AE276" i="5"/>
  <c r="AD276" i="5"/>
  <c r="AE406" i="5"/>
  <c r="AD406" i="5"/>
  <c r="AE239" i="5"/>
  <c r="AD239" i="5"/>
  <c r="AD243" i="5"/>
  <c r="AE243" i="5"/>
  <c r="AE307" i="5"/>
  <c r="AD307" i="5"/>
  <c r="AD281" i="5"/>
  <c r="AE281" i="5"/>
  <c r="AD301" i="5"/>
  <c r="AE301" i="5"/>
  <c r="AD314" i="5"/>
  <c r="AE314" i="5"/>
  <c r="AD74" i="10"/>
  <c r="AE74" i="10"/>
  <c r="AE96" i="10"/>
  <c r="AD96" i="10"/>
  <c r="AD82" i="10"/>
  <c r="AE82" i="10"/>
  <c r="AD525" i="10"/>
  <c r="AE525" i="10"/>
  <c r="AD407" i="10"/>
  <c r="AE407" i="10"/>
  <c r="AE359" i="10"/>
  <c r="AD359" i="10"/>
  <c r="AD214" i="10"/>
  <c r="AE214" i="10"/>
  <c r="AD185" i="10"/>
  <c r="AE185" i="10"/>
  <c r="AD455" i="5"/>
  <c r="AE455" i="5"/>
  <c r="AD260" i="5"/>
  <c r="AE260" i="5"/>
  <c r="AE492" i="5"/>
  <c r="AD492" i="5"/>
  <c r="AD102" i="5"/>
  <c r="AE102" i="5"/>
  <c r="AD394" i="5"/>
  <c r="AE394" i="5"/>
  <c r="AE267" i="5"/>
  <c r="AD267" i="5"/>
  <c r="AD140" i="5"/>
  <c r="AE140" i="5"/>
  <c r="AD224" i="5"/>
  <c r="AE224" i="5"/>
  <c r="AE491" i="5"/>
  <c r="AD491" i="5"/>
  <c r="AE283" i="10"/>
  <c r="AD283" i="10"/>
  <c r="AE159" i="10"/>
  <c r="AD159" i="10"/>
  <c r="AE439" i="10"/>
  <c r="AD439" i="10"/>
  <c r="AD435" i="10"/>
  <c r="AE435" i="10"/>
  <c r="AE345" i="10"/>
  <c r="AD345" i="10"/>
  <c r="AD236" i="10"/>
  <c r="AE236" i="10"/>
  <c r="AE144" i="10"/>
  <c r="AD144" i="10"/>
  <c r="AD113" i="10"/>
  <c r="AE113" i="10"/>
  <c r="AE390" i="10"/>
  <c r="AD390" i="10"/>
  <c r="AD179" i="5"/>
  <c r="AE179" i="5"/>
  <c r="AE108" i="5"/>
  <c r="AD108" i="5"/>
  <c r="AE98" i="5"/>
  <c r="AD98" i="5"/>
  <c r="AD439" i="5"/>
  <c r="AE439" i="5"/>
  <c r="AD255" i="5"/>
  <c r="AE255" i="5"/>
  <c r="AD547" i="5"/>
  <c r="AE547" i="5"/>
  <c r="AD185" i="5"/>
  <c r="AE185" i="5"/>
  <c r="AE341" i="5"/>
  <c r="AD341" i="5"/>
  <c r="AE291" i="5"/>
  <c r="AD291" i="5"/>
  <c r="AD226" i="10"/>
  <c r="AE226" i="10"/>
  <c r="AE218" i="10"/>
  <c r="AD218" i="10"/>
  <c r="AD149" i="10"/>
  <c r="AE149" i="10"/>
  <c r="AE194" i="10"/>
  <c r="AD194" i="10"/>
  <c r="AD93" i="10"/>
  <c r="AE93" i="10"/>
  <c r="AD138" i="10"/>
  <c r="AE138" i="10"/>
  <c r="AD297" i="10"/>
  <c r="AE297" i="10"/>
  <c r="AD301" i="10"/>
  <c r="AE301" i="10"/>
  <c r="AD484" i="10"/>
  <c r="AE484" i="10"/>
  <c r="AE366" i="5"/>
  <c r="AD366" i="5"/>
  <c r="AD210" i="5"/>
  <c r="AE210" i="5"/>
  <c r="AD180" i="5"/>
  <c r="AE180" i="5"/>
  <c r="AE493" i="5"/>
  <c r="AD493" i="5"/>
  <c r="AD153" i="5"/>
  <c r="AE153" i="5"/>
  <c r="AE427" i="5"/>
  <c r="AD427" i="5"/>
  <c r="AD512" i="5"/>
  <c r="AE512" i="5"/>
  <c r="AE232" i="5"/>
  <c r="AD232" i="5"/>
  <c r="AE97" i="10"/>
  <c r="AD97" i="10"/>
  <c r="AD272" i="5"/>
  <c r="AE272" i="5"/>
  <c r="AE194" i="5"/>
  <c r="AD194" i="5"/>
  <c r="AD310" i="5"/>
  <c r="AE310" i="5"/>
  <c r="AE26" i="5"/>
  <c r="AD26" i="5"/>
  <c r="AD438" i="5"/>
  <c r="AE438" i="5"/>
  <c r="AE462" i="5"/>
  <c r="AD462" i="5"/>
  <c r="AD295" i="5"/>
  <c r="AE295" i="5"/>
  <c r="AE527" i="5"/>
  <c r="AD527" i="5"/>
  <c r="AE123" i="10"/>
  <c r="AD123" i="10"/>
  <c r="AE341" i="10"/>
  <c r="AD341" i="10"/>
  <c r="AE147" i="10"/>
  <c r="AD147" i="10"/>
  <c r="AD121" i="10"/>
  <c r="AE121" i="10"/>
  <c r="AE522" i="10"/>
  <c r="AD522" i="10"/>
  <c r="AD180" i="10"/>
  <c r="AE180" i="10"/>
  <c r="AE274" i="10"/>
  <c r="AD274" i="10"/>
  <c r="AE485" i="10"/>
  <c r="AD485" i="10"/>
  <c r="AE164" i="10"/>
  <c r="AD164" i="10"/>
  <c r="AE443" i="5"/>
  <c r="AD443" i="5"/>
  <c r="AE344" i="5"/>
  <c r="AD344" i="5"/>
  <c r="AD225" i="5"/>
  <c r="AE225" i="5"/>
  <c r="AD457" i="5"/>
  <c r="AE457" i="5"/>
  <c r="AE518" i="5"/>
  <c r="AD518" i="5"/>
  <c r="AE446" i="5"/>
  <c r="AD446" i="5"/>
  <c r="AD436" i="5"/>
  <c r="AE436" i="5"/>
  <c r="AE483" i="5"/>
  <c r="AD483" i="5"/>
  <c r="AE181" i="5"/>
  <c r="AD181" i="5"/>
  <c r="AE289" i="10"/>
  <c r="AD289" i="10"/>
  <c r="AD352" i="10"/>
  <c r="AE352" i="10"/>
  <c r="AE292" i="10"/>
  <c r="AD292" i="10"/>
  <c r="AE444" i="10"/>
  <c r="AD444" i="10"/>
  <c r="AD256" i="10"/>
  <c r="AE256" i="10"/>
  <c r="AD88" i="10"/>
  <c r="AE88" i="10"/>
  <c r="AD22" i="10"/>
  <c r="AE22" i="10"/>
  <c r="AE427" i="10"/>
  <c r="AD427" i="10"/>
  <c r="AD537" i="5"/>
  <c r="AE537" i="5"/>
  <c r="AE450" i="10"/>
  <c r="AD450" i="10"/>
  <c r="AD403" i="5"/>
  <c r="AE403" i="5"/>
  <c r="AE490" i="10"/>
  <c r="AD490" i="10"/>
  <c r="AE479" i="5"/>
  <c r="AD479" i="5"/>
  <c r="AD270" i="5"/>
  <c r="AE270" i="5"/>
  <c r="AE313" i="5"/>
  <c r="AD313" i="5"/>
  <c r="AD63" i="5"/>
  <c r="AE63" i="5"/>
  <c r="AD35" i="5"/>
  <c r="AE35" i="5"/>
  <c r="AD499" i="5"/>
  <c r="AE499" i="5"/>
  <c r="AD99" i="5"/>
  <c r="AE99" i="5"/>
  <c r="AE27" i="5"/>
  <c r="AD27" i="5"/>
  <c r="AE480" i="5"/>
  <c r="AD480" i="5"/>
  <c r="AD212" i="5"/>
  <c r="AE212" i="5"/>
  <c r="AD65" i="10"/>
  <c r="AE65" i="10"/>
  <c r="AE110" i="10"/>
  <c r="AD110" i="10"/>
  <c r="AD530" i="10"/>
  <c r="AE530" i="10"/>
  <c r="AE170" i="10"/>
  <c r="AD170" i="10"/>
  <c r="AE125" i="10"/>
  <c r="AD125" i="10"/>
  <c r="AE187" i="10"/>
  <c r="AD187" i="10"/>
  <c r="AE323" i="10"/>
  <c r="AD323" i="10"/>
  <c r="AD225" i="10"/>
  <c r="AE225" i="10"/>
  <c r="AE464" i="10"/>
  <c r="AD464" i="10"/>
  <c r="AD217" i="5"/>
  <c r="AE217" i="5"/>
  <c r="AD370" i="5"/>
  <c r="AE370" i="5"/>
  <c r="AD79" i="5"/>
  <c r="AE79" i="5"/>
  <c r="AD117" i="5"/>
  <c r="AE117" i="5"/>
  <c r="AE273" i="5"/>
  <c r="AD273" i="5"/>
  <c r="AD505" i="5"/>
  <c r="AE505" i="5"/>
  <c r="AE244" i="5"/>
  <c r="AD244" i="5"/>
  <c r="AE421" i="5"/>
  <c r="AD421" i="5"/>
  <c r="AD240" i="10"/>
  <c r="AE240" i="10"/>
  <c r="AE171" i="10"/>
  <c r="AD171" i="10"/>
  <c r="AE81" i="10"/>
  <c r="AD81" i="10"/>
  <c r="AE380" i="10"/>
  <c r="AD380" i="10"/>
  <c r="AE136" i="10"/>
  <c r="AD136" i="10"/>
  <c r="AD7" i="10"/>
  <c r="AE7" i="10"/>
  <c r="AD531" i="10"/>
  <c r="AE531" i="10"/>
  <c r="AE398" i="10"/>
  <c r="AD398" i="10"/>
  <c r="AE114" i="10"/>
  <c r="AD114" i="10"/>
  <c r="AE422" i="5"/>
  <c r="AD422" i="5"/>
  <c r="AE517" i="5"/>
  <c r="AD517" i="5"/>
  <c r="AE521" i="5"/>
  <c r="AD521" i="5"/>
  <c r="AE374" i="5"/>
  <c r="AD374" i="5"/>
  <c r="AE303" i="5"/>
  <c r="AD303" i="5"/>
  <c r="AD342" i="5"/>
  <c r="AE342" i="5"/>
  <c r="AD167" i="5"/>
  <c r="AE167" i="5"/>
  <c r="AE261" i="5"/>
  <c r="AD261" i="5"/>
  <c r="AE182" i="5"/>
  <c r="AD182" i="5"/>
  <c r="AE215" i="10"/>
  <c r="AD215" i="10"/>
  <c r="AD461" i="10"/>
  <c r="AE461" i="10"/>
  <c r="AE437" i="10"/>
  <c r="AD437" i="10"/>
  <c r="AD276" i="10"/>
  <c r="AE276" i="10"/>
  <c r="AE491" i="10"/>
  <c r="AD491" i="10"/>
  <c r="AD305" i="10"/>
  <c r="AE305" i="10"/>
  <c r="AD499" i="10"/>
  <c r="AE499" i="10"/>
  <c r="AD206" i="5"/>
  <c r="AE206" i="5"/>
  <c r="AE127" i="5"/>
  <c r="AD127" i="5"/>
  <c r="AE385" i="5"/>
  <c r="AD385" i="5"/>
  <c r="AD292" i="5"/>
  <c r="AE292" i="5"/>
  <c r="AE198" i="5"/>
  <c r="AD198" i="5"/>
  <c r="AE96" i="5"/>
  <c r="AD96" i="5"/>
  <c r="AD461" i="5"/>
  <c r="AE461" i="5"/>
  <c r="AE149" i="5"/>
  <c r="AD149" i="5"/>
  <c r="AE490" i="5"/>
  <c r="AD490" i="5"/>
  <c r="AD56" i="10"/>
  <c r="AE56" i="10"/>
  <c r="AD443" i="10"/>
  <c r="AE443" i="10"/>
  <c r="AD262" i="10"/>
  <c r="AE262" i="10"/>
  <c r="AD68" i="10"/>
  <c r="AE68" i="10"/>
  <c r="AE161" i="10"/>
  <c r="AD161" i="10"/>
  <c r="AD524" i="10"/>
  <c r="AE524" i="10"/>
  <c r="AD494" i="10"/>
  <c r="AE494" i="10"/>
  <c r="AE318" i="10"/>
  <c r="AD318" i="10"/>
  <c r="AE302" i="10"/>
  <c r="AD302" i="10"/>
  <c r="AE100" i="5"/>
  <c r="AD100" i="5"/>
  <c r="AD440" i="5"/>
  <c r="AE440" i="5"/>
  <c r="AE383" i="5"/>
  <c r="AD383" i="5"/>
  <c r="AD264" i="5"/>
  <c r="AE264" i="5"/>
  <c r="AE297" i="5"/>
  <c r="AD297" i="5"/>
  <c r="AE112" i="5"/>
  <c r="AD112" i="5"/>
  <c r="AE268" i="5"/>
  <c r="AD268" i="5"/>
  <c r="AD437" i="5"/>
  <c r="AE437" i="5"/>
  <c r="AE193" i="5"/>
  <c r="AD193" i="5"/>
  <c r="AD140" i="10"/>
  <c r="AE140" i="10"/>
  <c r="AE408" i="10"/>
  <c r="AD408" i="10"/>
  <c r="AD43" i="10"/>
  <c r="AE43" i="10"/>
  <c r="AE8" i="10"/>
  <c r="AD8" i="10"/>
  <c r="AE455" i="10"/>
  <c r="AD455" i="10"/>
  <c r="AE385" i="10"/>
  <c r="AD385" i="10"/>
  <c r="AE120" i="10"/>
  <c r="AD120" i="10"/>
  <c r="AE80" i="5"/>
  <c r="AD80" i="5"/>
  <c r="AE233" i="5"/>
  <c r="AD233" i="5"/>
  <c r="AD330" i="5"/>
  <c r="AE330" i="5"/>
  <c r="AE337" i="5"/>
  <c r="AD337" i="5"/>
  <c r="AE300" i="5"/>
  <c r="AD300" i="5"/>
  <c r="AD388" i="5"/>
  <c r="AE388" i="5"/>
  <c r="AE128" i="5"/>
  <c r="AD128" i="5"/>
  <c r="AE207" i="5"/>
  <c r="AD207" i="5"/>
  <c r="AD53" i="5"/>
  <c r="AE53" i="5"/>
  <c r="AD511" i="10"/>
  <c r="AE511" i="10"/>
  <c r="AD190" i="5"/>
  <c r="AE190" i="5"/>
  <c r="AD473" i="5"/>
  <c r="AE473" i="5"/>
  <c r="AE312" i="5"/>
  <c r="AD312" i="5"/>
  <c r="AE286" i="5"/>
  <c r="AD286" i="5"/>
  <c r="AD130" i="5"/>
  <c r="AE130" i="5"/>
  <c r="AD414" i="5"/>
  <c r="AE414" i="5"/>
  <c r="AE362" i="5"/>
  <c r="AD362" i="5"/>
  <c r="AD327" i="5"/>
  <c r="AE327" i="5"/>
  <c r="AE365" i="10"/>
  <c r="AD365" i="10"/>
  <c r="AD122" i="10"/>
  <c r="AE122" i="10"/>
  <c r="AD488" i="10"/>
  <c r="AE488" i="10"/>
  <c r="AD347" i="10"/>
  <c r="AE347" i="10"/>
  <c r="AE496" i="10"/>
  <c r="AD496" i="10"/>
  <c r="AD430" i="10"/>
  <c r="AE430" i="10"/>
  <c r="AD326" i="10"/>
  <c r="AE326" i="10"/>
  <c r="AE204" i="10"/>
  <c r="AD204" i="10"/>
  <c r="AD191" i="10"/>
  <c r="AE191" i="10"/>
  <c r="AE477" i="5"/>
  <c r="AD477" i="5"/>
  <c r="AD283" i="5"/>
  <c r="AE283" i="5"/>
  <c r="AE361" i="5"/>
  <c r="AD361" i="5"/>
  <c r="AD144" i="5"/>
  <c r="AE144" i="5"/>
  <c r="AE38" i="5"/>
  <c r="AD38" i="5"/>
  <c r="AD474" i="5"/>
  <c r="AE474" i="5"/>
  <c r="AD423" i="5"/>
  <c r="AE423" i="5"/>
  <c r="AE59" i="5"/>
  <c r="AD59" i="5"/>
  <c r="AD19" i="10"/>
  <c r="AE19" i="10"/>
  <c r="AE243" i="10"/>
  <c r="AD243" i="10"/>
  <c r="AD442" i="10"/>
  <c r="AE442" i="10"/>
  <c r="AD152" i="10"/>
  <c r="AE152" i="10"/>
  <c r="AD30" i="10"/>
  <c r="AE30" i="10"/>
  <c r="AE354" i="10"/>
  <c r="AD354" i="10"/>
  <c r="AD331" i="10"/>
  <c r="AE331" i="10"/>
  <c r="AE150" i="10"/>
  <c r="AD150" i="10"/>
  <c r="AD137" i="10"/>
  <c r="AE137" i="10"/>
  <c r="AE183" i="10"/>
  <c r="AD183" i="10"/>
  <c r="AD519" i="5"/>
  <c r="AE519" i="5"/>
  <c r="AD555" i="10"/>
  <c r="AE555" i="10"/>
  <c r="AD333" i="5"/>
  <c r="AE333" i="5"/>
  <c r="AD509" i="10"/>
  <c r="AE509" i="10"/>
  <c r="AE558" i="5"/>
  <c r="AD558" i="5"/>
  <c r="AE214" i="5"/>
  <c r="AD214" i="5"/>
  <c r="AD387" i="10"/>
  <c r="AE387" i="10"/>
  <c r="AD383" i="10"/>
  <c r="AE383" i="10"/>
  <c r="AD288" i="10"/>
  <c r="AE288" i="10"/>
  <c r="AE63" i="10"/>
  <c r="AD63" i="10"/>
  <c r="AD52" i="10"/>
  <c r="AE52" i="10"/>
  <c r="AD460" i="10"/>
  <c r="AE460" i="10"/>
  <c r="AD507" i="10"/>
  <c r="AE507" i="10"/>
  <c r="AE463" i="5"/>
  <c r="AD463" i="5"/>
  <c r="AE393" i="5"/>
  <c r="AD393" i="5"/>
  <c r="AE405" i="5"/>
  <c r="AD405" i="5"/>
  <c r="AD536" i="5"/>
  <c r="AE536" i="5"/>
  <c r="AE294" i="5"/>
  <c r="AD294" i="5"/>
  <c r="AD509" i="5"/>
  <c r="AE509" i="5"/>
  <c r="AD34" i="5"/>
  <c r="AE34" i="5"/>
  <c r="AD8" i="5"/>
  <c r="B255" i="2" s="1"/>
  <c r="B256" i="2" s="1"/>
  <c r="B257" i="2" s="1"/>
  <c r="F86" i="1" s="1"/>
  <c r="AE8" i="5"/>
  <c r="AD86" i="5"/>
  <c r="AE86" i="5"/>
  <c r="AD157" i="10"/>
  <c r="AE157" i="10"/>
  <c r="AE119" i="10"/>
  <c r="AD119" i="10"/>
  <c r="AE299" i="10"/>
  <c r="AD299" i="10"/>
  <c r="AD472" i="10"/>
  <c r="AE472" i="10"/>
  <c r="AE366" i="10"/>
  <c r="AD366" i="10"/>
  <c r="AE230" i="10"/>
  <c r="AD230" i="10"/>
  <c r="AD228" i="10"/>
  <c r="AE228" i="10"/>
  <c r="AE540" i="10"/>
  <c r="AD540" i="10"/>
  <c r="AD123" i="5"/>
  <c r="AE123" i="5"/>
  <c r="AE236" i="5"/>
  <c r="AD236" i="5"/>
  <c r="AD97" i="5"/>
  <c r="AE97" i="5"/>
  <c r="AD435" i="5"/>
  <c r="AE435" i="5"/>
  <c r="AE380" i="5"/>
  <c r="AD380" i="5"/>
  <c r="AD213" i="5"/>
  <c r="AE213" i="5"/>
  <c r="AD287" i="5"/>
  <c r="AE287" i="5"/>
  <c r="AD29" i="5"/>
  <c r="AE29" i="5"/>
  <c r="AE126" i="5"/>
  <c r="AD126" i="5"/>
  <c r="AD141" i="10"/>
  <c r="AE141" i="10"/>
  <c r="AE98" i="10"/>
  <c r="AD98" i="10"/>
  <c r="AD415" i="10"/>
  <c r="AE415" i="10"/>
  <c r="AD367" i="10"/>
  <c r="AE367" i="10"/>
  <c r="AD160" i="10"/>
  <c r="AE160" i="10"/>
  <c r="AE167" i="10"/>
  <c r="AD167" i="10"/>
  <c r="AD560" i="10"/>
  <c r="AE560" i="10"/>
  <c r="AD508" i="5"/>
  <c r="AE508" i="5"/>
  <c r="AD506" i="5"/>
  <c r="AE506" i="5"/>
  <c r="AD135" i="5"/>
  <c r="AE135" i="5"/>
  <c r="AE66" i="5"/>
  <c r="AD66" i="5"/>
  <c r="AD120" i="5"/>
  <c r="AE120" i="5"/>
  <c r="AE367" i="5"/>
  <c r="AD367" i="5"/>
  <c r="AD507" i="5"/>
  <c r="AE507" i="5"/>
  <c r="AE158" i="5"/>
  <c r="AD158" i="5"/>
  <c r="AE458" i="5"/>
  <c r="AD458" i="5"/>
  <c r="AE247" i="10"/>
  <c r="AD247" i="10"/>
  <c r="AD32" i="5"/>
  <c r="AE32" i="5"/>
  <c r="AD404" i="5"/>
  <c r="AE404" i="5"/>
  <c r="AD254" i="5"/>
  <c r="AE254" i="5"/>
  <c r="AE39" i="5"/>
  <c r="AD39" i="5"/>
  <c r="AD249" i="5"/>
  <c r="AE249" i="5"/>
  <c r="AE408" i="5"/>
  <c r="AD408" i="5"/>
  <c r="AE309" i="5"/>
  <c r="AD309" i="5"/>
  <c r="AD62" i="5"/>
  <c r="AE62" i="5"/>
  <c r="AD467" i="5"/>
  <c r="AE467" i="5"/>
  <c r="AE307" i="10"/>
  <c r="AD307" i="10"/>
  <c r="AE537" i="10"/>
  <c r="AD537" i="10"/>
  <c r="AE533" i="10"/>
  <c r="AD533" i="10"/>
  <c r="AE246" i="10"/>
  <c r="AD246" i="10"/>
  <c r="AD252" i="10"/>
  <c r="AE252" i="10"/>
  <c r="AD162" i="10"/>
  <c r="AE162" i="10"/>
  <c r="AD58" i="10"/>
  <c r="AE58" i="10"/>
  <c r="AD526" i="10"/>
  <c r="AE526" i="10"/>
  <c r="AD126" i="10"/>
  <c r="AE126" i="10"/>
  <c r="AD141" i="5"/>
  <c r="AE141" i="5"/>
  <c r="AE161" i="5"/>
  <c r="AD161" i="5"/>
  <c r="AE118" i="5"/>
  <c r="AD118" i="5"/>
  <c r="AE332" i="5"/>
  <c r="AD332" i="5"/>
  <c r="AE549" i="5"/>
  <c r="AD549" i="5"/>
  <c r="AE156" i="5"/>
  <c r="AD156" i="5"/>
  <c r="AD533" i="5"/>
  <c r="AE533" i="5"/>
  <c r="AD114" i="5"/>
  <c r="AE114" i="5"/>
  <c r="AE459" i="10"/>
  <c r="AD459" i="10"/>
  <c r="AE175" i="10"/>
  <c r="AD175" i="10"/>
  <c r="AD89" i="10"/>
  <c r="AE89" i="10"/>
  <c r="AD356" i="10"/>
  <c r="AE356" i="10"/>
  <c r="AD79" i="10"/>
  <c r="AE79" i="10"/>
  <c r="AE59" i="10"/>
  <c r="AD59" i="10"/>
  <c r="AE76" i="10"/>
  <c r="AD76" i="10"/>
  <c r="AD54" i="10"/>
  <c r="AE54" i="10"/>
  <c r="AD115" i="10"/>
  <c r="AE115" i="10"/>
  <c r="AE20" i="10"/>
  <c r="AD20" i="10"/>
  <c r="AD31" i="5"/>
  <c r="AE31" i="5"/>
  <c r="AE188" i="10"/>
  <c r="AD188" i="10"/>
  <c r="AD208" i="5"/>
  <c r="AE208" i="5"/>
  <c r="AE207" i="10"/>
  <c r="AD207" i="10"/>
  <c r="AE206" i="10"/>
  <c r="AD206" i="10"/>
  <c r="AD151" i="5"/>
  <c r="AE151" i="5"/>
  <c r="AE495" i="5"/>
  <c r="AD495" i="5"/>
  <c r="AD503" i="10"/>
  <c r="AE503" i="10"/>
  <c r="AD442" i="5"/>
  <c r="AE442" i="5"/>
  <c r="AD248" i="5"/>
  <c r="AE248" i="5"/>
  <c r="AD162" i="5"/>
  <c r="AE162" i="5"/>
  <c r="AE379" i="5"/>
  <c r="AD379" i="5"/>
  <c r="AE116" i="5"/>
  <c r="AD116" i="5"/>
  <c r="AE416" i="5"/>
  <c r="AD416" i="5"/>
  <c r="AD119" i="5"/>
  <c r="AE119" i="5"/>
  <c r="AE73" i="5"/>
  <c r="AD73" i="5"/>
  <c r="AD29" i="10"/>
  <c r="AE29" i="10"/>
  <c r="AE250" i="10"/>
  <c r="AD250" i="10"/>
  <c r="AE279" i="10"/>
  <c r="AD279" i="10"/>
  <c r="AE549" i="10"/>
  <c r="AD549" i="10"/>
  <c r="AE417" i="10"/>
  <c r="AD417" i="10"/>
  <c r="AE329" i="10"/>
  <c r="AD329" i="10"/>
  <c r="AD335" i="10"/>
  <c r="AE335" i="10"/>
  <c r="AE151" i="10"/>
  <c r="AD151" i="10"/>
  <c r="AD404" i="10"/>
  <c r="AE404" i="10"/>
  <c r="AE101" i="5"/>
  <c r="AD101" i="5"/>
  <c r="AD316" i="5"/>
  <c r="AE316" i="5"/>
  <c r="AD106" i="5"/>
  <c r="AE106" i="5"/>
  <c r="AE326" i="5"/>
  <c r="AD326" i="5"/>
  <c r="AD78" i="5"/>
  <c r="AE78" i="5"/>
  <c r="AD83" i="5"/>
  <c r="AE83" i="5"/>
  <c r="AE402" i="5"/>
  <c r="AD402" i="5"/>
  <c r="AD552" i="5"/>
  <c r="AE552" i="5"/>
  <c r="AD460" i="5"/>
  <c r="AE460" i="5"/>
  <c r="AE556" i="10"/>
  <c r="AD556" i="10"/>
  <c r="AE504" i="10"/>
  <c r="AD504" i="10"/>
  <c r="AE431" i="10"/>
  <c r="AD431" i="10"/>
  <c r="AE268" i="10"/>
  <c r="AD268" i="10"/>
  <c r="AE221" i="10"/>
  <c r="AD221" i="10"/>
  <c r="AE44" i="10"/>
  <c r="AD44" i="10"/>
  <c r="AE377" i="10"/>
  <c r="AD377" i="10"/>
  <c r="AD360" i="10"/>
  <c r="AE360" i="10"/>
  <c r="AE37" i="5"/>
  <c r="AD37" i="5"/>
  <c r="AE315" i="5"/>
  <c r="AD315" i="5"/>
  <c r="AE368" i="5"/>
  <c r="AD368" i="5"/>
  <c r="AE543" i="5"/>
  <c r="AD543" i="5"/>
  <c r="AE400" i="5"/>
  <c r="AD400" i="5"/>
  <c r="AE137" i="5"/>
  <c r="AD137" i="5"/>
  <c r="AD496" i="5"/>
  <c r="AE496" i="5"/>
  <c r="AE386" i="5"/>
  <c r="AD386" i="5"/>
  <c r="AE394" i="10"/>
  <c r="AD394" i="10"/>
  <c r="AE489" i="10"/>
  <c r="AD489" i="10"/>
  <c r="AE210" i="10"/>
  <c r="AD210" i="10"/>
  <c r="AE153" i="10"/>
  <c r="AD153" i="10"/>
  <c r="AE388" i="10"/>
  <c r="AD388" i="10"/>
  <c r="AD104" i="10"/>
  <c r="AE104" i="10"/>
  <c r="AD213" i="10"/>
  <c r="AE213" i="10"/>
  <c r="AD255" i="10"/>
  <c r="AE255" i="10"/>
  <c r="AE477" i="10"/>
  <c r="AD477" i="10"/>
  <c r="AD36" i="5"/>
  <c r="AE36" i="5"/>
  <c r="AD237" i="5"/>
  <c r="AE237" i="5"/>
  <c r="AD323" i="5"/>
  <c r="AE323" i="5"/>
  <c r="AD355" i="5"/>
  <c r="AE355" i="5"/>
  <c r="AD30" i="5"/>
  <c r="AE30" i="5"/>
  <c r="AE90" i="5"/>
  <c r="AD90" i="5"/>
  <c r="AD265" i="5"/>
  <c r="AE265" i="5"/>
  <c r="AE484" i="5"/>
  <c r="AD484" i="5"/>
  <c r="AD456" i="5"/>
  <c r="AE456" i="5"/>
  <c r="AD479" i="10"/>
  <c r="AE479" i="10"/>
  <c r="AD482" i="10"/>
  <c r="AE482" i="10"/>
  <c r="AE400" i="10"/>
  <c r="AD400" i="10"/>
  <c r="AE28" i="10"/>
  <c r="AD28" i="10"/>
  <c r="AE500" i="10"/>
  <c r="AD500" i="10"/>
  <c r="AD389" i="10"/>
  <c r="AE389" i="10"/>
  <c r="AE456" i="10"/>
  <c r="AD456" i="10"/>
  <c r="AD174" i="10"/>
  <c r="AE174" i="10"/>
  <c r="AD343" i="5"/>
  <c r="AE343" i="5"/>
  <c r="AD218" i="5"/>
  <c r="AE218" i="5"/>
  <c r="AD454" i="5"/>
  <c r="AE454" i="5"/>
  <c r="AD378" i="5"/>
  <c r="AE378" i="5"/>
  <c r="AD159" i="5"/>
  <c r="AE159" i="5"/>
  <c r="AE33" i="5"/>
  <c r="AD33" i="5"/>
  <c r="AE411" i="5"/>
  <c r="AD411" i="5"/>
  <c r="AE147" i="5"/>
  <c r="AD147" i="5"/>
  <c r="AE553" i="5"/>
  <c r="AD553" i="5"/>
  <c r="AD51" i="10"/>
  <c r="AE51" i="10"/>
  <c r="AE451" i="10"/>
  <c r="AD451" i="10"/>
  <c r="AD328" i="10"/>
  <c r="AE328" i="10"/>
  <c r="AD237" i="10"/>
  <c r="AE237" i="10"/>
  <c r="AD205" i="10"/>
  <c r="AE205" i="10"/>
  <c r="AD508" i="10"/>
  <c r="AE508" i="10"/>
  <c r="AE95" i="5"/>
  <c r="AD95" i="5"/>
  <c r="AE64" i="5"/>
  <c r="AD64" i="5"/>
  <c r="AE50" i="5"/>
  <c r="AD50" i="5"/>
  <c r="AE43" i="5"/>
  <c r="AD43" i="5"/>
  <c r="AD551" i="5"/>
  <c r="AE551" i="5"/>
  <c r="AE219" i="5"/>
  <c r="AD219" i="5"/>
  <c r="AE61" i="5"/>
  <c r="AD61" i="5"/>
  <c r="AD325" i="5"/>
  <c r="AE325" i="5"/>
  <c r="AE245" i="5"/>
  <c r="AD245" i="5"/>
  <c r="AE168" i="10"/>
  <c r="AD168" i="10"/>
  <c r="AD381" i="5"/>
  <c r="AE381" i="5"/>
  <c r="AE205" i="5"/>
  <c r="AD205" i="5"/>
  <c r="AD357" i="5"/>
  <c r="AE357" i="5"/>
  <c r="AE335" i="5"/>
  <c r="AD335" i="5"/>
  <c r="AD398" i="5"/>
  <c r="AE398" i="5"/>
  <c r="AE350" i="5"/>
  <c r="AD350" i="5"/>
  <c r="AD240" i="5"/>
  <c r="AE240" i="5"/>
  <c r="AD305" i="5"/>
  <c r="AE305" i="5"/>
  <c r="AE174" i="5"/>
  <c r="AD174" i="5"/>
  <c r="AE48" i="10"/>
  <c r="AD48" i="10"/>
  <c r="AE344" i="10"/>
  <c r="AD344" i="10"/>
  <c r="AD284" i="10"/>
  <c r="AE284" i="10"/>
  <c r="AE267" i="10"/>
  <c r="AD267" i="10"/>
  <c r="AE541" i="10"/>
  <c r="AD541" i="10"/>
  <c r="AE409" i="10"/>
  <c r="AD409" i="10"/>
  <c r="AE422" i="10"/>
  <c r="AD422" i="10"/>
  <c r="AD198" i="10"/>
  <c r="AE198" i="10"/>
  <c r="AE152" i="5"/>
  <c r="AD152" i="5"/>
  <c r="AD75" i="5"/>
  <c r="AE75" i="5"/>
  <c r="AE541" i="5"/>
  <c r="AD541" i="5"/>
  <c r="AD318" i="5"/>
  <c r="AE318" i="5"/>
  <c r="AE296" i="5"/>
  <c r="AD296" i="5"/>
  <c r="AD391" i="5"/>
  <c r="AE391" i="5"/>
  <c r="AD70" i="5"/>
  <c r="AE70" i="5"/>
  <c r="AD560" i="5"/>
  <c r="AE560" i="5"/>
  <c r="AE412" i="10"/>
  <c r="AD412" i="10"/>
  <c r="AE234" i="10"/>
  <c r="AD234" i="10"/>
  <c r="AD86" i="10"/>
  <c r="AE86" i="10"/>
  <c r="AD375" i="10"/>
  <c r="AE375" i="10"/>
  <c r="AD47" i="10"/>
  <c r="AE47" i="10"/>
  <c r="AD325" i="10"/>
  <c r="AE325" i="10"/>
  <c r="AE501" i="10"/>
  <c r="AD501" i="10"/>
  <c r="AE454" i="10"/>
  <c r="AD454" i="10"/>
  <c r="AD296" i="10"/>
  <c r="AE296" i="10"/>
  <c r="AD402" i="10"/>
  <c r="AE402" i="10"/>
  <c r="AD351" i="5"/>
  <c r="AE351" i="5"/>
  <c r="AE369" i="10"/>
  <c r="AD369" i="10"/>
  <c r="AD145" i="5"/>
  <c r="AE145" i="5"/>
  <c r="AD351" i="10"/>
  <c r="AE351" i="10"/>
  <c r="AD419" i="5"/>
  <c r="AE419" i="5"/>
  <c r="AE448" i="5"/>
  <c r="AD448" i="5"/>
  <c r="AD529" i="5"/>
  <c r="AE529" i="5"/>
  <c r="AD228" i="5"/>
  <c r="AE228" i="5"/>
  <c r="AE440" i="10"/>
  <c r="AD440" i="10"/>
  <c r="AE253" i="10"/>
  <c r="AD253" i="10"/>
  <c r="AD199" i="10"/>
  <c r="AE199" i="10"/>
  <c r="AE145" i="10"/>
  <c r="AD145" i="10"/>
  <c r="AD85" i="10"/>
  <c r="AE85" i="10"/>
  <c r="AE462" i="10"/>
  <c r="AD462" i="10"/>
  <c r="AE514" i="10"/>
  <c r="AD514" i="10"/>
  <c r="AD226" i="5"/>
  <c r="AE226" i="5"/>
  <c r="AE45" i="5"/>
  <c r="AD45" i="5"/>
  <c r="AE557" i="5"/>
  <c r="AD557" i="5"/>
  <c r="AD121" i="5"/>
  <c r="AE121" i="5"/>
  <c r="AD77" i="5"/>
  <c r="AE77" i="5"/>
  <c r="AE371" i="5"/>
  <c r="AD371" i="5"/>
  <c r="AE87" i="5"/>
  <c r="AD87" i="5"/>
  <c r="AD472" i="5"/>
  <c r="AE472" i="5"/>
  <c r="AD88" i="5"/>
  <c r="AE88" i="5"/>
  <c r="AD370" i="10"/>
  <c r="AE370" i="10"/>
  <c r="AE239" i="10"/>
  <c r="AD239" i="10"/>
  <c r="AE103" i="10"/>
  <c r="AD103" i="10"/>
  <c r="AE532" i="10"/>
  <c r="AD532" i="10"/>
  <c r="AD425" i="10"/>
  <c r="AE425" i="10"/>
  <c r="AE337" i="10"/>
  <c r="AD337" i="10"/>
  <c r="AE343" i="10"/>
  <c r="AD343" i="10"/>
  <c r="AD536" i="10"/>
  <c r="AE536" i="10"/>
  <c r="AD124" i="5"/>
  <c r="AE124" i="5"/>
  <c r="AE401" i="5"/>
  <c r="AD401" i="5"/>
  <c r="AD197" i="5"/>
  <c r="AE197" i="5"/>
  <c r="AE191" i="5"/>
  <c r="AD191" i="5"/>
  <c r="AD146" i="5"/>
  <c r="AE146" i="5"/>
  <c r="AD242" i="5"/>
  <c r="AE242" i="5"/>
  <c r="AE432" i="5"/>
  <c r="AD432" i="5"/>
  <c r="AE449" i="5"/>
  <c r="AD449" i="5"/>
  <c r="AE156" i="10"/>
  <c r="AD156" i="10"/>
  <c r="AD177" i="10"/>
  <c r="AE177" i="10"/>
  <c r="AE410" i="10"/>
  <c r="AD410" i="10"/>
  <c r="AD127" i="10"/>
  <c r="AE127" i="10"/>
  <c r="AE201" i="10"/>
  <c r="AD201" i="10"/>
  <c r="AD419" i="10"/>
  <c r="AE419" i="10"/>
  <c r="AE554" i="10"/>
  <c r="AD554" i="10"/>
  <c r="AE338" i="10"/>
  <c r="AD338" i="10"/>
  <c r="AE449" i="10"/>
  <c r="AD449" i="10"/>
  <c r="AE550" i="5"/>
  <c r="AD550" i="5"/>
  <c r="AD466" i="5"/>
  <c r="AE466" i="5"/>
  <c r="AE417" i="5"/>
  <c r="AD417" i="5"/>
  <c r="AE199" i="5"/>
  <c r="AD199" i="5"/>
  <c r="AE407" i="5"/>
  <c r="AD407" i="5"/>
  <c r="AE359" i="5"/>
  <c r="AD359" i="5"/>
  <c r="AE186" i="5"/>
  <c r="AD186" i="5"/>
  <c r="AE259" i="5"/>
  <c r="AD259" i="5"/>
  <c r="AD113" i="5"/>
  <c r="AE113" i="5"/>
  <c r="AE117" i="10"/>
  <c r="AD117" i="10"/>
  <c r="AD23" i="10"/>
  <c r="AE23" i="10"/>
  <c r="AD445" i="10"/>
  <c r="AE445" i="10"/>
  <c r="AE132" i="10"/>
  <c r="AD132" i="10"/>
  <c r="AD109" i="10"/>
  <c r="AE109" i="10"/>
  <c r="AE551" i="10"/>
  <c r="AD551" i="10"/>
  <c r="AD290" i="10"/>
  <c r="AE290" i="10"/>
  <c r="AE182" i="10"/>
  <c r="AD182" i="10"/>
  <c r="AE271" i="5"/>
  <c r="AD271" i="5"/>
  <c r="AE221" i="5"/>
  <c r="AD221" i="5"/>
  <c r="AD288" i="5"/>
  <c r="AE288" i="5"/>
  <c r="AD104" i="5"/>
  <c r="AE104" i="5"/>
  <c r="AD520" i="5"/>
  <c r="AE520" i="5"/>
  <c r="AD349" i="5"/>
  <c r="AE349" i="5"/>
  <c r="AD133" i="5"/>
  <c r="AE133" i="5"/>
  <c r="AE23" i="5"/>
  <c r="AD23" i="5"/>
  <c r="AD231" i="5"/>
  <c r="AE231" i="5"/>
  <c r="AE264" i="10"/>
  <c r="AD264" i="10"/>
  <c r="AD348" i="10"/>
  <c r="AE348" i="10"/>
  <c r="AE42" i="10"/>
  <c r="AD42" i="10"/>
  <c r="AE432" i="10"/>
  <c r="AD432" i="10"/>
  <c r="AE353" i="10"/>
  <c r="AD353" i="10"/>
  <c r="AD244" i="10"/>
  <c r="AE244" i="10"/>
  <c r="AE231" i="10"/>
  <c r="AD231" i="10"/>
  <c r="AD302" i="5"/>
  <c r="AE302" i="5"/>
  <c r="AD375" i="5"/>
  <c r="AE375" i="5"/>
  <c r="AD24" i="5"/>
  <c r="AE24" i="5"/>
  <c r="AE258" i="5"/>
  <c r="AD258" i="5"/>
  <c r="AD227" i="5"/>
  <c r="AE227" i="5"/>
  <c r="AD390" i="5"/>
  <c r="AE390" i="5"/>
  <c r="AE183" i="5"/>
  <c r="AD183" i="5"/>
  <c r="AE252" i="5"/>
  <c r="AD252" i="5"/>
  <c r="AE500" i="5"/>
  <c r="AD500" i="5"/>
  <c r="AE430" i="5"/>
  <c r="AD430" i="5"/>
  <c r="AE275" i="5"/>
  <c r="AD275" i="5"/>
  <c r="AD515" i="5"/>
  <c r="AE515" i="5"/>
  <c r="AE67" i="5"/>
  <c r="AD67" i="5"/>
  <c r="AE445" i="5"/>
  <c r="AD445" i="5"/>
  <c r="AE82" i="5"/>
  <c r="AD82" i="5"/>
  <c r="AD187" i="5"/>
  <c r="AE187" i="5"/>
  <c r="AD522" i="5"/>
  <c r="AE522" i="5"/>
  <c r="AD143" i="5"/>
  <c r="AE143" i="5"/>
  <c r="AD521" i="10"/>
  <c r="AE521" i="10"/>
  <c r="AD45" i="10"/>
  <c r="AE45" i="10"/>
  <c r="AD546" i="10"/>
  <c r="AE546" i="10"/>
  <c r="AD384" i="10"/>
  <c r="AE384" i="10"/>
  <c r="AE245" i="10"/>
  <c r="AD245" i="10"/>
  <c r="AD186" i="10"/>
  <c r="AE186" i="10"/>
  <c r="AE544" i="10"/>
  <c r="AD544" i="10"/>
  <c r="AD368" i="10"/>
  <c r="AE368" i="10"/>
  <c r="AE451" i="5"/>
  <c r="AD451" i="5"/>
  <c r="AE531" i="5"/>
  <c r="AD531" i="5"/>
  <c r="AE278" i="5"/>
  <c r="AD278" i="5"/>
  <c r="AD468" i="5"/>
  <c r="AE468" i="5"/>
  <c r="AD289" i="5"/>
  <c r="AE289" i="5"/>
  <c r="AE299" i="5"/>
  <c r="AD299" i="5"/>
  <c r="AD256" i="5"/>
  <c r="AE256" i="5"/>
  <c r="AE177" i="5"/>
  <c r="AD177" i="5"/>
  <c r="AD306" i="10"/>
  <c r="AE306" i="10"/>
  <c r="AE219" i="10"/>
  <c r="AD219" i="10"/>
  <c r="AD26" i="10"/>
  <c r="AE26" i="10"/>
  <c r="AE397" i="10"/>
  <c r="AD397" i="10"/>
  <c r="AD471" i="10"/>
  <c r="AE471" i="10"/>
  <c r="AE342" i="10"/>
  <c r="AD342" i="10"/>
  <c r="AE313" i="10"/>
  <c r="AD313" i="10"/>
  <c r="AD128" i="10"/>
  <c r="AE128" i="10"/>
  <c r="AE105" i="10"/>
  <c r="AD105" i="10"/>
  <c r="AD555" i="5"/>
  <c r="AE555" i="5"/>
  <c r="AE101" i="10"/>
  <c r="AD101" i="10"/>
  <c r="AE424" i="10"/>
  <c r="AD424" i="10"/>
  <c r="AD9" i="5"/>
  <c r="AE9" i="5"/>
  <c r="AE130" i="10"/>
  <c r="AD130" i="10"/>
  <c r="AD247" i="5"/>
  <c r="AE247" i="5"/>
  <c r="AE115" i="5"/>
  <c r="AD115" i="5"/>
  <c r="AE424" i="5"/>
  <c r="AD424" i="5"/>
  <c r="AE176" i="5"/>
  <c r="AD176" i="5"/>
  <c r="AD517" i="10"/>
  <c r="AE517" i="10"/>
  <c r="AD168" i="5"/>
  <c r="AE168" i="5"/>
  <c r="AE526" i="5"/>
  <c r="AD526" i="5"/>
  <c r="AD55" i="5"/>
  <c r="AE55" i="5"/>
  <c r="AD201" i="5"/>
  <c r="AE201" i="5"/>
  <c r="AE107" i="5"/>
  <c r="AD107" i="5"/>
  <c r="AE441" i="5"/>
  <c r="AD441" i="5"/>
  <c r="AE54" i="5"/>
  <c r="AD54" i="5"/>
  <c r="AE498" i="5"/>
  <c r="AD498" i="5"/>
  <c r="AE353" i="5"/>
  <c r="AD353" i="5"/>
  <c r="AE179" i="10"/>
  <c r="AD179" i="10"/>
  <c r="AE300" i="10"/>
  <c r="AD300" i="10"/>
  <c r="AE80" i="10"/>
  <c r="AD80" i="10"/>
  <c r="AD36" i="10"/>
  <c r="AE36" i="10"/>
  <c r="AD475" i="10"/>
  <c r="AE475" i="10"/>
  <c r="AD350" i="10"/>
  <c r="AE350" i="10"/>
  <c r="AD321" i="10"/>
  <c r="AE321" i="10"/>
  <c r="AE433" i="10"/>
  <c r="AD433" i="10"/>
  <c r="AD211" i="5"/>
  <c r="AE211" i="5"/>
  <c r="AE216" i="5"/>
  <c r="AD216" i="5"/>
  <c r="AE148" i="5"/>
  <c r="AD148" i="5"/>
  <c r="AD192" i="5"/>
  <c r="AE192" i="5"/>
  <c r="AD372" i="5"/>
  <c r="AE372" i="5"/>
  <c r="AE392" i="5"/>
  <c r="AD392" i="5"/>
  <c r="AD274" i="5"/>
  <c r="AE274" i="5"/>
  <c r="AD497" i="5"/>
  <c r="AE497" i="5"/>
  <c r="AE503" i="5"/>
  <c r="AD503" i="5"/>
  <c r="AD193" i="10"/>
  <c r="AE193" i="10"/>
  <c r="AE523" i="10"/>
  <c r="AD523" i="10"/>
  <c r="AE448" i="10"/>
  <c r="AD448" i="10"/>
  <c r="AE261" i="10"/>
  <c r="AD261" i="10"/>
  <c r="AE411" i="10"/>
  <c r="AD411" i="10"/>
  <c r="AE559" i="10"/>
  <c r="AD559" i="10"/>
  <c r="AD298" i="10"/>
  <c r="AE298" i="10"/>
  <c r="AD271" i="10"/>
  <c r="AE271" i="10"/>
  <c r="AE11" i="5"/>
  <c r="AD11" i="5"/>
  <c r="AD279" i="5"/>
  <c r="AE279" i="5"/>
  <c r="AD510" i="5"/>
  <c r="AE510" i="5"/>
  <c r="AD352" i="5"/>
  <c r="AE352" i="5"/>
  <c r="AD284" i="5"/>
  <c r="AE284" i="5"/>
  <c r="AE251" i="5"/>
  <c r="AD251" i="5"/>
  <c r="AD203" i="5"/>
  <c r="AE203" i="5"/>
  <c r="AE505" i="10"/>
  <c r="AD505" i="10"/>
  <c r="AE106" i="10"/>
  <c r="AD106" i="10"/>
  <c r="AD35" i="10"/>
  <c r="AE35" i="10"/>
  <c r="AD513" i="10"/>
  <c r="AE513" i="10"/>
  <c r="AD340" i="10"/>
  <c r="AE340" i="10"/>
  <c r="AD516" i="10"/>
  <c r="AE516" i="10"/>
  <c r="AE487" i="10"/>
  <c r="AD487" i="10"/>
  <c r="AE310" i="10"/>
  <c r="AD310" i="10"/>
  <c r="AE361" i="10"/>
  <c r="AD361" i="10"/>
  <c r="AD363" i="5"/>
  <c r="AE363" i="5"/>
  <c r="AE306" i="5"/>
  <c r="AD306" i="5"/>
  <c r="AE277" i="5"/>
  <c r="AD277" i="5"/>
  <c r="AD317" i="5"/>
  <c r="AE317" i="5"/>
  <c r="AE85" i="5"/>
  <c r="AD85" i="5"/>
  <c r="AE311" i="5"/>
  <c r="AD311" i="5"/>
  <c r="AD354" i="5"/>
  <c r="AE354" i="5"/>
  <c r="AD528" i="5"/>
  <c r="AE528" i="5"/>
  <c r="AD142" i="10"/>
  <c r="AE142" i="10"/>
  <c r="AD403" i="10"/>
  <c r="AE403" i="10"/>
  <c r="AE172" i="10"/>
  <c r="AD172" i="10"/>
  <c r="AE64" i="10"/>
  <c r="AD64" i="10"/>
  <c r="AE324" i="10"/>
  <c r="AD324" i="10"/>
  <c r="AE233" i="10"/>
  <c r="AD233" i="10"/>
  <c r="AE33" i="10"/>
  <c r="AD33" i="10"/>
  <c r="AD75" i="10"/>
  <c r="AE75" i="10"/>
  <c r="AD196" i="10"/>
  <c r="AE196" i="10"/>
  <c r="AE246" i="5"/>
  <c r="AD246" i="5"/>
  <c r="AE110" i="5"/>
  <c r="AD110" i="5"/>
  <c r="AD173" i="5"/>
  <c r="AE173" i="5"/>
  <c r="AE444" i="5"/>
  <c r="AD444" i="5"/>
  <c r="AD229" i="5"/>
  <c r="AE229" i="5"/>
  <c r="AE134" i="5"/>
  <c r="AD134" i="5"/>
  <c r="AD501" i="5"/>
  <c r="AE501" i="5"/>
  <c r="AD373" i="5"/>
  <c r="AE373" i="5"/>
  <c r="AD282" i="10"/>
  <c r="AE282" i="10"/>
  <c r="AE349" i="10"/>
  <c r="AD349" i="10"/>
  <c r="AE155" i="10"/>
  <c r="AD155" i="10"/>
  <c r="AE270" i="10"/>
  <c r="AD270" i="10"/>
  <c r="AE181" i="10"/>
  <c r="AD181" i="10"/>
  <c r="AE421" i="10"/>
  <c r="AD421" i="10"/>
  <c r="AE330" i="10"/>
  <c r="AD330" i="10"/>
  <c r="AD195" i="10"/>
  <c r="AE195" i="10"/>
  <c r="AD469" i="5"/>
  <c r="AE469" i="5"/>
  <c r="AD72" i="5"/>
  <c r="AE72" i="5"/>
  <c r="AD464" i="5"/>
  <c r="AE464" i="5"/>
  <c r="AE554" i="5"/>
  <c r="AD554" i="5"/>
  <c r="AD485" i="5"/>
  <c r="AE485" i="5"/>
  <c r="AE308" i="5"/>
  <c r="AD308" i="5"/>
  <c r="AD331" i="5"/>
  <c r="AE331" i="5"/>
  <c r="AE92" i="5"/>
  <c r="AD92" i="5"/>
  <c r="AE539" i="5"/>
  <c r="AD539" i="5"/>
  <c r="AE40" i="5"/>
  <c r="AD40" i="5"/>
  <c r="AD166" i="5"/>
  <c r="AE166" i="5"/>
  <c r="AE478" i="5"/>
  <c r="AD478" i="5"/>
  <c r="AE338" i="5"/>
  <c r="AD338" i="5"/>
  <c r="AE389" i="5"/>
  <c r="AD389" i="5"/>
  <c r="AD74" i="5"/>
  <c r="AE74" i="5"/>
  <c r="AD535" i="5"/>
  <c r="AE535" i="5"/>
  <c r="AD27" i="10"/>
  <c r="AE27" i="10"/>
  <c r="AE286" i="10"/>
  <c r="AD286" i="10"/>
  <c r="AD277" i="10"/>
  <c r="AE277" i="10"/>
  <c r="AE506" i="10"/>
  <c r="AD506" i="10"/>
  <c r="AE386" i="10"/>
  <c r="AD386" i="10"/>
  <c r="AD224" i="10"/>
  <c r="AE224" i="10"/>
  <c r="AE38" i="10"/>
  <c r="AD38" i="10"/>
  <c r="AD273" i="10"/>
  <c r="AE273" i="10"/>
  <c r="AD387" i="5"/>
  <c r="AE387" i="5"/>
  <c r="AD434" i="5"/>
  <c r="AE434" i="5"/>
  <c r="AD164" i="5"/>
  <c r="AE164" i="5"/>
  <c r="AD358" i="5"/>
  <c r="AE358" i="5"/>
  <c r="AD262" i="5"/>
  <c r="AE262" i="5"/>
  <c r="AE44" i="5"/>
  <c r="AD44" i="5"/>
  <c r="AD534" i="5"/>
  <c r="AE534" i="5"/>
  <c r="AE172" i="5"/>
  <c r="AD172" i="5"/>
  <c r="AD49" i="5"/>
  <c r="AE49" i="5"/>
  <c r="AD372" i="10"/>
  <c r="AE372" i="10"/>
  <c r="AE552" i="10"/>
  <c r="AD552" i="10"/>
  <c r="AD480" i="10"/>
  <c r="AE480" i="10"/>
  <c r="AE312" i="10"/>
  <c r="AD312" i="10"/>
  <c r="AE176" i="10"/>
  <c r="AD176" i="10"/>
  <c r="AE67" i="10"/>
  <c r="AD67" i="10"/>
  <c r="AE129" i="10"/>
  <c r="AD129" i="10"/>
  <c r="AE492" i="10"/>
  <c r="AD492" i="10"/>
  <c r="AD94" i="10"/>
  <c r="AE94" i="10"/>
  <c r="AE287" i="10"/>
  <c r="AD287" i="10"/>
  <c r="AD348" i="5"/>
  <c r="AE348" i="5"/>
  <c r="AD251" i="10"/>
  <c r="AE251" i="10"/>
  <c r="AE132" i="5"/>
  <c r="AD132" i="5"/>
  <c r="AD203" i="10"/>
  <c r="AE203" i="10"/>
  <c r="AD76" i="5"/>
  <c r="AE76" i="5"/>
  <c r="AE41" i="5"/>
  <c r="AD41" i="5"/>
  <c r="AE346" i="5"/>
  <c r="AD346" i="5"/>
  <c r="AD453" i="10"/>
  <c r="AE453" i="10"/>
  <c r="AD142" i="5"/>
  <c r="AE142" i="5"/>
  <c r="AE105" i="5"/>
  <c r="AD105" i="5"/>
  <c r="AE154" i="5"/>
  <c r="AD154" i="5"/>
  <c r="AE222" i="5"/>
  <c r="AD222" i="5"/>
  <c r="AE202" i="5"/>
  <c r="AD202" i="5"/>
  <c r="AD397" i="5"/>
  <c r="AE397" i="5"/>
  <c r="AE200" i="5"/>
  <c r="AD200" i="5"/>
  <c r="AE513" i="5"/>
  <c r="AD513" i="5"/>
  <c r="AE196" i="5"/>
  <c r="AD196" i="5"/>
  <c r="AE346" i="10"/>
  <c r="AD346" i="10"/>
  <c r="AE547" i="10"/>
  <c r="AD547" i="10"/>
  <c r="AD493" i="10"/>
  <c r="AE493" i="10"/>
  <c r="AE320" i="10"/>
  <c r="AD320" i="10"/>
  <c r="AE102" i="10"/>
  <c r="AD102" i="10"/>
  <c r="AD429" i="10"/>
  <c r="AE429" i="10"/>
  <c r="AE468" i="10"/>
  <c r="AD468" i="10"/>
  <c r="AD476" i="10"/>
  <c r="AE476" i="10"/>
  <c r="AE488" i="5"/>
  <c r="AD488" i="5"/>
  <c r="AE525" i="5"/>
  <c r="AD525" i="5"/>
  <c r="AE304" i="5"/>
  <c r="AD304" i="5"/>
  <c r="AE42" i="5"/>
  <c r="AD42" i="5"/>
  <c r="AD109" i="5"/>
  <c r="AE109" i="5"/>
  <c r="AD365" i="5"/>
  <c r="AE365" i="5"/>
  <c r="AE514" i="5"/>
  <c r="AD514" i="5"/>
  <c r="AE282" i="5"/>
  <c r="AD282" i="5"/>
  <c r="AD487" i="5"/>
  <c r="AE487" i="5"/>
  <c r="AE163" i="10"/>
  <c r="AD163" i="10"/>
  <c r="AD166" i="10"/>
  <c r="AE166" i="10"/>
  <c r="AE116" i="10"/>
  <c r="AD116" i="10"/>
  <c r="AD332" i="10"/>
  <c r="AE332" i="10"/>
  <c r="AE241" i="10"/>
  <c r="AD241" i="10"/>
  <c r="AD41" i="10"/>
  <c r="AE41" i="10"/>
  <c r="AE465" i="10"/>
  <c r="AD465" i="10"/>
  <c r="AD379" i="10"/>
  <c r="AE379" i="10"/>
  <c r="AE195" i="5"/>
  <c r="AD195" i="5"/>
  <c r="AD215" i="5"/>
  <c r="AE215" i="5"/>
  <c r="AD51" i="5"/>
  <c r="AE51" i="5"/>
  <c r="AE415" i="5"/>
  <c r="AD415" i="5"/>
  <c r="AD290" i="5"/>
  <c r="AE290" i="5"/>
  <c r="AE396" i="5"/>
  <c r="AD396" i="5"/>
  <c r="AD431" i="5"/>
  <c r="AE431" i="5"/>
  <c r="AD155" i="5"/>
  <c r="AE155" i="5"/>
  <c r="AE447" i="10"/>
  <c r="AD447" i="10"/>
  <c r="AD275" i="10"/>
  <c r="AE275" i="10"/>
  <c r="AD281" i="10"/>
  <c r="AE281" i="10"/>
  <c r="AE483" i="10"/>
  <c r="AD483" i="10"/>
  <c r="AE358" i="10"/>
  <c r="AD358" i="10"/>
  <c r="AD222" i="10"/>
  <c r="AE222" i="10"/>
  <c r="AD220" i="10"/>
  <c r="AE220" i="10"/>
  <c r="AE39" i="10"/>
  <c r="AD39" i="10"/>
  <c r="AD21" i="10"/>
  <c r="AE21" i="10"/>
  <c r="AE223" i="5"/>
  <c r="AD223" i="5"/>
  <c r="AD364" i="5"/>
  <c r="AE364" i="5"/>
  <c r="AE19" i="5"/>
  <c r="AD19" i="5"/>
  <c r="AE409" i="5"/>
  <c r="AD409" i="5"/>
  <c r="AE204" i="5"/>
  <c r="AD204" i="5"/>
  <c r="AD511" i="5"/>
  <c r="AE511" i="5"/>
  <c r="AD293" i="5"/>
  <c r="AE293" i="5"/>
  <c r="AD548" i="5"/>
  <c r="AE548" i="5"/>
  <c r="AE315" i="10"/>
  <c r="AD315" i="10"/>
  <c r="AD528" i="10"/>
  <c r="AE528" i="10"/>
  <c r="AE309" i="10"/>
  <c r="AD309" i="10"/>
  <c r="AD99" i="10"/>
  <c r="AE99" i="10"/>
  <c r="AE143" i="10"/>
  <c r="AD143" i="10"/>
  <c r="AD542" i="10"/>
  <c r="AE542" i="10"/>
  <c r="AE34" i="10"/>
  <c r="AD34" i="10"/>
  <c r="AD498" i="10"/>
  <c r="AE498" i="10"/>
  <c r="AE95" i="10"/>
  <c r="AD95" i="10"/>
  <c r="AE21" i="5"/>
  <c r="AD21" i="5"/>
  <c r="AD68" i="5"/>
  <c r="AE68" i="5"/>
  <c r="AE542" i="5"/>
  <c r="AD542" i="5"/>
  <c r="AE324" i="5"/>
  <c r="AD324" i="5"/>
  <c r="AE48" i="5"/>
  <c r="AD48" i="5"/>
  <c r="AE298" i="5"/>
  <c r="AD298" i="5"/>
  <c r="AE22" i="5"/>
  <c r="AD22" i="5"/>
  <c r="AD257" i="5"/>
  <c r="AE257" i="5"/>
  <c r="AD200" i="10"/>
  <c r="AE200" i="10"/>
  <c r="AE467" i="10"/>
  <c r="AD467" i="10"/>
  <c r="AD202" i="10"/>
  <c r="AE202" i="10"/>
  <c r="AE428" i="10"/>
  <c r="AD428" i="10"/>
  <c r="AE111" i="10"/>
  <c r="AD111" i="10"/>
  <c r="AE11" i="10"/>
  <c r="AD11" i="10"/>
  <c r="AD497" i="10"/>
  <c r="AE497" i="10"/>
  <c r="AD37" i="10"/>
  <c r="AE37" i="10"/>
  <c r="AD66" i="10"/>
  <c r="AE66" i="10"/>
  <c r="AE134" i="10"/>
  <c r="AD134" i="10"/>
  <c r="AD334" i="5"/>
  <c r="AE334" i="5"/>
  <c r="AE412" i="5"/>
  <c r="AD412" i="5"/>
  <c r="AD429" i="5"/>
  <c r="AE429" i="5"/>
  <c r="AD475" i="5"/>
  <c r="AE475" i="5"/>
  <c r="AD544" i="5"/>
  <c r="AE544" i="5"/>
  <c r="AD81" i="5"/>
  <c r="AE81" i="5"/>
  <c r="AE129" i="5"/>
  <c r="AD129" i="5"/>
  <c r="AE234" i="5"/>
  <c r="AD234" i="5"/>
  <c r="AE171" i="5"/>
  <c r="AD171" i="5"/>
  <c r="AD165" i="5"/>
  <c r="AE165" i="5"/>
  <c r="AE360" i="5"/>
  <c r="AD360" i="5"/>
  <c r="AE266" i="5"/>
  <c r="AD266" i="5"/>
  <c r="AD322" i="5"/>
  <c r="AE322" i="5"/>
  <c r="AE280" i="5"/>
  <c r="AD280" i="5"/>
  <c r="AE504" i="5"/>
  <c r="AD504" i="5"/>
  <c r="AD336" i="5"/>
  <c r="AE336" i="5"/>
  <c r="AE481" i="5"/>
  <c r="AD481" i="5"/>
  <c r="AD9" i="10"/>
  <c r="AE9" i="10"/>
  <c r="AD527" i="10"/>
  <c r="AE527" i="10"/>
  <c r="AD178" i="10"/>
  <c r="AE178" i="10"/>
  <c r="AE133" i="10"/>
  <c r="AD133" i="10"/>
  <c r="AD413" i="10"/>
  <c r="AE413" i="10"/>
  <c r="AD322" i="10"/>
  <c r="AE322" i="10"/>
  <c r="AE303" i="10"/>
  <c r="AD303" i="10"/>
  <c r="AD77" i="10"/>
  <c r="AE77" i="10"/>
  <c r="AE170" i="5"/>
  <c r="AD170" i="5"/>
  <c r="AE28" i="5"/>
  <c r="AD28" i="5"/>
  <c r="AD524" i="5"/>
  <c r="AE524" i="5"/>
  <c r="AE523" i="5"/>
  <c r="AD523" i="5"/>
  <c r="AD57" i="5"/>
  <c r="AE57" i="5"/>
  <c r="AD476" i="5"/>
  <c r="AE476" i="5"/>
  <c r="AD136" i="5"/>
  <c r="AE136" i="5"/>
  <c r="AD235" i="5"/>
  <c r="AE235" i="5"/>
  <c r="AD209" i="5"/>
  <c r="AE209" i="5"/>
  <c r="AD355" i="10"/>
  <c r="AE355" i="10"/>
  <c r="AE285" i="10"/>
  <c r="AD285" i="10"/>
  <c r="AE223" i="10"/>
  <c r="AD223" i="10"/>
  <c r="AE32" i="10"/>
  <c r="AD32" i="10"/>
  <c r="AD515" i="10"/>
  <c r="AE515" i="10"/>
  <c r="AD391" i="10"/>
  <c r="AE391" i="10"/>
  <c r="AE334" i="10"/>
  <c r="AD334" i="10"/>
  <c r="AD212" i="10"/>
  <c r="AE212" i="10"/>
  <c r="AE316" i="10"/>
  <c r="AD316" i="10"/>
  <c r="AD559" i="5"/>
  <c r="AE559" i="5"/>
  <c r="AD272" i="10"/>
  <c r="AE272" i="10"/>
  <c r="AE263" i="5"/>
  <c r="AD263" i="5"/>
  <c r="AD294" i="10"/>
  <c r="AE294" i="10"/>
  <c r="AE329" i="5"/>
  <c r="AD329" i="5"/>
  <c r="AE58" i="5"/>
  <c r="AD58" i="5"/>
  <c r="AD545" i="5"/>
  <c r="AE545" i="5"/>
  <c r="AD319" i="5"/>
  <c r="AE319" i="5"/>
  <c r="AE382" i="5"/>
  <c r="AD382" i="5"/>
  <c r="AD420" i="5"/>
  <c r="AE420" i="5"/>
  <c r="AE230" i="5"/>
  <c r="AD230" i="5"/>
  <c r="AD546" i="5"/>
  <c r="AE546" i="5"/>
  <c r="AE269" i="5"/>
  <c r="AD269" i="5"/>
  <c r="AD557" i="10"/>
  <c r="AE557" i="10"/>
  <c r="AD293" i="10"/>
  <c r="AE293" i="10"/>
  <c r="AD457" i="10"/>
  <c r="AE457" i="10"/>
  <c r="AE396" i="10"/>
  <c r="AD396" i="10"/>
  <c r="AE108" i="10"/>
  <c r="AD108" i="10"/>
  <c r="AE217" i="10"/>
  <c r="AD217" i="10"/>
  <c r="AD553" i="10"/>
  <c r="AE553" i="10"/>
  <c r="AE469" i="10"/>
  <c r="AD469" i="10"/>
  <c r="AE131" i="5"/>
  <c r="AD131" i="5"/>
  <c r="AD25" i="5"/>
  <c r="AE25" i="5"/>
  <c r="AD189" i="5"/>
  <c r="AE189" i="5"/>
  <c r="AE516" i="5"/>
  <c r="AD516" i="5"/>
  <c r="AE328" i="5"/>
  <c r="AD328" i="5"/>
  <c r="AE428" i="5"/>
  <c r="AD428" i="5"/>
  <c r="AD160" i="5"/>
  <c r="AE160" i="5"/>
  <c r="AE450" i="5"/>
  <c r="AD450" i="5"/>
  <c r="AD158" i="10"/>
  <c r="AE158" i="10"/>
  <c r="AD538" i="10"/>
  <c r="AE538" i="10"/>
  <c r="AD317" i="10"/>
  <c r="AE317" i="10"/>
  <c r="AD71" i="10"/>
  <c r="AE71" i="10"/>
  <c r="AE436" i="10"/>
  <c r="AD436" i="10"/>
  <c r="AD248" i="10"/>
  <c r="AE248" i="10"/>
  <c r="AD84" i="10"/>
  <c r="AE84" i="10"/>
  <c r="AD40" i="10"/>
  <c r="AE40" i="10"/>
  <c r="AD112" i="10"/>
  <c r="AE112" i="10"/>
  <c r="AE482" i="5"/>
  <c r="AD482" i="5"/>
  <c r="AD530" i="5"/>
  <c r="AE530" i="5"/>
  <c r="AD122" i="5"/>
  <c r="AE122" i="5"/>
  <c r="AE285" i="5"/>
  <c r="AD285" i="5"/>
  <c r="AE125" i="5"/>
  <c r="AD125" i="5"/>
  <c r="AD111" i="5"/>
  <c r="AE111" i="5"/>
  <c r="AD91" i="5"/>
  <c r="AE91" i="5"/>
  <c r="AE384" i="5"/>
  <c r="AD384" i="5"/>
  <c r="AD470" i="5"/>
  <c r="AE470" i="5"/>
  <c r="AD481" i="10"/>
  <c r="AE481" i="10"/>
  <c r="AE474" i="10"/>
  <c r="AD474" i="10"/>
  <c r="AE392" i="10"/>
  <c r="AD392" i="10"/>
  <c r="AE192" i="10"/>
  <c r="AD192" i="10"/>
  <c r="AD87" i="10"/>
  <c r="AE87" i="10"/>
  <c r="AD10" i="10"/>
  <c r="AE10" i="10"/>
  <c r="AE535" i="10"/>
  <c r="AD535" i="10"/>
  <c r="AD406" i="10"/>
  <c r="AE406" i="10"/>
  <c r="AD376" i="5"/>
  <c r="AE376" i="5"/>
  <c r="AD395" i="5"/>
  <c r="AE395" i="5"/>
  <c r="AD321" i="5"/>
  <c r="AE321" i="5"/>
  <c r="AD65" i="5"/>
  <c r="AE65" i="5"/>
  <c r="AD532" i="5"/>
  <c r="AE532" i="5"/>
  <c r="AE453" i="5"/>
  <c r="AD453" i="5"/>
  <c r="AE433" i="5"/>
  <c r="AD433" i="5"/>
  <c r="AE250" i="5"/>
  <c r="AD250" i="5"/>
  <c r="AD118" i="10"/>
  <c r="AE118" i="10"/>
  <c r="AE291" i="10"/>
  <c r="AD291" i="10"/>
  <c r="AE209" i="10"/>
  <c r="AD209" i="10"/>
  <c r="AE165" i="10"/>
  <c r="AD165" i="10"/>
  <c r="AE452" i="10"/>
  <c r="AD452" i="10"/>
  <c r="AE502" i="10"/>
  <c r="AD502" i="10"/>
  <c r="AD470" i="10"/>
  <c r="AE470" i="10"/>
  <c r="AD374" i="10"/>
  <c r="AE374" i="10"/>
  <c r="AE405" i="10"/>
  <c r="AD405" i="10"/>
  <c r="AD418" i="5"/>
  <c r="AE418" i="5"/>
  <c r="AE425" i="5"/>
  <c r="AD425" i="5"/>
  <c r="AD465" i="5"/>
  <c r="AE465" i="5"/>
  <c r="AE56" i="5"/>
  <c r="AD56" i="5"/>
  <c r="AD356" i="5"/>
  <c r="AE356" i="5"/>
  <c r="AD89" i="5"/>
  <c r="AE89" i="5"/>
  <c r="AE447" i="5"/>
  <c r="AD447" i="5"/>
  <c r="AD46" i="5"/>
  <c r="AE46" i="5"/>
  <c r="AD357" i="10"/>
  <c r="AE357" i="10"/>
  <c r="AD169" i="10"/>
  <c r="AE169" i="10"/>
  <c r="AD208" i="10"/>
  <c r="AE208" i="10"/>
  <c r="AD495" i="10"/>
  <c r="AE495" i="10"/>
  <c r="AD280" i="10"/>
  <c r="AE280" i="10"/>
  <c r="AD60" i="10"/>
  <c r="AE60" i="10"/>
  <c r="AD50" i="10"/>
  <c r="AE50" i="10"/>
  <c r="AD70" i="10"/>
  <c r="AE70" i="10"/>
  <c r="AD382" i="10"/>
  <c r="AE382" i="10"/>
  <c r="AE543" i="10"/>
  <c r="AD543" i="10"/>
  <c r="AD340" i="5"/>
  <c r="AE340" i="5"/>
  <c r="AE169" i="5"/>
  <c r="AD169" i="5"/>
  <c r="AE241" i="5"/>
  <c r="AD241" i="5"/>
  <c r="AD459" i="5"/>
  <c r="AE459" i="5"/>
  <c r="AE47" i="5"/>
  <c r="AD47" i="5"/>
  <c r="AD339" i="5"/>
  <c r="AE339" i="5"/>
  <c r="AE175" i="5"/>
  <c r="AD175" i="5"/>
  <c r="AD69" i="5"/>
  <c r="AE69" i="5"/>
  <c r="AD55" i="10"/>
  <c r="AE55" i="10"/>
  <c r="AE163" i="5"/>
  <c r="AD163" i="5"/>
  <c r="AE399" i="5"/>
  <c r="AD399" i="5"/>
  <c r="AD178" i="5"/>
  <c r="AE178" i="5"/>
  <c r="AD452" i="5"/>
  <c r="AE452" i="5"/>
  <c r="AE238" i="5"/>
  <c r="AD238" i="5"/>
  <c r="AD184" i="5"/>
  <c r="AE184" i="5"/>
  <c r="AE157" i="5"/>
  <c r="AD157" i="5"/>
  <c r="AD10" i="5"/>
  <c r="AE10" i="5"/>
  <c r="AE184" i="10"/>
  <c r="AD184" i="10"/>
  <c r="AD211" i="10"/>
  <c r="AE211" i="10"/>
  <c r="AE259" i="10"/>
  <c r="AD259" i="10"/>
  <c r="AD420" i="10"/>
  <c r="AE420" i="10"/>
  <c r="AD107" i="10"/>
  <c r="AE107" i="10"/>
  <c r="AD24" i="10"/>
  <c r="AE24" i="10"/>
  <c r="AE31" i="10"/>
  <c r="AD31" i="10"/>
  <c r="AE438" i="10"/>
  <c r="AD438" i="10"/>
  <c r="AD78" i="10"/>
  <c r="AE78" i="10"/>
  <c r="AE540" i="5"/>
  <c r="AD540" i="5"/>
  <c r="AE556" i="5"/>
  <c r="AD556" i="5"/>
  <c r="AE471" i="5"/>
  <c r="AD471" i="5"/>
  <c r="AD60" i="5"/>
  <c r="AE60" i="5"/>
  <c r="AD486" i="5"/>
  <c r="AE486" i="5"/>
  <c r="AD103" i="5"/>
  <c r="AE103" i="5"/>
  <c r="AE347" i="5"/>
  <c r="AD347" i="5"/>
  <c r="AD538" i="5"/>
  <c r="AE538" i="5"/>
  <c r="AD377" i="5"/>
  <c r="AE377" i="5"/>
  <c r="AD229" i="10"/>
  <c r="AE229" i="10"/>
  <c r="AE263" i="10"/>
  <c r="AD263" i="10"/>
  <c r="AD510" i="10"/>
  <c r="AE510" i="10"/>
  <c r="AE254" i="10"/>
  <c r="AD254" i="10"/>
  <c r="AD260" i="10"/>
  <c r="AE260" i="10"/>
  <c r="AE100" i="10"/>
  <c r="AD100" i="10"/>
  <c r="AD473" i="10"/>
  <c r="AE473" i="10"/>
  <c r="AE266" i="10"/>
  <c r="AD266" i="10"/>
  <c r="AD458" i="10"/>
  <c r="AE458" i="10"/>
  <c r="BY152" i="4"/>
  <c r="BZ152" i="4" s="1"/>
  <c r="BY155" i="4"/>
  <c r="BZ155" i="4" s="1"/>
  <c r="BY127" i="4"/>
  <c r="BZ127" i="4" s="1"/>
  <c r="BY131" i="4"/>
  <c r="BZ131" i="4" s="1"/>
  <c r="BY154" i="4"/>
  <c r="BZ154" i="4" s="1"/>
  <c r="BY8" i="4"/>
  <c r="BZ8" i="4" s="1"/>
  <c r="BY126" i="4"/>
  <c r="BZ126" i="4" s="1"/>
  <c r="BY128" i="4"/>
  <c r="BZ128" i="4" s="1"/>
  <c r="BY96" i="4"/>
  <c r="BZ96" i="4" s="1"/>
  <c r="BY44" i="4"/>
  <c r="BZ44" i="4" s="1"/>
  <c r="BY26" i="4"/>
  <c r="BZ26" i="4" s="1"/>
  <c r="BY48" i="4"/>
  <c r="BZ48" i="4" s="1"/>
  <c r="BY19" i="4"/>
  <c r="BZ19" i="4" s="1"/>
  <c r="BY79" i="4"/>
  <c r="BZ79" i="4" s="1"/>
  <c r="BY112" i="4"/>
  <c r="BZ112" i="4" s="1"/>
  <c r="BY134" i="4"/>
  <c r="BZ134" i="4" s="1"/>
  <c r="BY49" i="4"/>
  <c r="BZ49" i="4" s="1"/>
  <c r="BY144" i="4"/>
  <c r="BZ144" i="4" s="1"/>
  <c r="BY141" i="4"/>
  <c r="BZ141" i="4" s="1"/>
  <c r="BY117" i="4"/>
  <c r="BZ117" i="4" s="1"/>
  <c r="BZ70" i="4"/>
  <c r="BY30" i="4"/>
  <c r="BZ30" i="4" s="1"/>
  <c r="BY67" i="4"/>
  <c r="BZ67" i="4" s="1"/>
  <c r="BZ52" i="4"/>
  <c r="BY88" i="4"/>
  <c r="BZ88" i="4" s="1"/>
  <c r="BY38" i="4"/>
  <c r="BZ38" i="4" s="1"/>
  <c r="BY57" i="4"/>
  <c r="BZ57" i="4" s="1"/>
  <c r="BY75" i="4"/>
  <c r="BZ75" i="4" s="1"/>
  <c r="BY92" i="4"/>
  <c r="BZ92" i="4" s="1"/>
  <c r="BY81" i="4"/>
  <c r="BZ81" i="4" s="1"/>
  <c r="BY122" i="4"/>
  <c r="BZ122" i="4" s="1"/>
  <c r="BY132" i="4"/>
  <c r="BZ132" i="4" s="1"/>
  <c r="BY32" i="4"/>
  <c r="BZ32" i="4" s="1"/>
  <c r="BY64" i="4"/>
  <c r="BZ64" i="4" s="1"/>
  <c r="BY114" i="4"/>
  <c r="BZ114" i="4" s="1"/>
  <c r="BY136" i="4"/>
  <c r="BZ136" i="4" s="1"/>
  <c r="BY130" i="4"/>
  <c r="BZ130" i="4" s="1"/>
  <c r="BY100" i="4"/>
  <c r="BZ100" i="4" s="1"/>
  <c r="BY106" i="4"/>
  <c r="BZ106" i="4" s="1"/>
  <c r="BY157" i="4"/>
  <c r="BZ157" i="4" s="1"/>
  <c r="BZ119" i="4"/>
  <c r="BZ97" i="4"/>
  <c r="BZ16" i="4"/>
  <c r="BY51" i="4"/>
  <c r="BZ51" i="4" s="1"/>
  <c r="BY82" i="4"/>
  <c r="BZ82" i="4" s="1"/>
  <c r="BY148" i="4"/>
  <c r="BZ148" i="4" s="1"/>
  <c r="BY21" i="4"/>
  <c r="BZ21" i="4" s="1"/>
  <c r="BY65" i="4"/>
  <c r="BZ65" i="4" s="1"/>
  <c r="BY116" i="4"/>
  <c r="BZ116" i="4" s="1"/>
  <c r="BY54" i="4"/>
  <c r="BY108" i="4"/>
  <c r="BZ108" i="4" s="1"/>
  <c r="BY156" i="4"/>
  <c r="BZ156" i="4" s="1"/>
  <c r="BY110" i="4"/>
  <c r="BZ110" i="4" s="1"/>
  <c r="BY149" i="4"/>
  <c r="BZ149" i="4" s="1"/>
  <c r="BY123" i="4"/>
  <c r="B229" i="2" l="1"/>
  <c r="B268" i="2"/>
  <c r="BY146" i="4"/>
  <c r="BZ146" i="4" s="1"/>
  <c r="BY142" i="4"/>
  <c r="BZ142" i="4" s="1"/>
  <c r="BY46" i="4"/>
  <c r="BZ46" i="4" s="1"/>
  <c r="BY47" i="4"/>
  <c r="BZ47" i="4" s="1"/>
  <c r="BY113" i="4"/>
  <c r="BZ113" i="4" s="1"/>
  <c r="BY140" i="4"/>
  <c r="BZ140" i="4" s="1"/>
  <c r="BY124" i="4"/>
  <c r="BZ124" i="4" s="1"/>
  <c r="BY143" i="4"/>
  <c r="BZ143" i="4" s="1"/>
  <c r="BY104" i="4"/>
  <c r="BZ104" i="4" s="1"/>
  <c r="BY118" i="4"/>
  <c r="BZ118" i="4" s="1"/>
  <c r="BZ123" i="4"/>
  <c r="BY145" i="4"/>
  <c r="BZ145" i="4" s="1"/>
  <c r="BZ54" i="4"/>
  <c r="BY24" i="4"/>
  <c r="BZ24" i="4" s="1"/>
  <c r="BY137" i="4"/>
  <c r="BZ137" i="4" s="1"/>
  <c r="B65" i="5" l="1"/>
  <c r="B269" i="2"/>
  <c r="F87" i="1" s="1"/>
  <c r="B271" i="2"/>
  <c r="F88" i="1" s="1"/>
  <c r="B65" i="10"/>
  <c r="E230" i="2"/>
  <c r="B230" i="2"/>
  <c r="B272" i="2" l="1"/>
  <c r="B231" i="2"/>
  <c r="B270" i="2"/>
  <c r="B67" i="5" l="1"/>
  <c r="B67" i="10"/>
  <c r="B66" i="5"/>
  <c r="B71" i="5"/>
  <c r="B72" i="5"/>
  <c r="B70" i="5"/>
  <c r="B72" i="10"/>
  <c r="B69" i="10"/>
  <c r="B66" i="10"/>
  <c r="B73" i="10"/>
  <c r="O13" i="10" s="1"/>
  <c r="B70" i="10"/>
  <c r="B71" i="10"/>
  <c r="AG13" i="10" l="1"/>
  <c r="AM13" i="10"/>
  <c r="AP13" i="10"/>
  <c r="T13" i="10"/>
  <c r="W13" i="10"/>
  <c r="Q13" i="10"/>
  <c r="Z13" i="10"/>
  <c r="AJ25" i="10"/>
  <c r="AJ57" i="10"/>
  <c r="AJ89" i="10"/>
  <c r="AJ121" i="10"/>
  <c r="AJ153" i="10"/>
  <c r="AJ185" i="10"/>
  <c r="AJ217" i="10"/>
  <c r="AJ249" i="10"/>
  <c r="AJ281" i="10"/>
  <c r="AJ313" i="10"/>
  <c r="AJ48" i="10"/>
  <c r="AJ80" i="10"/>
  <c r="AJ112" i="10"/>
  <c r="AJ144" i="10"/>
  <c r="AJ176" i="10"/>
  <c r="AJ208" i="10"/>
  <c r="AJ240" i="10"/>
  <c r="AJ272" i="10"/>
  <c r="AJ31" i="10"/>
  <c r="AJ95" i="10"/>
  <c r="AJ159" i="10"/>
  <c r="AJ223" i="10"/>
  <c r="AJ287" i="10"/>
  <c r="AJ329" i="10"/>
  <c r="AJ361" i="10"/>
  <c r="AJ393" i="10"/>
  <c r="AJ425" i="10"/>
  <c r="AJ457" i="10"/>
  <c r="AJ42" i="10"/>
  <c r="AJ126" i="10"/>
  <c r="AJ211" i="10"/>
  <c r="AJ298" i="10"/>
  <c r="AJ344" i="10"/>
  <c r="AJ387" i="10"/>
  <c r="AJ430" i="10"/>
  <c r="AJ472" i="10"/>
  <c r="AJ507" i="10"/>
  <c r="AJ539" i="10"/>
  <c r="AJ50" i="10"/>
  <c r="AJ134" i="10"/>
  <c r="AJ219" i="10"/>
  <c r="AJ303" i="10"/>
  <c r="AJ348" i="10"/>
  <c r="AJ391" i="10"/>
  <c r="AJ434" i="10"/>
  <c r="AJ476" i="10"/>
  <c r="AJ510" i="10"/>
  <c r="AJ542" i="10"/>
  <c r="AJ86" i="10"/>
  <c r="AJ258" i="10"/>
  <c r="AJ367" i="10"/>
  <c r="AJ452" i="10"/>
  <c r="AJ524" i="10"/>
  <c r="AJ99" i="10"/>
  <c r="AJ270" i="10"/>
  <c r="AJ374" i="10"/>
  <c r="AJ459" i="10"/>
  <c r="AJ529" i="10"/>
  <c r="AJ154" i="10"/>
  <c r="AJ400" i="10"/>
  <c r="AJ549" i="10"/>
  <c r="AJ319" i="10"/>
  <c r="AJ488" i="10"/>
  <c r="AJ182" i="10"/>
  <c r="AJ415" i="10"/>
  <c r="AJ560" i="10"/>
  <c r="AJ347" i="10"/>
  <c r="AJ90" i="10"/>
  <c r="AJ29" i="10"/>
  <c r="AJ61" i="10"/>
  <c r="AJ93" i="10"/>
  <c r="AJ125" i="10"/>
  <c r="AJ157" i="10"/>
  <c r="AJ189" i="10"/>
  <c r="AJ221" i="10"/>
  <c r="AJ253" i="10"/>
  <c r="AJ285" i="10"/>
  <c r="AJ20" i="10"/>
  <c r="AJ52" i="10"/>
  <c r="AJ84" i="10"/>
  <c r="AJ116" i="10"/>
  <c r="AJ148" i="10"/>
  <c r="AJ180" i="10"/>
  <c r="AJ212" i="10"/>
  <c r="AJ244" i="10"/>
  <c r="AJ276" i="10"/>
  <c r="AJ39" i="10"/>
  <c r="AJ103" i="10"/>
  <c r="AJ167" i="10"/>
  <c r="AJ231" i="10"/>
  <c r="AJ295" i="10"/>
  <c r="AJ333" i="10"/>
  <c r="AJ365" i="10"/>
  <c r="AJ397" i="10"/>
  <c r="AJ429" i="10"/>
  <c r="AJ461" i="10"/>
  <c r="AJ51" i="10"/>
  <c r="AJ138" i="10"/>
  <c r="AJ222" i="10"/>
  <c r="AJ304" i="10"/>
  <c r="AJ350" i="10"/>
  <c r="AJ392" i="10"/>
  <c r="AJ435" i="10"/>
  <c r="AJ478" i="10"/>
  <c r="AJ511" i="10"/>
  <c r="AJ543" i="10"/>
  <c r="AJ59" i="10"/>
  <c r="AJ146" i="10"/>
  <c r="AJ230" i="10"/>
  <c r="AJ310" i="10"/>
  <c r="AJ354" i="10"/>
  <c r="AJ396" i="10"/>
  <c r="AJ439" i="10"/>
  <c r="AJ482" i="10"/>
  <c r="AJ514" i="10"/>
  <c r="AJ546" i="10"/>
  <c r="AJ107" i="10"/>
  <c r="AJ278" i="10"/>
  <c r="AJ378" i="10"/>
  <c r="AJ463" i="10"/>
  <c r="AJ532" i="10"/>
  <c r="AJ122" i="10"/>
  <c r="AJ291" i="10"/>
  <c r="AJ384" i="10"/>
  <c r="AJ470" i="10"/>
  <c r="AJ537" i="10"/>
  <c r="AJ195" i="10"/>
  <c r="AJ422" i="10"/>
  <c r="AJ34" i="10"/>
  <c r="AJ340" i="10"/>
  <c r="AJ504" i="10"/>
  <c r="AJ226" i="10"/>
  <c r="AJ436" i="10"/>
  <c r="AJ174" i="10"/>
  <c r="AJ432" i="10"/>
  <c r="AJ525" i="10"/>
  <c r="AJ33" i="10"/>
  <c r="AJ65" i="10"/>
  <c r="AJ97" i="10"/>
  <c r="AJ129" i="10"/>
  <c r="AJ161" i="10"/>
  <c r="AJ193" i="10"/>
  <c r="AJ225" i="10"/>
  <c r="AJ257" i="10"/>
  <c r="AJ289" i="10"/>
  <c r="AJ24" i="10"/>
  <c r="AJ56" i="10"/>
  <c r="AJ88" i="10"/>
  <c r="AJ120" i="10"/>
  <c r="AJ152" i="10"/>
  <c r="AJ184" i="10"/>
  <c r="AJ216" i="10"/>
  <c r="AJ248" i="10"/>
  <c r="AJ280" i="10"/>
  <c r="AJ47" i="10"/>
  <c r="AJ111" i="10"/>
  <c r="AJ175" i="10"/>
  <c r="AJ239" i="10"/>
  <c r="AJ302" i="10"/>
  <c r="AJ337" i="10"/>
  <c r="AJ369" i="10"/>
  <c r="AJ401" i="10"/>
  <c r="AJ433" i="10"/>
  <c r="AJ465" i="10"/>
  <c r="AJ62" i="10"/>
  <c r="AJ147" i="10"/>
  <c r="AJ234" i="10"/>
  <c r="AJ311" i="10"/>
  <c r="AJ355" i="10"/>
  <c r="AJ398" i="10"/>
  <c r="AJ440" i="10"/>
  <c r="AJ483" i="10"/>
  <c r="AJ515" i="10"/>
  <c r="AJ547" i="10"/>
  <c r="AJ70" i="10"/>
  <c r="AJ155" i="10"/>
  <c r="AJ242" i="10"/>
  <c r="AJ316" i="10"/>
  <c r="AJ359" i="10"/>
  <c r="AJ402" i="10"/>
  <c r="AJ444" i="10"/>
  <c r="AJ486" i="10"/>
  <c r="AJ518" i="10"/>
  <c r="AJ550" i="10"/>
  <c r="AJ130" i="10"/>
  <c r="AJ299" i="10"/>
  <c r="AJ388" i="10"/>
  <c r="AJ474" i="10"/>
  <c r="AJ540" i="10"/>
  <c r="AJ142" i="10"/>
  <c r="AJ308" i="10"/>
  <c r="AJ395" i="10"/>
  <c r="AJ480" i="10"/>
  <c r="AJ545" i="10"/>
  <c r="AJ238" i="10"/>
  <c r="AJ443" i="10"/>
  <c r="AJ75" i="10"/>
  <c r="AJ362" i="10"/>
  <c r="AJ520" i="10"/>
  <c r="AJ267" i="10"/>
  <c r="AJ458" i="10"/>
  <c r="AJ326" i="10"/>
  <c r="AJ509" i="10"/>
  <c r="AJ259" i="10"/>
  <c r="AJ37" i="10"/>
  <c r="AJ69" i="10"/>
  <c r="AJ101" i="10"/>
  <c r="AJ133" i="10"/>
  <c r="AJ165" i="10"/>
  <c r="AJ197" i="10"/>
  <c r="AJ229" i="10"/>
  <c r="AJ261" i="10"/>
  <c r="AJ293" i="10"/>
  <c r="AJ28" i="10"/>
  <c r="AJ60" i="10"/>
  <c r="AJ92" i="10"/>
  <c r="AJ124" i="10"/>
  <c r="AJ156" i="10"/>
  <c r="AJ188" i="10"/>
  <c r="AJ220" i="10"/>
  <c r="AJ252" i="10"/>
  <c r="AJ284" i="10"/>
  <c r="AJ55" i="10"/>
  <c r="AJ119" i="10"/>
  <c r="AJ183" i="10"/>
  <c r="AJ247" i="10"/>
  <c r="AJ307" i="10"/>
  <c r="AJ341" i="10"/>
  <c r="AJ373" i="10"/>
  <c r="AJ405" i="10"/>
  <c r="AJ437" i="10"/>
  <c r="AJ469" i="10"/>
  <c r="AJ74" i="10"/>
  <c r="AJ158" i="10"/>
  <c r="AJ243" i="10"/>
  <c r="AJ318" i="10"/>
  <c r="AJ360" i="10"/>
  <c r="AJ403" i="10"/>
  <c r="AJ446" i="10"/>
  <c r="AJ487" i="10"/>
  <c r="AJ519" i="10"/>
  <c r="AJ551" i="10"/>
  <c r="AJ82" i="10"/>
  <c r="AJ166" i="10"/>
  <c r="AJ251" i="10"/>
  <c r="AJ322" i="10"/>
  <c r="AJ364" i="10"/>
  <c r="AJ407" i="10"/>
  <c r="AJ450" i="10"/>
  <c r="AJ490" i="10"/>
  <c r="AJ522" i="10"/>
  <c r="AJ554" i="10"/>
  <c r="AJ150" i="10"/>
  <c r="AJ314" i="10"/>
  <c r="AJ399" i="10"/>
  <c r="AJ484" i="10"/>
  <c r="AJ548" i="10"/>
  <c r="AJ163" i="10"/>
  <c r="AJ320" i="10"/>
  <c r="AJ406" i="10"/>
  <c r="AJ489" i="10"/>
  <c r="AJ553" i="10"/>
  <c r="AJ282" i="10"/>
  <c r="AJ464" i="10"/>
  <c r="AJ118" i="10"/>
  <c r="AJ383" i="10"/>
  <c r="AJ536" i="10"/>
  <c r="AJ306" i="10"/>
  <c r="AJ479" i="10"/>
  <c r="AJ411" i="10"/>
  <c r="AJ131" i="10"/>
  <c r="AJ454" i="10"/>
  <c r="AJ41" i="10"/>
  <c r="AJ73" i="10"/>
  <c r="AJ105" i="10"/>
  <c r="AJ137" i="10"/>
  <c r="AJ169" i="10"/>
  <c r="AJ201" i="10"/>
  <c r="AJ233" i="10"/>
  <c r="AJ265" i="10"/>
  <c r="AJ297" i="10"/>
  <c r="AJ32" i="10"/>
  <c r="AJ64" i="10"/>
  <c r="AJ96" i="10"/>
  <c r="AJ128" i="10"/>
  <c r="AJ160" i="10"/>
  <c r="AJ192" i="10"/>
  <c r="AJ224" i="10"/>
  <c r="AJ256" i="10"/>
  <c r="AJ288" i="10"/>
  <c r="AJ63" i="10"/>
  <c r="AJ127" i="10"/>
  <c r="AJ191" i="10"/>
  <c r="AJ255" i="10"/>
  <c r="AJ312" i="10"/>
  <c r="AJ345" i="10"/>
  <c r="AJ377" i="10"/>
  <c r="AJ409" i="10"/>
  <c r="AJ441" i="10"/>
  <c r="AJ473" i="10"/>
  <c r="AJ83" i="10"/>
  <c r="AJ170" i="10"/>
  <c r="AJ254" i="10"/>
  <c r="AJ323" i="10"/>
  <c r="AJ366" i="10"/>
  <c r="AJ408" i="10"/>
  <c r="AJ451" i="10"/>
  <c r="AJ491" i="10"/>
  <c r="AJ523" i="10"/>
  <c r="AJ555" i="10"/>
  <c r="AJ91" i="10"/>
  <c r="AJ178" i="10"/>
  <c r="AJ262" i="10"/>
  <c r="AJ327" i="10"/>
  <c r="AJ370" i="10"/>
  <c r="AJ412" i="10"/>
  <c r="AJ455" i="10"/>
  <c r="AJ494" i="10"/>
  <c r="AJ526" i="10"/>
  <c r="AJ558" i="10"/>
  <c r="AJ171" i="10"/>
  <c r="AJ324" i="10"/>
  <c r="AJ410" i="10"/>
  <c r="AJ492" i="10"/>
  <c r="AJ556" i="10"/>
  <c r="AJ186" i="10"/>
  <c r="AJ331" i="10"/>
  <c r="AJ416" i="10"/>
  <c r="AJ497" i="10"/>
  <c r="AJ19" i="10"/>
  <c r="AJ315" i="10"/>
  <c r="AJ485" i="10"/>
  <c r="AJ162" i="10"/>
  <c r="AJ404" i="10"/>
  <c r="AJ552" i="10"/>
  <c r="AJ330" i="10"/>
  <c r="AJ496" i="10"/>
  <c r="AJ493" i="10"/>
  <c r="AJ300" i="10"/>
  <c r="AJ368" i="10"/>
  <c r="AJ45" i="10"/>
  <c r="AJ77" i="10"/>
  <c r="AJ109" i="10"/>
  <c r="AJ141" i="10"/>
  <c r="AJ173" i="10"/>
  <c r="AJ205" i="10"/>
  <c r="AJ237" i="10"/>
  <c r="AJ269" i="10"/>
  <c r="AJ301" i="10"/>
  <c r="AJ36" i="10"/>
  <c r="AJ68" i="10"/>
  <c r="AJ100" i="10"/>
  <c r="AJ132" i="10"/>
  <c r="AJ164" i="10"/>
  <c r="AJ196" i="10"/>
  <c r="AJ228" i="10"/>
  <c r="AJ260" i="10"/>
  <c r="AJ292" i="10"/>
  <c r="AJ71" i="10"/>
  <c r="AJ135" i="10"/>
  <c r="AJ199" i="10"/>
  <c r="AJ263" i="10"/>
  <c r="AJ317" i="10"/>
  <c r="AJ349" i="10"/>
  <c r="AJ381" i="10"/>
  <c r="AJ413" i="10"/>
  <c r="AJ445" i="10"/>
  <c r="AJ477" i="10"/>
  <c r="AJ94" i="10"/>
  <c r="AJ179" i="10"/>
  <c r="AJ266" i="10"/>
  <c r="AJ328" i="10"/>
  <c r="AJ371" i="10"/>
  <c r="AJ414" i="10"/>
  <c r="AJ456" i="10"/>
  <c r="AJ495" i="10"/>
  <c r="AJ527" i="10"/>
  <c r="AJ559" i="10"/>
  <c r="AJ102" i="10"/>
  <c r="AJ187" i="10"/>
  <c r="AJ274" i="10"/>
  <c r="AJ332" i="10"/>
  <c r="AJ375" i="10"/>
  <c r="AJ418" i="10"/>
  <c r="AJ460" i="10"/>
  <c r="AJ498" i="10"/>
  <c r="AJ530" i="10"/>
  <c r="AJ22" i="10"/>
  <c r="AJ194" i="10"/>
  <c r="AJ335" i="10"/>
  <c r="AJ420" i="10"/>
  <c r="AJ500" i="10"/>
  <c r="AJ35" i="10"/>
  <c r="AJ206" i="10"/>
  <c r="AJ342" i="10"/>
  <c r="AJ427" i="10"/>
  <c r="AJ505" i="10"/>
  <c r="AJ26" i="10"/>
  <c r="AJ336" i="10"/>
  <c r="AJ501" i="10"/>
  <c r="AJ203" i="10"/>
  <c r="AJ426" i="10"/>
  <c r="AJ54" i="10"/>
  <c r="AJ351" i="10"/>
  <c r="AJ512" i="10"/>
  <c r="AJ557" i="10"/>
  <c r="AJ390" i="10"/>
  <c r="AJ49" i="10"/>
  <c r="AJ81" i="10"/>
  <c r="AJ113" i="10"/>
  <c r="AJ145" i="10"/>
  <c r="AJ177" i="10"/>
  <c r="AJ209" i="10"/>
  <c r="AJ241" i="10"/>
  <c r="AJ273" i="10"/>
  <c r="AJ305" i="10"/>
  <c r="AJ40" i="10"/>
  <c r="AJ72" i="10"/>
  <c r="AJ104" i="10"/>
  <c r="AJ136" i="10"/>
  <c r="AJ168" i="10"/>
  <c r="AJ200" i="10"/>
  <c r="AJ232" i="10"/>
  <c r="AJ264" i="10"/>
  <c r="AJ296" i="10"/>
  <c r="AJ79" i="10"/>
  <c r="AJ143" i="10"/>
  <c r="AJ207" i="10"/>
  <c r="AJ271" i="10"/>
  <c r="AJ321" i="10"/>
  <c r="AJ353" i="10"/>
  <c r="AJ385" i="10"/>
  <c r="AJ417" i="10"/>
  <c r="AJ449" i="10"/>
  <c r="AJ481" i="10"/>
  <c r="AJ106" i="10"/>
  <c r="AJ190" i="10"/>
  <c r="AJ275" i="10"/>
  <c r="AJ334" i="10"/>
  <c r="AJ376" i="10"/>
  <c r="AJ419" i="10"/>
  <c r="AJ462" i="10"/>
  <c r="AJ499" i="10"/>
  <c r="AJ531" i="10"/>
  <c r="AJ27" i="10"/>
  <c r="AJ114" i="10"/>
  <c r="AJ198" i="10"/>
  <c r="AJ283" i="10"/>
  <c r="AJ338" i="10"/>
  <c r="AJ380" i="10"/>
  <c r="AJ423" i="10"/>
  <c r="AJ466" i="10"/>
  <c r="AJ502" i="10"/>
  <c r="AJ534" i="10"/>
  <c r="AJ43" i="10"/>
  <c r="AJ214" i="10"/>
  <c r="AJ346" i="10"/>
  <c r="AJ431" i="10"/>
  <c r="AJ508" i="10"/>
  <c r="AJ58" i="10"/>
  <c r="AJ227" i="10"/>
  <c r="AJ352" i="10"/>
  <c r="AJ438" i="10"/>
  <c r="AJ513" i="10"/>
  <c r="AJ67" i="10"/>
  <c r="AJ358" i="10"/>
  <c r="AJ517" i="10"/>
  <c r="AJ246" i="10"/>
  <c r="AJ447" i="10"/>
  <c r="AJ98" i="10"/>
  <c r="AJ372" i="10"/>
  <c r="AJ528" i="10"/>
  <c r="AJ46" i="10"/>
  <c r="AJ475" i="10"/>
  <c r="AJ21" i="10"/>
  <c r="AJ53" i="10"/>
  <c r="AJ85" i="10"/>
  <c r="AJ117" i="10"/>
  <c r="AJ149" i="10"/>
  <c r="AJ181" i="10"/>
  <c r="AJ213" i="10"/>
  <c r="AJ245" i="10"/>
  <c r="AJ277" i="10"/>
  <c r="AJ309" i="10"/>
  <c r="AJ44" i="10"/>
  <c r="AJ76" i="10"/>
  <c r="AJ108" i="10"/>
  <c r="AJ140" i="10"/>
  <c r="AJ172" i="10"/>
  <c r="AJ204" i="10"/>
  <c r="AJ236" i="10"/>
  <c r="AJ268" i="10"/>
  <c r="AJ23" i="10"/>
  <c r="AJ87" i="10"/>
  <c r="AJ151" i="10"/>
  <c r="AJ215" i="10"/>
  <c r="AJ279" i="10"/>
  <c r="AJ325" i="10"/>
  <c r="AJ357" i="10"/>
  <c r="AJ389" i="10"/>
  <c r="AJ421" i="10"/>
  <c r="AJ453" i="10"/>
  <c r="AJ30" i="10"/>
  <c r="AJ115" i="10"/>
  <c r="AJ202" i="10"/>
  <c r="AJ286" i="10"/>
  <c r="AJ339" i="10"/>
  <c r="AJ382" i="10"/>
  <c r="AJ424" i="10"/>
  <c r="AJ467" i="10"/>
  <c r="AJ503" i="10"/>
  <c r="AJ535" i="10"/>
  <c r="AJ38" i="10"/>
  <c r="AJ123" i="10"/>
  <c r="AJ210" i="10"/>
  <c r="AJ294" i="10"/>
  <c r="AJ343" i="10"/>
  <c r="AJ386" i="10"/>
  <c r="AJ428" i="10"/>
  <c r="AJ471" i="10"/>
  <c r="AJ506" i="10"/>
  <c r="AJ538" i="10"/>
  <c r="AJ66" i="10"/>
  <c r="AJ235" i="10"/>
  <c r="AJ356" i="10"/>
  <c r="AJ442" i="10"/>
  <c r="AJ516" i="10"/>
  <c r="AJ78" i="10"/>
  <c r="AJ250" i="10"/>
  <c r="AJ363" i="10"/>
  <c r="AJ448" i="10"/>
  <c r="AJ521" i="10"/>
  <c r="AJ110" i="10"/>
  <c r="AJ379" i="10"/>
  <c r="AJ533" i="10"/>
  <c r="AJ290" i="10"/>
  <c r="AJ468" i="10"/>
  <c r="AJ139" i="10"/>
  <c r="AJ394" i="10"/>
  <c r="AJ544" i="10"/>
  <c r="AJ218" i="10"/>
  <c r="AJ541" i="10"/>
  <c r="AJ8" i="10"/>
  <c r="AJ7" i="10"/>
  <c r="AJ13" i="10"/>
  <c r="AJ10" i="10"/>
  <c r="AJ9" i="10"/>
  <c r="AJ11" i="10"/>
  <c r="AF8" i="10"/>
  <c r="AF19" i="10"/>
  <c r="AF13" i="10"/>
  <c r="AF7" i="10"/>
  <c r="AF11" i="10"/>
  <c r="AF12" i="10"/>
  <c r="AF10" i="10"/>
  <c r="AF9" i="10"/>
  <c r="AF558" i="10"/>
  <c r="AF547" i="10"/>
  <c r="AF542" i="10"/>
  <c r="AF528" i="10"/>
  <c r="AF526" i="10"/>
  <c r="AF495" i="10"/>
  <c r="AF525" i="10"/>
  <c r="AF508" i="10"/>
  <c r="AF492" i="10"/>
  <c r="AF461" i="10"/>
  <c r="AF490" i="10"/>
  <c r="AF463" i="10"/>
  <c r="AF466" i="10"/>
  <c r="AF482" i="10"/>
  <c r="AF432" i="10"/>
  <c r="AF413" i="10"/>
  <c r="AF381" i="10"/>
  <c r="AF554" i="10"/>
  <c r="AF557" i="10"/>
  <c r="AF535" i="10"/>
  <c r="AF524" i="10"/>
  <c r="AF522" i="10"/>
  <c r="AF523" i="10"/>
  <c r="AF513" i="10"/>
  <c r="AF505" i="10"/>
  <c r="AF488" i="10"/>
  <c r="AF457" i="10"/>
  <c r="AF486" i="10"/>
  <c r="AF459" i="10"/>
  <c r="AF462" i="10"/>
  <c r="AF478" i="10"/>
  <c r="AF438" i="10"/>
  <c r="AF409" i="10"/>
  <c r="AF377" i="10"/>
  <c r="AF556" i="10"/>
  <c r="AF546" i="10"/>
  <c r="AF549" i="10"/>
  <c r="AF516" i="10"/>
  <c r="AF518" i="10"/>
  <c r="AF517" i="10"/>
  <c r="AF500" i="10"/>
  <c r="AF498" i="10"/>
  <c r="AF481" i="10"/>
  <c r="AF480" i="10"/>
  <c r="AF479" i="10"/>
  <c r="AF450" i="10"/>
  <c r="AF454" i="10"/>
  <c r="AF452" i="10"/>
  <c r="AF431" i="10"/>
  <c r="AF401" i="10"/>
  <c r="AF369" i="10"/>
  <c r="AF548" i="10"/>
  <c r="AF543" i="10"/>
  <c r="AF545" i="10"/>
  <c r="AF537" i="10"/>
  <c r="AF511" i="10"/>
  <c r="AF514" i="10"/>
  <c r="AF496" i="10"/>
  <c r="AF494" i="10"/>
  <c r="AF477" i="10"/>
  <c r="AF476" i="10"/>
  <c r="AF475" i="10"/>
  <c r="AF446" i="10"/>
  <c r="AF453" i="10"/>
  <c r="AF448" i="10"/>
  <c r="AF429" i="10"/>
  <c r="AF397" i="10"/>
  <c r="AF559" i="10"/>
  <c r="AF544" i="10"/>
  <c r="AF539" i="10"/>
  <c r="AF541" i="10"/>
  <c r="AF527" i="10"/>
  <c r="AF507" i="10"/>
  <c r="AF510" i="10"/>
  <c r="AF519" i="10"/>
  <c r="AF491" i="10"/>
  <c r="AF473" i="10"/>
  <c r="AF472" i="10"/>
  <c r="AF471" i="10"/>
  <c r="AF442" i="10"/>
  <c r="AF449" i="10"/>
  <c r="AF444" i="10"/>
  <c r="AF425" i="10"/>
  <c r="AF393" i="10"/>
  <c r="AF551" i="10"/>
  <c r="AF553" i="10"/>
  <c r="AF532" i="10"/>
  <c r="AF534" i="10"/>
  <c r="AF530" i="10"/>
  <c r="AF499" i="10"/>
  <c r="AF529" i="10"/>
  <c r="AF512" i="10"/>
  <c r="AF493" i="10"/>
  <c r="AF465" i="10"/>
  <c r="AF497" i="10"/>
  <c r="AF467" i="10"/>
  <c r="AF470" i="10"/>
  <c r="AF441" i="10"/>
  <c r="AF436" i="10"/>
  <c r="AF417" i="10"/>
  <c r="AF385" i="10"/>
  <c r="AF540" i="10"/>
  <c r="AF503" i="10"/>
  <c r="AF469" i="10"/>
  <c r="AF445" i="10"/>
  <c r="AF365" i="10"/>
  <c r="AF443" i="10"/>
  <c r="AF411" i="10"/>
  <c r="AF426" i="10"/>
  <c r="AF394" i="10"/>
  <c r="AF408" i="10"/>
  <c r="AF362" i="10"/>
  <c r="AF330" i="10"/>
  <c r="AF298" i="10"/>
  <c r="AF266" i="10"/>
  <c r="AF374" i="10"/>
  <c r="AF333" i="10"/>
  <c r="AF356" i="10"/>
  <c r="AF324" i="10"/>
  <c r="AF371" i="10"/>
  <c r="AF331" i="10"/>
  <c r="AF301" i="10"/>
  <c r="AF269" i="10"/>
  <c r="AF238" i="10"/>
  <c r="AF206" i="10"/>
  <c r="AF174" i="10"/>
  <c r="AF228" i="10"/>
  <c r="AF196" i="10"/>
  <c r="AF303" i="10"/>
  <c r="AF271" i="10"/>
  <c r="AF237" i="10"/>
  <c r="AF207" i="10"/>
  <c r="AF176" i="10"/>
  <c r="AF144" i="10"/>
  <c r="AF112" i="10"/>
  <c r="AF80" i="10"/>
  <c r="AF284" i="10"/>
  <c r="AF252" i="10"/>
  <c r="AF167" i="10"/>
  <c r="AF135" i="10"/>
  <c r="AF103" i="10"/>
  <c r="AF215" i="10"/>
  <c r="AF150" i="10"/>
  <c r="AF118" i="10"/>
  <c r="AF86" i="10"/>
  <c r="AF185" i="10"/>
  <c r="AF91" i="10"/>
  <c r="AF60" i="10"/>
  <c r="AF23" i="10"/>
  <c r="AF32" i="10"/>
  <c r="AF145" i="10"/>
  <c r="AF113" i="10"/>
  <c r="AF45" i="10"/>
  <c r="AF97" i="10"/>
  <c r="AF64" i="10"/>
  <c r="AF51" i="10"/>
  <c r="AF552" i="10"/>
  <c r="AF521" i="10"/>
  <c r="AF484" i="10"/>
  <c r="AF474" i="10"/>
  <c r="AF361" i="10"/>
  <c r="AF439" i="10"/>
  <c r="AF407" i="10"/>
  <c r="AF422" i="10"/>
  <c r="AF390" i="10"/>
  <c r="AF404" i="10"/>
  <c r="AF358" i="10"/>
  <c r="AF326" i="10"/>
  <c r="AF294" i="10"/>
  <c r="AF262" i="10"/>
  <c r="AF370" i="10"/>
  <c r="AF329" i="10"/>
  <c r="AF352" i="10"/>
  <c r="AF320" i="10"/>
  <c r="AF359" i="10"/>
  <c r="AF327" i="10"/>
  <c r="AF297" i="10"/>
  <c r="AF265" i="10"/>
  <c r="AF234" i="10"/>
  <c r="AF202" i="10"/>
  <c r="AF170" i="10"/>
  <c r="AF224" i="10"/>
  <c r="AF380" i="10"/>
  <c r="AF299" i="10"/>
  <c r="AF267" i="10"/>
  <c r="AF233" i="10"/>
  <c r="AF203" i="10"/>
  <c r="AF172" i="10"/>
  <c r="AF140" i="10"/>
  <c r="AF108" i="10"/>
  <c r="AF76" i="10"/>
  <c r="AF280" i="10"/>
  <c r="AF248" i="10"/>
  <c r="AF163" i="10"/>
  <c r="AF131" i="10"/>
  <c r="AF243" i="10"/>
  <c r="AF211" i="10"/>
  <c r="AF146" i="10"/>
  <c r="AF114" i="10"/>
  <c r="AF82" i="10"/>
  <c r="AF181" i="10"/>
  <c r="AF87" i="10"/>
  <c r="AF58" i="10"/>
  <c r="AF38" i="10"/>
  <c r="AF61" i="10"/>
  <c r="AF141" i="10"/>
  <c r="AF109" i="10"/>
  <c r="AF28" i="10"/>
  <c r="AF93" i="10"/>
  <c r="AF62" i="10"/>
  <c r="AF36" i="10"/>
  <c r="AF536" i="10"/>
  <c r="AF506" i="10"/>
  <c r="AF501" i="10"/>
  <c r="AF440" i="10"/>
  <c r="AF468" i="10"/>
  <c r="AF437" i="10"/>
  <c r="AF403" i="10"/>
  <c r="AF418" i="10"/>
  <c r="AF434" i="10"/>
  <c r="AF400" i="10"/>
  <c r="AF354" i="10"/>
  <c r="AF322" i="10"/>
  <c r="AF290" i="10"/>
  <c r="AF258" i="10"/>
  <c r="AF357" i="10"/>
  <c r="AF325" i="10"/>
  <c r="AF348" i="10"/>
  <c r="AF316" i="10"/>
  <c r="AF355" i="10"/>
  <c r="AF323" i="10"/>
  <c r="AF293" i="10"/>
  <c r="AF261" i="10"/>
  <c r="AF230" i="10"/>
  <c r="AF198" i="10"/>
  <c r="AF166" i="10"/>
  <c r="AF220" i="10"/>
  <c r="AF372" i="10"/>
  <c r="AF295" i="10"/>
  <c r="AF263" i="10"/>
  <c r="AF229" i="10"/>
  <c r="AF199" i="10"/>
  <c r="AF168" i="10"/>
  <c r="AF136" i="10"/>
  <c r="AF104" i="10"/>
  <c r="AF72" i="10"/>
  <c r="AF276" i="10"/>
  <c r="AF191" i="10"/>
  <c r="AF159" i="10"/>
  <c r="AF127" i="10"/>
  <c r="AF239" i="10"/>
  <c r="AF205" i="10"/>
  <c r="AF142" i="10"/>
  <c r="AF110" i="10"/>
  <c r="AF78" i="10"/>
  <c r="AF177" i="10"/>
  <c r="AF83" i="10"/>
  <c r="AF48" i="10"/>
  <c r="AF35" i="10"/>
  <c r="AF46" i="10"/>
  <c r="AF137" i="10"/>
  <c r="AF105" i="10"/>
  <c r="AF40" i="10"/>
  <c r="AF89" i="10"/>
  <c r="AF56" i="10"/>
  <c r="AF29" i="10"/>
  <c r="AF550" i="10"/>
  <c r="AF509" i="10"/>
  <c r="AF483" i="10"/>
  <c r="AF435" i="10"/>
  <c r="AF464" i="10"/>
  <c r="AF433" i="10"/>
  <c r="AF399" i="10"/>
  <c r="AF414" i="10"/>
  <c r="AF428" i="10"/>
  <c r="AF396" i="10"/>
  <c r="AF350" i="10"/>
  <c r="AF318" i="10"/>
  <c r="AF286" i="10"/>
  <c r="AF254" i="10"/>
  <c r="AF353" i="10"/>
  <c r="AF321" i="10"/>
  <c r="AF344" i="10"/>
  <c r="AF312" i="10"/>
  <c r="AF351" i="10"/>
  <c r="AF319" i="10"/>
  <c r="AF289" i="10"/>
  <c r="AF257" i="10"/>
  <c r="AF226" i="10"/>
  <c r="AF194" i="10"/>
  <c r="AF304" i="10"/>
  <c r="AF216" i="10"/>
  <c r="AF368" i="10"/>
  <c r="AF291" i="10"/>
  <c r="AF259" i="10"/>
  <c r="AF225" i="10"/>
  <c r="AF195" i="10"/>
  <c r="AF164" i="10"/>
  <c r="AF132" i="10"/>
  <c r="AF100" i="10"/>
  <c r="AF70" i="10"/>
  <c r="AF272" i="10"/>
  <c r="AF187" i="10"/>
  <c r="AF155" i="10"/>
  <c r="AF123" i="10"/>
  <c r="AF235" i="10"/>
  <c r="AF201" i="10"/>
  <c r="AF138" i="10"/>
  <c r="AF106" i="10"/>
  <c r="AF74" i="10"/>
  <c r="AF173" i="10"/>
  <c r="AF79" i="10"/>
  <c r="AF43" i="10"/>
  <c r="AF25" i="10"/>
  <c r="AF376" i="10"/>
  <c r="AF133" i="10"/>
  <c r="AF101" i="10"/>
  <c r="AF30" i="10"/>
  <c r="AF85" i="10"/>
  <c r="AF49" i="10"/>
  <c r="AF26" i="10"/>
  <c r="AF538" i="10"/>
  <c r="AF515" i="10"/>
  <c r="AF504" i="10"/>
  <c r="AF421" i="10"/>
  <c r="AF460" i="10"/>
  <c r="AF427" i="10"/>
  <c r="AF395" i="10"/>
  <c r="AF410" i="10"/>
  <c r="AF424" i="10"/>
  <c r="AF392" i="10"/>
  <c r="AF346" i="10"/>
  <c r="AF314" i="10"/>
  <c r="AF282" i="10"/>
  <c r="AF250" i="10"/>
  <c r="AF349" i="10"/>
  <c r="AF317" i="10"/>
  <c r="AF340" i="10"/>
  <c r="AF308" i="10"/>
  <c r="AF347" i="10"/>
  <c r="AF315" i="10"/>
  <c r="AF285" i="10"/>
  <c r="AF253" i="10"/>
  <c r="AF222" i="10"/>
  <c r="AF190" i="10"/>
  <c r="AF244" i="10"/>
  <c r="AF212" i="10"/>
  <c r="AF367" i="10"/>
  <c r="AF287" i="10"/>
  <c r="AF255" i="10"/>
  <c r="AF221" i="10"/>
  <c r="AF192" i="10"/>
  <c r="AF160" i="10"/>
  <c r="AF128" i="10"/>
  <c r="AF96" i="10"/>
  <c r="AF68" i="10"/>
  <c r="AF268" i="10"/>
  <c r="AF183" i="10"/>
  <c r="AF151" i="10"/>
  <c r="AF119" i="10"/>
  <c r="AF231" i="10"/>
  <c r="AF197" i="10"/>
  <c r="AF134" i="10"/>
  <c r="AF102" i="10"/>
  <c r="AF71" i="10"/>
  <c r="AF169" i="10"/>
  <c r="AF75" i="10"/>
  <c r="AF41" i="10"/>
  <c r="AF22" i="10"/>
  <c r="AF161" i="10"/>
  <c r="AF129" i="10"/>
  <c r="AF57" i="10"/>
  <c r="AF59" i="10"/>
  <c r="AF81" i="10"/>
  <c r="AF47" i="10"/>
  <c r="AF24" i="10"/>
  <c r="AF520" i="10"/>
  <c r="AF502" i="10"/>
  <c r="AF455" i="10"/>
  <c r="AF405" i="10"/>
  <c r="AF456" i="10"/>
  <c r="AF423" i="10"/>
  <c r="AF391" i="10"/>
  <c r="AF406" i="10"/>
  <c r="AF420" i="10"/>
  <c r="AF388" i="10"/>
  <c r="AF342" i="10"/>
  <c r="AF310" i="10"/>
  <c r="AF278" i="10"/>
  <c r="AF246" i="10"/>
  <c r="AF345" i="10"/>
  <c r="AF313" i="10"/>
  <c r="AF336" i="10"/>
  <c r="AF383" i="10"/>
  <c r="AF343" i="10"/>
  <c r="AF311" i="10"/>
  <c r="AF281" i="10"/>
  <c r="AF249" i="10"/>
  <c r="AF218" i="10"/>
  <c r="AF186" i="10"/>
  <c r="AF240" i="10"/>
  <c r="AF208" i="10"/>
  <c r="AF364" i="10"/>
  <c r="AF283" i="10"/>
  <c r="AF251" i="10"/>
  <c r="AF217" i="10"/>
  <c r="AF188" i="10"/>
  <c r="AF156" i="10"/>
  <c r="AF124" i="10"/>
  <c r="AF92" i="10"/>
  <c r="AF296" i="10"/>
  <c r="AF264" i="10"/>
  <c r="AF179" i="10"/>
  <c r="AF147" i="10"/>
  <c r="AF115" i="10"/>
  <c r="AF227" i="10"/>
  <c r="AF162" i="10"/>
  <c r="AF130" i="10"/>
  <c r="AF98" i="10"/>
  <c r="AF69" i="10"/>
  <c r="AF165" i="10"/>
  <c r="AF67" i="10"/>
  <c r="AF39" i="10"/>
  <c r="AF42" i="10"/>
  <c r="AF157" i="10"/>
  <c r="AF125" i="10"/>
  <c r="AF54" i="10"/>
  <c r="AF53" i="10"/>
  <c r="AF77" i="10"/>
  <c r="AF27" i="10"/>
  <c r="AF20" i="10"/>
  <c r="AF555" i="10"/>
  <c r="AF531" i="10"/>
  <c r="AF487" i="10"/>
  <c r="AF489" i="10"/>
  <c r="AF389" i="10"/>
  <c r="AF451" i="10"/>
  <c r="AF419" i="10"/>
  <c r="AF387" i="10"/>
  <c r="AF402" i="10"/>
  <c r="AF416" i="10"/>
  <c r="AF386" i="10"/>
  <c r="AF338" i="10"/>
  <c r="AF306" i="10"/>
  <c r="AF274" i="10"/>
  <c r="AF382" i="10"/>
  <c r="AF341" i="10"/>
  <c r="AF309" i="10"/>
  <c r="AF332" i="10"/>
  <c r="AF379" i="10"/>
  <c r="AF339" i="10"/>
  <c r="AF307" i="10"/>
  <c r="AF277" i="10"/>
  <c r="AF245" i="10"/>
  <c r="AF214" i="10"/>
  <c r="AF182" i="10"/>
  <c r="AF236" i="10"/>
  <c r="AF204" i="10"/>
  <c r="AF363" i="10"/>
  <c r="AF279" i="10"/>
  <c r="AF247" i="10"/>
  <c r="AF213" i="10"/>
  <c r="AF184" i="10"/>
  <c r="AF152" i="10"/>
  <c r="AF120" i="10"/>
  <c r="AF88" i="10"/>
  <c r="AF292" i="10"/>
  <c r="AF260" i="10"/>
  <c r="AF175" i="10"/>
  <c r="AF143" i="10"/>
  <c r="AF111" i="10"/>
  <c r="AF223" i="10"/>
  <c r="AF158" i="10"/>
  <c r="AF126" i="10"/>
  <c r="AF94" i="10"/>
  <c r="AF193" i="10"/>
  <c r="AF99" i="10"/>
  <c r="AF65" i="10"/>
  <c r="AF33" i="10"/>
  <c r="AF37" i="10"/>
  <c r="AF153" i="10"/>
  <c r="AF121" i="10"/>
  <c r="AF52" i="10"/>
  <c r="AF44" i="10"/>
  <c r="AF73" i="10"/>
  <c r="AF21" i="10"/>
  <c r="AF447" i="10"/>
  <c r="AF270" i="10"/>
  <c r="AF273" i="10"/>
  <c r="AF241" i="10"/>
  <c r="AF171" i="10"/>
  <c r="AF95" i="10"/>
  <c r="AF66" i="10"/>
  <c r="AF189" i="10"/>
  <c r="AF415" i="10"/>
  <c r="AF378" i="10"/>
  <c r="AF242" i="10"/>
  <c r="AF209" i="10"/>
  <c r="AF139" i="10"/>
  <c r="AF63" i="10"/>
  <c r="AF55" i="10"/>
  <c r="AF305" i="10"/>
  <c r="AF300" i="10"/>
  <c r="AF430" i="10"/>
  <c r="AF337" i="10"/>
  <c r="AF210" i="10"/>
  <c r="AF180" i="10"/>
  <c r="AF107" i="10"/>
  <c r="AF31" i="10"/>
  <c r="AF275" i="10"/>
  <c r="AF560" i="10"/>
  <c r="AF398" i="10"/>
  <c r="AF384" i="10"/>
  <c r="AF178" i="10"/>
  <c r="AF148" i="10"/>
  <c r="AF219" i="10"/>
  <c r="AF34" i="10"/>
  <c r="AF256" i="10"/>
  <c r="AF533" i="10"/>
  <c r="AF412" i="10"/>
  <c r="AF328" i="10"/>
  <c r="AF232" i="10"/>
  <c r="AF116" i="10"/>
  <c r="AF154" i="10"/>
  <c r="AF149" i="10"/>
  <c r="AF373" i="10"/>
  <c r="AF485" i="10"/>
  <c r="AF366" i="10"/>
  <c r="AF375" i="10"/>
  <c r="AF200" i="10"/>
  <c r="AF84" i="10"/>
  <c r="AF122" i="10"/>
  <c r="AF117" i="10"/>
  <c r="AF458" i="10"/>
  <c r="AF334" i="10"/>
  <c r="AF335" i="10"/>
  <c r="AF360" i="10"/>
  <c r="AF288" i="10"/>
  <c r="AF90" i="10"/>
  <c r="AF50" i="10"/>
  <c r="AF302" i="10"/>
  <c r="AJ7" i="5"/>
  <c r="AJ8" i="5"/>
  <c r="AJ37" i="5"/>
  <c r="AJ41" i="5"/>
  <c r="AJ39" i="5"/>
  <c r="AJ53" i="5"/>
  <c r="AJ49" i="5"/>
  <c r="AJ75" i="5"/>
  <c r="AJ73" i="5"/>
  <c r="AJ82" i="5"/>
  <c r="AJ104" i="5"/>
  <c r="AJ98" i="5"/>
  <c r="AJ117" i="5"/>
  <c r="AJ146" i="5"/>
  <c r="AJ122" i="5"/>
  <c r="AJ145" i="5"/>
  <c r="AJ108" i="5"/>
  <c r="AJ140" i="5"/>
  <c r="AJ139" i="5"/>
  <c r="AJ185" i="5"/>
  <c r="AJ137" i="5"/>
  <c r="AJ196" i="5"/>
  <c r="AJ162" i="5"/>
  <c r="AJ219" i="5"/>
  <c r="AJ244" i="5"/>
  <c r="AJ237" i="5"/>
  <c r="AJ192" i="5"/>
  <c r="AJ220" i="5"/>
  <c r="AJ208" i="5"/>
  <c r="AJ262" i="5"/>
  <c r="AJ302" i="5"/>
  <c r="AJ331" i="5"/>
  <c r="AJ255" i="5"/>
  <c r="AJ287" i="5"/>
  <c r="AJ315" i="5"/>
  <c r="AJ245" i="5"/>
  <c r="AJ276" i="5"/>
  <c r="AJ304" i="5"/>
  <c r="AJ334" i="5"/>
  <c r="AJ296" i="5"/>
  <c r="AJ350" i="5"/>
  <c r="AJ377" i="5"/>
  <c r="AJ408" i="5"/>
  <c r="AJ434" i="5"/>
  <c r="AJ348" i="5"/>
  <c r="AJ388" i="5"/>
  <c r="AJ259" i="5"/>
  <c r="AJ372" i="5"/>
  <c r="AJ397" i="5"/>
  <c r="AJ352" i="5"/>
  <c r="AJ453" i="5"/>
  <c r="AJ480" i="5"/>
  <c r="AJ511" i="5"/>
  <c r="AJ373" i="5"/>
  <c r="AJ450" i="5"/>
  <c r="AJ481" i="5"/>
  <c r="AJ503" i="5"/>
  <c r="AJ266" i="5"/>
  <c r="AJ414" i="5"/>
  <c r="AJ437" i="5"/>
  <c r="AJ472" i="5"/>
  <c r="AJ526" i="5"/>
  <c r="AJ544" i="5"/>
  <c r="AJ404" i="5"/>
  <c r="AJ559" i="5"/>
  <c r="AJ530" i="5"/>
  <c r="AJ560" i="5"/>
  <c r="AJ498" i="5"/>
  <c r="AJ474" i="5"/>
  <c r="AJ19" i="5"/>
  <c r="AJ47" i="5"/>
  <c r="AJ112" i="5"/>
  <c r="AJ113" i="5"/>
  <c r="AJ234" i="5"/>
  <c r="AJ43" i="5"/>
  <c r="AJ44" i="5"/>
  <c r="AJ42" i="5"/>
  <c r="AJ55" i="5"/>
  <c r="AJ50" i="5"/>
  <c r="AJ79" i="5"/>
  <c r="AJ74" i="5"/>
  <c r="AJ78" i="5"/>
  <c r="AJ109" i="5"/>
  <c r="AJ100" i="5"/>
  <c r="AJ118" i="5"/>
  <c r="AJ149" i="5"/>
  <c r="AJ127" i="5"/>
  <c r="AJ153" i="5"/>
  <c r="AJ110" i="5"/>
  <c r="AJ144" i="5"/>
  <c r="AJ159" i="5"/>
  <c r="AJ186" i="5"/>
  <c r="AJ165" i="5"/>
  <c r="AJ200" i="5"/>
  <c r="AJ194" i="5"/>
  <c r="AJ222" i="5"/>
  <c r="AJ167" i="5"/>
  <c r="AJ239" i="5"/>
  <c r="AJ193" i="5"/>
  <c r="AJ223" i="5"/>
  <c r="AJ211" i="5"/>
  <c r="AJ269" i="5"/>
  <c r="AJ305" i="5"/>
  <c r="AJ177" i="5"/>
  <c r="AJ257" i="5"/>
  <c r="AJ293" i="5"/>
  <c r="AJ320" i="5"/>
  <c r="AJ250" i="5"/>
  <c r="AJ277" i="5"/>
  <c r="AJ308" i="5"/>
  <c r="AJ340" i="5"/>
  <c r="AJ307" i="5"/>
  <c r="AJ356" i="5"/>
  <c r="AJ379" i="5"/>
  <c r="AJ412" i="5"/>
  <c r="AJ439" i="5"/>
  <c r="AJ349" i="5"/>
  <c r="AJ394" i="5"/>
  <c r="AJ264" i="5"/>
  <c r="AJ376" i="5"/>
  <c r="AJ401" i="5"/>
  <c r="AJ385" i="5"/>
  <c r="AJ461" i="5"/>
  <c r="AJ482" i="5"/>
  <c r="AJ512" i="5"/>
  <c r="AJ418" i="5"/>
  <c r="AJ451" i="5"/>
  <c r="AJ487" i="5"/>
  <c r="AJ508" i="5"/>
  <c r="AJ335" i="5"/>
  <c r="AJ417" i="5"/>
  <c r="AJ442" i="5"/>
  <c r="AJ483" i="5"/>
  <c r="AJ527" i="5"/>
  <c r="AJ547" i="5"/>
  <c r="AJ423" i="5"/>
  <c r="AJ556" i="5"/>
  <c r="AJ535" i="5"/>
  <c r="AJ383" i="5"/>
  <c r="AJ504" i="5"/>
  <c r="AJ497" i="5"/>
  <c r="AJ71" i="5"/>
  <c r="AJ116" i="5"/>
  <c r="AJ119" i="5"/>
  <c r="AJ218" i="5"/>
  <c r="AJ254" i="5"/>
  <c r="AJ333" i="5"/>
  <c r="AJ342" i="5"/>
  <c r="AJ446" i="5"/>
  <c r="AJ502" i="5"/>
  <c r="AJ291" i="5"/>
  <c r="AJ553" i="5"/>
  <c r="AJ48" i="5"/>
  <c r="AJ46" i="5"/>
  <c r="AJ45" i="5"/>
  <c r="AJ59" i="5"/>
  <c r="AJ54" i="5"/>
  <c r="AJ40" i="5"/>
  <c r="AJ83" i="5"/>
  <c r="AJ81" i="5"/>
  <c r="AJ84" i="5"/>
  <c r="AJ107" i="5"/>
  <c r="AJ120" i="5"/>
  <c r="AJ152" i="5"/>
  <c r="AJ130" i="5"/>
  <c r="AJ157" i="5"/>
  <c r="AJ114" i="5"/>
  <c r="AJ147" i="5"/>
  <c r="AJ164" i="5"/>
  <c r="AJ156" i="5"/>
  <c r="AJ170" i="5"/>
  <c r="AJ205" i="5"/>
  <c r="AJ195" i="5"/>
  <c r="AJ226" i="5"/>
  <c r="AJ197" i="5"/>
  <c r="AJ169" i="5"/>
  <c r="AJ198" i="5"/>
  <c r="AJ224" i="5"/>
  <c r="AJ233" i="5"/>
  <c r="AJ272" i="5"/>
  <c r="AJ310" i="5"/>
  <c r="AJ225" i="5"/>
  <c r="AJ263" i="5"/>
  <c r="AJ295" i="5"/>
  <c r="AJ322" i="5"/>
  <c r="AJ252" i="5"/>
  <c r="AJ282" i="5"/>
  <c r="AJ311" i="5"/>
  <c r="AJ347" i="5"/>
  <c r="AJ313" i="5"/>
  <c r="AJ357" i="5"/>
  <c r="AJ380" i="5"/>
  <c r="AJ413" i="5"/>
  <c r="AJ271" i="5"/>
  <c r="AJ354" i="5"/>
  <c r="AJ395" i="5"/>
  <c r="AJ300" i="5"/>
  <c r="AJ381" i="5"/>
  <c r="AJ403" i="5"/>
  <c r="AJ428" i="5"/>
  <c r="AJ465" i="5"/>
  <c r="AJ484" i="5"/>
  <c r="AJ519" i="5"/>
  <c r="AJ431" i="5"/>
  <c r="AJ454" i="5"/>
  <c r="AJ488" i="5"/>
  <c r="AJ509" i="5"/>
  <c r="AJ339" i="5"/>
  <c r="AJ421" i="5"/>
  <c r="AJ445" i="5"/>
  <c r="AJ485" i="5"/>
  <c r="AJ533" i="5"/>
  <c r="AJ552" i="5"/>
  <c r="AJ452" i="5"/>
  <c r="AJ369" i="5"/>
  <c r="AJ539" i="5"/>
  <c r="AJ447" i="5"/>
  <c r="AJ515" i="5"/>
  <c r="AJ507" i="5"/>
  <c r="AJ51" i="5"/>
  <c r="AJ138" i="5"/>
  <c r="AJ180" i="5"/>
  <c r="AJ189" i="5"/>
  <c r="AJ330" i="5"/>
  <c r="AJ299" i="5"/>
  <c r="AJ432" i="5"/>
  <c r="AJ338" i="5"/>
  <c r="AJ473" i="5"/>
  <c r="AJ464" i="5"/>
  <c r="AJ548" i="5"/>
  <c r="AJ22" i="5"/>
  <c r="AJ20" i="5"/>
  <c r="AJ21" i="5"/>
  <c r="AJ52" i="5"/>
  <c r="AJ61" i="5"/>
  <c r="AJ56" i="5"/>
  <c r="AJ60" i="5"/>
  <c r="AJ88" i="5"/>
  <c r="AJ85" i="5"/>
  <c r="AJ89" i="5"/>
  <c r="AJ97" i="5"/>
  <c r="AJ125" i="5"/>
  <c r="AJ158" i="5"/>
  <c r="AJ132" i="5"/>
  <c r="AJ64" i="5"/>
  <c r="AJ121" i="5"/>
  <c r="AJ150" i="5"/>
  <c r="AJ166" i="5"/>
  <c r="AJ173" i="5"/>
  <c r="AJ171" i="5"/>
  <c r="AJ207" i="5"/>
  <c r="AJ203" i="5"/>
  <c r="AJ228" i="5"/>
  <c r="AJ199" i="5"/>
  <c r="AJ172" i="5"/>
  <c r="AJ201" i="5"/>
  <c r="AJ227" i="5"/>
  <c r="AJ236" i="5"/>
  <c r="AJ278" i="5"/>
  <c r="AJ317" i="5"/>
  <c r="AJ230" i="5"/>
  <c r="AJ265" i="5"/>
  <c r="AJ301" i="5"/>
  <c r="AJ324" i="5"/>
  <c r="AJ258" i="5"/>
  <c r="AJ286" i="5"/>
  <c r="AJ316" i="5"/>
  <c r="AJ353" i="5"/>
  <c r="AJ327" i="5"/>
  <c r="AJ359" i="5"/>
  <c r="AJ384" i="5"/>
  <c r="AJ416" i="5"/>
  <c r="AJ274" i="5"/>
  <c r="AJ358" i="5"/>
  <c r="AJ398" i="5"/>
  <c r="AJ303" i="5"/>
  <c r="AJ382" i="5"/>
  <c r="AJ405" i="5"/>
  <c r="AJ429" i="5"/>
  <c r="AJ467" i="5"/>
  <c r="AJ492" i="5"/>
  <c r="AJ523" i="5"/>
  <c r="AJ436" i="5"/>
  <c r="AJ455" i="5"/>
  <c r="AJ489" i="5"/>
  <c r="AJ510" i="5"/>
  <c r="AJ351" i="5"/>
  <c r="AJ422" i="5"/>
  <c r="AJ448" i="5"/>
  <c r="AJ490" i="5"/>
  <c r="AJ534" i="5"/>
  <c r="AJ558" i="5"/>
  <c r="AJ459" i="5"/>
  <c r="AJ462" i="5"/>
  <c r="AJ541" i="5"/>
  <c r="AJ457" i="5"/>
  <c r="AJ525" i="5"/>
  <c r="AJ514" i="5"/>
  <c r="AJ35" i="5"/>
  <c r="AJ96" i="5"/>
  <c r="AJ133" i="5"/>
  <c r="AJ217" i="5"/>
  <c r="AJ256" i="5"/>
  <c r="AJ221" i="5"/>
  <c r="AJ371" i="5"/>
  <c r="AJ396" i="5"/>
  <c r="AJ367" i="5"/>
  <c r="AJ435" i="5"/>
  <c r="AJ528" i="5"/>
  <c r="O13" i="5"/>
  <c r="AJ23" i="5"/>
  <c r="AJ29" i="5"/>
  <c r="AJ24" i="5"/>
  <c r="AJ63" i="5"/>
  <c r="AJ66" i="5"/>
  <c r="AJ57" i="5"/>
  <c r="AJ76" i="5"/>
  <c r="AJ91" i="5"/>
  <c r="AJ93" i="5"/>
  <c r="AJ90" i="5"/>
  <c r="AJ103" i="5"/>
  <c r="AJ126" i="5"/>
  <c r="AJ161" i="5"/>
  <c r="AJ134" i="5"/>
  <c r="AJ80" i="5"/>
  <c r="AJ123" i="5"/>
  <c r="AJ151" i="5"/>
  <c r="AJ168" i="5"/>
  <c r="AJ178" i="5"/>
  <c r="AJ182" i="5"/>
  <c r="AJ124" i="5"/>
  <c r="AJ204" i="5"/>
  <c r="AJ235" i="5"/>
  <c r="AJ202" i="5"/>
  <c r="AJ175" i="5"/>
  <c r="AJ206" i="5"/>
  <c r="AJ229" i="5"/>
  <c r="AJ243" i="5"/>
  <c r="AJ284" i="5"/>
  <c r="AJ321" i="5"/>
  <c r="AJ248" i="5"/>
  <c r="AJ268" i="5"/>
  <c r="AJ306" i="5"/>
  <c r="AJ332" i="5"/>
  <c r="AJ260" i="5"/>
  <c r="AJ289" i="5"/>
  <c r="AJ319" i="5"/>
  <c r="AJ355" i="5"/>
  <c r="AJ337" i="5"/>
  <c r="AJ363" i="5"/>
  <c r="AJ389" i="5"/>
  <c r="AJ419" i="5"/>
  <c r="AJ318" i="5"/>
  <c r="AJ364" i="5"/>
  <c r="AJ400" i="5"/>
  <c r="AJ323" i="5"/>
  <c r="AJ386" i="5"/>
  <c r="AJ407" i="5"/>
  <c r="AJ430" i="5"/>
  <c r="AJ470" i="5"/>
  <c r="AJ495" i="5"/>
  <c r="AJ537" i="5"/>
  <c r="AJ438" i="5"/>
  <c r="AJ463" i="5"/>
  <c r="AJ493" i="5"/>
  <c r="AJ513" i="5"/>
  <c r="AJ375" i="5"/>
  <c r="AJ424" i="5"/>
  <c r="AJ456" i="5"/>
  <c r="AJ491" i="5"/>
  <c r="AJ536" i="5"/>
  <c r="AJ261" i="5"/>
  <c r="AJ524" i="5"/>
  <c r="AJ468" i="5"/>
  <c r="AJ546" i="5"/>
  <c r="AJ471" i="5"/>
  <c r="AJ531" i="5"/>
  <c r="AJ529" i="5"/>
  <c r="AJ551" i="5"/>
  <c r="AJ555" i="5"/>
  <c r="AJ557" i="5"/>
  <c r="AJ68" i="5"/>
  <c r="AJ160" i="5"/>
  <c r="AJ283" i="5"/>
  <c r="AJ346" i="5"/>
  <c r="AJ420" i="5"/>
  <c r="AJ449" i="5"/>
  <c r="AJ517" i="5"/>
  <c r="AJ360" i="5"/>
  <c r="AJ25" i="5"/>
  <c r="AJ30" i="5"/>
  <c r="AJ28" i="5"/>
  <c r="AJ69" i="5"/>
  <c r="AJ27" i="5"/>
  <c r="AJ62" i="5"/>
  <c r="AJ77" i="5"/>
  <c r="AJ67" i="5"/>
  <c r="AJ94" i="5"/>
  <c r="AJ92" i="5"/>
  <c r="AJ106" i="5"/>
  <c r="AJ128" i="5"/>
  <c r="AJ87" i="5"/>
  <c r="AJ136" i="5"/>
  <c r="AJ86" i="5"/>
  <c r="AJ129" i="5"/>
  <c r="AJ154" i="5"/>
  <c r="AJ174" i="5"/>
  <c r="AJ179" i="5"/>
  <c r="AJ184" i="5"/>
  <c r="AJ142" i="5"/>
  <c r="AJ210" i="5"/>
  <c r="AJ238" i="5"/>
  <c r="AJ215" i="5"/>
  <c r="AJ181" i="5"/>
  <c r="AJ209" i="5"/>
  <c r="AJ232" i="5"/>
  <c r="AJ247" i="5"/>
  <c r="AJ290" i="5"/>
  <c r="AJ326" i="5"/>
  <c r="AJ249" i="5"/>
  <c r="AJ275" i="5"/>
  <c r="AJ309" i="5"/>
  <c r="AJ190" i="5"/>
  <c r="AJ267" i="5"/>
  <c r="AJ292" i="5"/>
  <c r="AJ325" i="5"/>
  <c r="AJ212" i="5"/>
  <c r="AJ344" i="5"/>
  <c r="AJ365" i="5"/>
  <c r="AJ390" i="5"/>
  <c r="AJ426" i="5"/>
  <c r="AJ336" i="5"/>
  <c r="AJ366" i="5"/>
  <c r="AJ406" i="5"/>
  <c r="AJ343" i="5"/>
  <c r="AJ387" i="5"/>
  <c r="AJ409" i="5"/>
  <c r="AJ440" i="5"/>
  <c r="AJ476" i="5"/>
  <c r="AJ500" i="5"/>
  <c r="AJ288" i="5"/>
  <c r="AJ441" i="5"/>
  <c r="AJ466" i="5"/>
  <c r="AJ494" i="5"/>
  <c r="AJ518" i="5"/>
  <c r="AJ393" i="5"/>
  <c r="AJ425" i="5"/>
  <c r="AJ458" i="5"/>
  <c r="AJ496" i="5"/>
  <c r="AJ538" i="5"/>
  <c r="AJ279" i="5"/>
  <c r="AJ532" i="5"/>
  <c r="AJ516" i="5"/>
  <c r="AJ475" i="5"/>
  <c r="AJ543" i="5"/>
  <c r="AJ31" i="5"/>
  <c r="AJ72" i="5"/>
  <c r="AJ143" i="5"/>
  <c r="AJ191" i="5"/>
  <c r="AJ163" i="5"/>
  <c r="AJ314" i="5"/>
  <c r="AJ281" i="5"/>
  <c r="AJ378" i="5"/>
  <c r="AJ479" i="5"/>
  <c r="AJ521" i="5"/>
  <c r="AJ542" i="5"/>
  <c r="AJ486" i="5"/>
  <c r="AJ26" i="5"/>
  <c r="AJ33" i="5"/>
  <c r="AJ32" i="5"/>
  <c r="AJ34" i="5"/>
  <c r="AJ36" i="5"/>
  <c r="AJ65" i="5"/>
  <c r="AJ58" i="5"/>
  <c r="AJ70" i="5"/>
  <c r="AJ99" i="5"/>
  <c r="AJ95" i="5"/>
  <c r="AJ111" i="5"/>
  <c r="AJ135" i="5"/>
  <c r="AJ115" i="5"/>
  <c r="AJ141" i="5"/>
  <c r="AJ102" i="5"/>
  <c r="AJ131" i="5"/>
  <c r="AJ155" i="5"/>
  <c r="AJ176" i="5"/>
  <c r="AJ183" i="5"/>
  <c r="AJ188" i="5"/>
  <c r="AJ148" i="5"/>
  <c r="AJ214" i="5"/>
  <c r="AJ240" i="5"/>
  <c r="AJ231" i="5"/>
  <c r="AJ187" i="5"/>
  <c r="AJ216" i="5"/>
  <c r="AJ241" i="5"/>
  <c r="AJ253" i="5"/>
  <c r="AJ294" i="5"/>
  <c r="AJ329" i="5"/>
  <c r="AJ251" i="5"/>
  <c r="AJ280" i="5"/>
  <c r="AJ312" i="5"/>
  <c r="AJ213" i="5"/>
  <c r="AJ270" i="5"/>
  <c r="AJ297" i="5"/>
  <c r="AJ328" i="5"/>
  <c r="AJ246" i="5"/>
  <c r="AJ345" i="5"/>
  <c r="AJ370" i="5"/>
  <c r="AJ392" i="5"/>
  <c r="AJ427" i="5"/>
  <c r="AJ341" i="5"/>
  <c r="AJ374" i="5"/>
  <c r="AJ415" i="5"/>
  <c r="AJ362" i="5"/>
  <c r="AJ391" i="5"/>
  <c r="AJ410" i="5"/>
  <c r="AJ444" i="5"/>
  <c r="AJ477" i="5"/>
  <c r="AJ505" i="5"/>
  <c r="AJ361" i="5"/>
  <c r="AJ443" i="5"/>
  <c r="AJ469" i="5"/>
  <c r="AJ499" i="5"/>
  <c r="AJ520" i="5"/>
  <c r="AJ402" i="5"/>
  <c r="AJ433" i="5"/>
  <c r="AJ460" i="5"/>
  <c r="AJ501" i="5"/>
  <c r="AJ540" i="5"/>
  <c r="AJ285" i="5"/>
  <c r="AJ549" i="5"/>
  <c r="AJ522" i="5"/>
  <c r="AJ554" i="5"/>
  <c r="AJ478" i="5"/>
  <c r="AJ545" i="5"/>
  <c r="AJ38" i="5"/>
  <c r="AJ101" i="5"/>
  <c r="AJ105" i="5"/>
  <c r="AJ242" i="5"/>
  <c r="AJ298" i="5"/>
  <c r="AJ273" i="5"/>
  <c r="AJ399" i="5"/>
  <c r="AJ368" i="5"/>
  <c r="AJ506" i="5"/>
  <c r="AJ411" i="5"/>
  <c r="AJ550" i="5"/>
  <c r="AJ10" i="5"/>
  <c r="AJ9" i="5"/>
  <c r="AJ11" i="5"/>
  <c r="AM7" i="5"/>
  <c r="AM40" i="5"/>
  <c r="AM43" i="5"/>
  <c r="AM50" i="5"/>
  <c r="AM68" i="5"/>
  <c r="AM24" i="5"/>
  <c r="AM70" i="5"/>
  <c r="AM23" i="5"/>
  <c r="AM80" i="5"/>
  <c r="AM91" i="5"/>
  <c r="AM105" i="5"/>
  <c r="AM110" i="5"/>
  <c r="AM81" i="5"/>
  <c r="AM123" i="5"/>
  <c r="AM147" i="5"/>
  <c r="AM127" i="5"/>
  <c r="AM132" i="5"/>
  <c r="AM116" i="5"/>
  <c r="AM172" i="5"/>
  <c r="AM152" i="5"/>
  <c r="AM197" i="5"/>
  <c r="AM171" i="5"/>
  <c r="AM221" i="5"/>
  <c r="AM194" i="5"/>
  <c r="AM219" i="5"/>
  <c r="AM161" i="5"/>
  <c r="AM231" i="5"/>
  <c r="AM220" i="5"/>
  <c r="AM274" i="5"/>
  <c r="AM296" i="5"/>
  <c r="AM157" i="5"/>
  <c r="AM278" i="5"/>
  <c r="AM326" i="5"/>
  <c r="AM249" i="5"/>
  <c r="AM283" i="5"/>
  <c r="AM312" i="5"/>
  <c r="AM332" i="5"/>
  <c r="AM358" i="5"/>
  <c r="AM335" i="5"/>
  <c r="AM383" i="5"/>
  <c r="AM420" i="5"/>
  <c r="AM252" i="5"/>
  <c r="AM356" i="5"/>
  <c r="AM380" i="5"/>
  <c r="AM408" i="5"/>
  <c r="AM267" i="5"/>
  <c r="AM340" i="5"/>
  <c r="AM371" i="5"/>
  <c r="AM406" i="5"/>
  <c r="AM422" i="5"/>
  <c r="AM472" i="5"/>
  <c r="AM525" i="5"/>
  <c r="AM394" i="5"/>
  <c r="AM446" i="5"/>
  <c r="AM474" i="5"/>
  <c r="AM512" i="5"/>
  <c r="AM387" i="5"/>
  <c r="AM444" i="5"/>
  <c r="AM473" i="5"/>
  <c r="AM492" i="5"/>
  <c r="AM505" i="5"/>
  <c r="AM530" i="5"/>
  <c r="AM328" i="5"/>
  <c r="AM521" i="5"/>
  <c r="AM557" i="5"/>
  <c r="AM538" i="5"/>
  <c r="AM481" i="5"/>
  <c r="AM547" i="5"/>
  <c r="AM537" i="5"/>
  <c r="AM45" i="5"/>
  <c r="AM20" i="5"/>
  <c r="AM32" i="5"/>
  <c r="AM73" i="5"/>
  <c r="AM51" i="5"/>
  <c r="AM72" i="5"/>
  <c r="AM47" i="5"/>
  <c r="AM82" i="5"/>
  <c r="AM92" i="5"/>
  <c r="AM108" i="5"/>
  <c r="AM114" i="5"/>
  <c r="AM85" i="5"/>
  <c r="AM125" i="5"/>
  <c r="AM149" i="5"/>
  <c r="AM137" i="5"/>
  <c r="AM160" i="5"/>
  <c r="AM141" i="5"/>
  <c r="AM176" i="5"/>
  <c r="AM156" i="5"/>
  <c r="AM198" i="5"/>
  <c r="AM174" i="5"/>
  <c r="AM225" i="5"/>
  <c r="AM195" i="5"/>
  <c r="AM222" i="5"/>
  <c r="AM178" i="5"/>
  <c r="AM234" i="5"/>
  <c r="AM223" i="5"/>
  <c r="AM276" i="5"/>
  <c r="AM300" i="5"/>
  <c r="AM207" i="5"/>
  <c r="AM284" i="5"/>
  <c r="AM331" i="5"/>
  <c r="AM251" i="5"/>
  <c r="AM287" i="5"/>
  <c r="AM314" i="5"/>
  <c r="AM337" i="5"/>
  <c r="AM206" i="5"/>
  <c r="AM338" i="5"/>
  <c r="AM385" i="5"/>
  <c r="AM423" i="5"/>
  <c r="AM260" i="5"/>
  <c r="AM359" i="5"/>
  <c r="AM384" i="5"/>
  <c r="AM413" i="5"/>
  <c r="AM273" i="5"/>
  <c r="AM341" i="5"/>
  <c r="AM374" i="5"/>
  <c r="AM415" i="5"/>
  <c r="AM442" i="5"/>
  <c r="AM475" i="5"/>
  <c r="AM526" i="5"/>
  <c r="AM397" i="5"/>
  <c r="AM447" i="5"/>
  <c r="AM477" i="5"/>
  <c r="AM514" i="5"/>
  <c r="AM396" i="5"/>
  <c r="AM451" i="5"/>
  <c r="AM476" i="5"/>
  <c r="AM493" i="5"/>
  <c r="AM508" i="5"/>
  <c r="AM539" i="5"/>
  <c r="AM421" i="5"/>
  <c r="AM527" i="5"/>
  <c r="AM560" i="5"/>
  <c r="AM543" i="5"/>
  <c r="AM491" i="5"/>
  <c r="AM552" i="5"/>
  <c r="AM546" i="5"/>
  <c r="AM22" i="5"/>
  <c r="AM30" i="5"/>
  <c r="AM35" i="5"/>
  <c r="AM21" i="5"/>
  <c r="AM55" i="5"/>
  <c r="AM78" i="5"/>
  <c r="AM59" i="5"/>
  <c r="AM84" i="5"/>
  <c r="AM95" i="5"/>
  <c r="AM86" i="5"/>
  <c r="AM121" i="5"/>
  <c r="AM100" i="5"/>
  <c r="AM126" i="5"/>
  <c r="AM154" i="5"/>
  <c r="AM139" i="5"/>
  <c r="AM163" i="5"/>
  <c r="AM150" i="5"/>
  <c r="AM180" i="5"/>
  <c r="AM158" i="5"/>
  <c r="AM201" i="5"/>
  <c r="AM190" i="5"/>
  <c r="AM230" i="5"/>
  <c r="AM196" i="5"/>
  <c r="AM226" i="5"/>
  <c r="AM184" i="5"/>
  <c r="AM237" i="5"/>
  <c r="AM246" i="5"/>
  <c r="AM279" i="5"/>
  <c r="AM303" i="5"/>
  <c r="AM247" i="5"/>
  <c r="AM290" i="5"/>
  <c r="AM188" i="5"/>
  <c r="AM255" i="5"/>
  <c r="AM295" i="5"/>
  <c r="AM315" i="5"/>
  <c r="AM339" i="5"/>
  <c r="AM218" i="5"/>
  <c r="AM352" i="5"/>
  <c r="AM393" i="5"/>
  <c r="AM428" i="5"/>
  <c r="AM277" i="5"/>
  <c r="AM361" i="5"/>
  <c r="AM386" i="5"/>
  <c r="AM417" i="5"/>
  <c r="AM280" i="5"/>
  <c r="AM342" i="5"/>
  <c r="AM378" i="5"/>
  <c r="AM416" i="5"/>
  <c r="AM452" i="5"/>
  <c r="AM478" i="5"/>
  <c r="AM531" i="5"/>
  <c r="AM403" i="5"/>
  <c r="AM461" i="5"/>
  <c r="AM480" i="5"/>
  <c r="AM516" i="5"/>
  <c r="AM405" i="5"/>
  <c r="AM453" i="5"/>
  <c r="AM479" i="5"/>
  <c r="AM494" i="5"/>
  <c r="AM509" i="5"/>
  <c r="AM545" i="5"/>
  <c r="AM425" i="5"/>
  <c r="AM529" i="5"/>
  <c r="AM558" i="5"/>
  <c r="AM25" i="5"/>
  <c r="AM33" i="5"/>
  <c r="AM42" i="5"/>
  <c r="AM28" i="5"/>
  <c r="AM58" i="5"/>
  <c r="AM49" i="5"/>
  <c r="AM62" i="5"/>
  <c r="AM93" i="5"/>
  <c r="AM96" i="5"/>
  <c r="AM87" i="5"/>
  <c r="AM129" i="5"/>
  <c r="AM106" i="5"/>
  <c r="AM128" i="5"/>
  <c r="AM155" i="5"/>
  <c r="AM142" i="5"/>
  <c r="AM167" i="5"/>
  <c r="AM153" i="5"/>
  <c r="AM185" i="5"/>
  <c r="AM162" i="5"/>
  <c r="AM203" i="5"/>
  <c r="AM205" i="5"/>
  <c r="AM233" i="5"/>
  <c r="AM204" i="5"/>
  <c r="AM228" i="5"/>
  <c r="AM186" i="5"/>
  <c r="AM239" i="5"/>
  <c r="AM259" i="5"/>
  <c r="AM281" i="5"/>
  <c r="AM307" i="5"/>
  <c r="AM253" i="5"/>
  <c r="AM294" i="5"/>
  <c r="AM192" i="5"/>
  <c r="AM257" i="5"/>
  <c r="AM301" i="5"/>
  <c r="AM320" i="5"/>
  <c r="AM343" i="5"/>
  <c r="AM224" i="5"/>
  <c r="AM360" i="5"/>
  <c r="AM404" i="5"/>
  <c r="AM431" i="5"/>
  <c r="AM293" i="5"/>
  <c r="AM363" i="5"/>
  <c r="AM389" i="5"/>
  <c r="AM418" i="5"/>
  <c r="AM286" i="5"/>
  <c r="AM348" i="5"/>
  <c r="AM379" i="5"/>
  <c r="AM311" i="5"/>
  <c r="AM457" i="5"/>
  <c r="AM490" i="5"/>
  <c r="AM532" i="5"/>
  <c r="AM412" i="5"/>
  <c r="AM462" i="5"/>
  <c r="AM484" i="5"/>
  <c r="AM519" i="5"/>
  <c r="AM430" i="5"/>
  <c r="AM454" i="5"/>
  <c r="AM482" i="5"/>
  <c r="AM495" i="5"/>
  <c r="AM510" i="5"/>
  <c r="AM554" i="5"/>
  <c r="AM449" i="5"/>
  <c r="AM534" i="5"/>
  <c r="AM433" i="5"/>
  <c r="AM549" i="5"/>
  <c r="AM528" i="5"/>
  <c r="AM372" i="5"/>
  <c r="AM26" i="5"/>
  <c r="AM38" i="5"/>
  <c r="AM56" i="5"/>
  <c r="AM39" i="5"/>
  <c r="AM61" i="5"/>
  <c r="AM53" i="5"/>
  <c r="AM65" i="5"/>
  <c r="AM83" i="5"/>
  <c r="AM97" i="5"/>
  <c r="AM103" i="5"/>
  <c r="AM131" i="5"/>
  <c r="AM111" i="5"/>
  <c r="AM133" i="5"/>
  <c r="AM107" i="5"/>
  <c r="AM145" i="5"/>
  <c r="AM169" i="5"/>
  <c r="AM159" i="5"/>
  <c r="AM115" i="5"/>
  <c r="AM168" i="5"/>
  <c r="AM118" i="5"/>
  <c r="AM208" i="5"/>
  <c r="AM236" i="5"/>
  <c r="AM210" i="5"/>
  <c r="AM235" i="5"/>
  <c r="AM199" i="5"/>
  <c r="AM240" i="5"/>
  <c r="AM261" i="5"/>
  <c r="AM282" i="5"/>
  <c r="AM313" i="5"/>
  <c r="AM256" i="5"/>
  <c r="AM298" i="5"/>
  <c r="AM227" i="5"/>
  <c r="AM263" i="5"/>
  <c r="AM302" i="5"/>
  <c r="AM322" i="5"/>
  <c r="AM344" i="5"/>
  <c r="AM258" i="5"/>
  <c r="AM367" i="5"/>
  <c r="AM409" i="5"/>
  <c r="AM435" i="5"/>
  <c r="AM304" i="5"/>
  <c r="AM365" i="5"/>
  <c r="AM390" i="5"/>
  <c r="AM419" i="5"/>
  <c r="AM289" i="5"/>
  <c r="AM349" i="5"/>
  <c r="AM388" i="5"/>
  <c r="AM354" i="5"/>
  <c r="AM458" i="5"/>
  <c r="AM496" i="5"/>
  <c r="AM270" i="5"/>
  <c r="AM426" i="5"/>
  <c r="AM465" i="5"/>
  <c r="AM498" i="5"/>
  <c r="AM308" i="5"/>
  <c r="AM432" i="5"/>
  <c r="AM455" i="5"/>
  <c r="AM486" i="5"/>
  <c r="AM499" i="5"/>
  <c r="AM518" i="5"/>
  <c r="AM555" i="5"/>
  <c r="AM456" i="5"/>
  <c r="AM536" i="5"/>
  <c r="AM437" i="5"/>
  <c r="AM550" i="5"/>
  <c r="AM533" i="5"/>
  <c r="AM438" i="5"/>
  <c r="O12" i="5"/>
  <c r="AM29" i="5"/>
  <c r="AM27" i="5"/>
  <c r="AM41" i="5"/>
  <c r="AM60" i="5"/>
  <c r="AM48" i="5"/>
  <c r="AM66" i="5"/>
  <c r="AM71" i="5"/>
  <c r="AM69" i="5"/>
  <c r="AM88" i="5"/>
  <c r="AM98" i="5"/>
  <c r="AM109" i="5"/>
  <c r="AM140" i="5"/>
  <c r="AM112" i="5"/>
  <c r="AM135" i="5"/>
  <c r="AM113" i="5"/>
  <c r="AM148" i="5"/>
  <c r="AM175" i="5"/>
  <c r="AM164" i="5"/>
  <c r="AM122" i="5"/>
  <c r="AM173" i="5"/>
  <c r="AM130" i="5"/>
  <c r="AM211" i="5"/>
  <c r="AM243" i="5"/>
  <c r="AM212" i="5"/>
  <c r="AM238" i="5"/>
  <c r="AM200" i="5"/>
  <c r="AM189" i="5"/>
  <c r="AM264" i="5"/>
  <c r="AM285" i="5"/>
  <c r="AM318" i="5"/>
  <c r="AM262" i="5"/>
  <c r="AM305" i="5"/>
  <c r="AM232" i="5"/>
  <c r="AM265" i="5"/>
  <c r="AM306" i="5"/>
  <c r="AM324" i="5"/>
  <c r="AM346" i="5"/>
  <c r="AM299" i="5"/>
  <c r="AM369" i="5"/>
  <c r="AM410" i="5"/>
  <c r="AM436" i="5"/>
  <c r="AM334" i="5"/>
  <c r="AM370" i="5"/>
  <c r="AM392" i="5"/>
  <c r="AM209" i="5"/>
  <c r="AM292" i="5"/>
  <c r="AM355" i="5"/>
  <c r="AM395" i="5"/>
  <c r="AM362" i="5"/>
  <c r="AM459" i="5"/>
  <c r="AM497" i="5"/>
  <c r="AM325" i="5"/>
  <c r="AM427" i="5"/>
  <c r="AM467" i="5"/>
  <c r="AM506" i="5"/>
  <c r="AM347" i="5"/>
  <c r="AM434" i="5"/>
  <c r="AM463" i="5"/>
  <c r="AM487" i="5"/>
  <c r="AM500" i="5"/>
  <c r="AM520" i="5"/>
  <c r="AM556" i="5"/>
  <c r="AM485" i="5"/>
  <c r="AM540" i="5"/>
  <c r="AM445" i="5"/>
  <c r="AM551" i="5"/>
  <c r="AM535" i="5"/>
  <c r="AM450" i="5"/>
  <c r="AM8" i="5"/>
  <c r="AM34" i="5"/>
  <c r="AM31" i="5"/>
  <c r="AM44" i="5"/>
  <c r="AM64" i="5"/>
  <c r="AM52" i="5"/>
  <c r="AM54" i="5"/>
  <c r="AM75" i="5"/>
  <c r="AM76" i="5"/>
  <c r="AM89" i="5"/>
  <c r="AM74" i="5"/>
  <c r="AM94" i="5"/>
  <c r="AM144" i="5"/>
  <c r="AM117" i="5"/>
  <c r="AM138" i="5"/>
  <c r="AM119" i="5"/>
  <c r="AM101" i="5"/>
  <c r="AM177" i="5"/>
  <c r="AM166" i="5"/>
  <c r="AM134" i="5"/>
  <c r="AM183" i="5"/>
  <c r="AM136" i="5"/>
  <c r="AM213" i="5"/>
  <c r="AM179" i="5"/>
  <c r="AM214" i="5"/>
  <c r="AM242" i="5"/>
  <c r="AM202" i="5"/>
  <c r="AM191" i="5"/>
  <c r="AM266" i="5"/>
  <c r="AM288" i="5"/>
  <c r="AM323" i="5"/>
  <c r="AM269" i="5"/>
  <c r="AM317" i="5"/>
  <c r="AM241" i="5"/>
  <c r="AM77" i="5"/>
  <c r="AM104" i="5"/>
  <c r="AM217" i="5"/>
  <c r="AM321" i="5"/>
  <c r="AM351" i="5"/>
  <c r="AM440" i="5"/>
  <c r="AM245" i="5"/>
  <c r="AM368" i="5"/>
  <c r="AM429" i="5"/>
  <c r="AM441" i="5"/>
  <c r="AM522" i="5"/>
  <c r="AM448" i="5"/>
  <c r="AM559" i="5"/>
  <c r="AM414" i="5"/>
  <c r="AM542" i="5"/>
  <c r="AM36" i="5"/>
  <c r="AM90" i="5"/>
  <c r="AM181" i="5"/>
  <c r="AM244" i="5"/>
  <c r="AM248" i="5"/>
  <c r="AM357" i="5"/>
  <c r="AM250" i="5"/>
  <c r="AM254" i="5"/>
  <c r="AM401" i="5"/>
  <c r="AM439" i="5"/>
  <c r="AM443" i="5"/>
  <c r="AM523" i="5"/>
  <c r="AM524" i="5"/>
  <c r="AM464" i="5"/>
  <c r="AM79" i="5"/>
  <c r="AM381" i="5"/>
  <c r="AM37" i="5"/>
  <c r="AM102" i="5"/>
  <c r="AM170" i="5"/>
  <c r="AM215" i="5"/>
  <c r="AM268" i="5"/>
  <c r="AM316" i="5"/>
  <c r="AM345" i="5"/>
  <c r="AM333" i="5"/>
  <c r="AM460" i="5"/>
  <c r="AM468" i="5"/>
  <c r="AM466" i="5"/>
  <c r="AM229" i="5"/>
  <c r="AM544" i="5"/>
  <c r="AM483" i="5"/>
  <c r="AM402" i="5"/>
  <c r="AM553" i="5"/>
  <c r="AM46" i="5"/>
  <c r="AM99" i="5"/>
  <c r="AM143" i="5"/>
  <c r="AM193" i="5"/>
  <c r="AM275" i="5"/>
  <c r="AM319" i="5"/>
  <c r="AM350" i="5"/>
  <c r="AM336" i="5"/>
  <c r="AM471" i="5"/>
  <c r="AM470" i="5"/>
  <c r="AM469" i="5"/>
  <c r="AM297" i="5"/>
  <c r="AM407" i="5"/>
  <c r="AM19" i="5"/>
  <c r="AM124" i="5"/>
  <c r="AM400" i="5"/>
  <c r="AM67" i="5"/>
  <c r="AM151" i="5"/>
  <c r="AM187" i="5"/>
  <c r="AM271" i="5"/>
  <c r="AM309" i="5"/>
  <c r="AM373" i="5"/>
  <c r="AM375" i="5"/>
  <c r="AM364" i="5"/>
  <c r="AM504" i="5"/>
  <c r="AM507" i="5"/>
  <c r="AM488" i="5"/>
  <c r="AM513" i="5"/>
  <c r="AM424" i="5"/>
  <c r="AM330" i="5"/>
  <c r="AM63" i="5"/>
  <c r="AM120" i="5"/>
  <c r="AM165" i="5"/>
  <c r="AM291" i="5"/>
  <c r="AM310" i="5"/>
  <c r="AM376" i="5"/>
  <c r="AM377" i="5"/>
  <c r="AM366" i="5"/>
  <c r="AM515" i="5"/>
  <c r="AM511" i="5"/>
  <c r="AM489" i="5"/>
  <c r="AM517" i="5"/>
  <c r="AM501" i="5"/>
  <c r="AM182" i="5"/>
  <c r="AM503" i="5"/>
  <c r="AM57" i="5"/>
  <c r="AM146" i="5"/>
  <c r="AM216" i="5"/>
  <c r="AM327" i="5"/>
  <c r="AM329" i="5"/>
  <c r="AM411" i="5"/>
  <c r="AM399" i="5"/>
  <c r="AM398" i="5"/>
  <c r="AM382" i="5"/>
  <c r="AM353" i="5"/>
  <c r="AM502" i="5"/>
  <c r="AM548" i="5"/>
  <c r="AM541" i="5"/>
  <c r="AM272" i="5"/>
  <c r="AM391" i="5"/>
  <c r="AM10" i="5"/>
  <c r="AM9" i="5"/>
  <c r="AM11" i="5"/>
  <c r="AP19" i="10"/>
  <c r="AP8" i="10"/>
  <c r="AP7" i="10"/>
  <c r="AP519" i="10"/>
  <c r="AP489" i="10"/>
  <c r="AP455" i="10"/>
  <c r="AP385" i="10"/>
  <c r="AP421" i="10"/>
  <c r="AP389" i="10"/>
  <c r="AP229" i="10"/>
  <c r="AP289" i="10"/>
  <c r="AP257" i="10"/>
  <c r="AP226" i="10"/>
  <c r="AP193" i="10"/>
  <c r="AP240" i="10"/>
  <c r="AP202" i="10"/>
  <c r="AP126" i="10"/>
  <c r="AP278" i="10"/>
  <c r="AP134" i="10"/>
  <c r="AP176" i="10"/>
  <c r="AP250" i="10"/>
  <c r="AP30" i="10"/>
  <c r="AP52" i="10"/>
  <c r="AP63" i="10"/>
  <c r="AP28" i="10"/>
  <c r="AP151" i="10"/>
  <c r="AP136" i="10"/>
  <c r="AP355" i="10"/>
  <c r="AP312" i="10"/>
  <c r="AP337" i="10"/>
  <c r="AP435" i="10"/>
  <c r="AP415" i="10"/>
  <c r="AP458" i="10"/>
  <c r="AP485" i="10"/>
  <c r="AP528" i="10"/>
  <c r="AP559" i="10"/>
  <c r="AP410" i="10"/>
  <c r="AP513" i="10"/>
  <c r="AP90" i="10"/>
  <c r="AP58" i="10"/>
  <c r="AP80" i="10"/>
  <c r="AP252" i="10"/>
  <c r="AP239" i="10"/>
  <c r="AP316" i="10"/>
  <c r="AP334" i="10"/>
  <c r="AP433" i="10"/>
  <c r="AP442" i="10"/>
  <c r="AP500" i="10"/>
  <c r="AP231" i="10"/>
  <c r="AP426" i="10"/>
  <c r="AP547" i="10"/>
  <c r="AP50" i="10"/>
  <c r="AP157" i="10"/>
  <c r="AP178" i="10"/>
  <c r="AP103" i="10"/>
  <c r="AP108" i="10"/>
  <c r="AP227" i="10"/>
  <c r="AP263" i="10"/>
  <c r="AP352" i="10"/>
  <c r="AP341" i="10"/>
  <c r="AP390" i="10"/>
  <c r="AP384" i="10"/>
  <c r="AP462" i="10"/>
  <c r="AP523" i="10"/>
  <c r="AP59" i="10"/>
  <c r="AP161" i="10"/>
  <c r="AP107" i="10"/>
  <c r="AP248" i="10"/>
  <c r="AP387" i="10"/>
  <c r="AP394" i="10"/>
  <c r="AP546" i="10"/>
  <c r="AP515" i="10"/>
  <c r="AP514" i="10"/>
  <c r="AP452" i="10"/>
  <c r="AP367" i="10"/>
  <c r="AP417" i="10"/>
  <c r="AP302" i="10"/>
  <c r="AP225" i="10"/>
  <c r="AP285" i="10"/>
  <c r="AP253" i="10"/>
  <c r="AP222" i="10"/>
  <c r="AP189" i="10"/>
  <c r="AP236" i="10"/>
  <c r="AP266" i="10"/>
  <c r="AP122" i="10"/>
  <c r="AP270" i="10"/>
  <c r="AP102" i="10"/>
  <c r="AP172" i="10"/>
  <c r="AP162" i="10"/>
  <c r="AP27" i="10"/>
  <c r="AP70" i="10"/>
  <c r="AP71" i="10"/>
  <c r="AP39" i="10"/>
  <c r="AP175" i="10"/>
  <c r="AP144" i="10"/>
  <c r="AP251" i="10"/>
  <c r="AP328" i="10"/>
  <c r="AP345" i="10"/>
  <c r="AP382" i="10"/>
  <c r="AP388" i="10"/>
  <c r="AP466" i="10"/>
  <c r="AP522" i="10"/>
  <c r="AP545" i="10"/>
  <c r="AP215" i="10"/>
  <c r="AP411" i="10"/>
  <c r="AP511" i="10"/>
  <c r="AP105" i="10"/>
  <c r="AP67" i="10"/>
  <c r="AP96" i="10"/>
  <c r="AP260" i="10"/>
  <c r="AP305" i="10"/>
  <c r="AP332" i="10"/>
  <c r="AP342" i="10"/>
  <c r="AP449" i="10"/>
  <c r="AP502" i="10"/>
  <c r="AP527" i="10"/>
  <c r="AP351" i="10"/>
  <c r="AP395" i="10"/>
  <c r="AP26" i="10"/>
  <c r="AP54" i="10"/>
  <c r="AP89" i="10"/>
  <c r="AP186" i="10"/>
  <c r="AP119" i="10"/>
  <c r="AP116" i="10"/>
  <c r="AP243" i="10"/>
  <c r="AP271" i="10"/>
  <c r="AP360" i="10"/>
  <c r="AP349" i="10"/>
  <c r="AP406" i="10"/>
  <c r="AP392" i="10"/>
  <c r="AP470" i="10"/>
  <c r="AP524" i="10"/>
  <c r="AP56" i="10"/>
  <c r="AP48" i="10"/>
  <c r="AP123" i="10"/>
  <c r="AP256" i="10"/>
  <c r="AP308" i="10"/>
  <c r="AP441" i="10"/>
  <c r="AP560" i="10"/>
  <c r="AP534" i="10"/>
  <c r="AP479" i="10"/>
  <c r="AP448" i="10"/>
  <c r="AP363" i="10"/>
  <c r="AP413" i="10"/>
  <c r="AP301" i="10"/>
  <c r="AP221" i="10"/>
  <c r="AP281" i="10"/>
  <c r="AP249" i="10"/>
  <c r="AP218" i="10"/>
  <c r="AP185" i="10"/>
  <c r="AP232" i="10"/>
  <c r="AP258" i="10"/>
  <c r="AP118" i="10"/>
  <c r="AP262" i="10"/>
  <c r="AP206" i="10"/>
  <c r="AP168" i="10"/>
  <c r="AP154" i="10"/>
  <c r="AP20" i="10"/>
  <c r="AP86" i="10"/>
  <c r="AP87" i="10"/>
  <c r="AP68" i="10"/>
  <c r="AP191" i="10"/>
  <c r="AP152" i="10"/>
  <c r="AP259" i="10"/>
  <c r="AP344" i="10"/>
  <c r="AP353" i="10"/>
  <c r="AP398" i="10"/>
  <c r="AP499" i="10"/>
  <c r="AP475" i="10"/>
  <c r="AP444" i="10"/>
  <c r="AP383" i="10"/>
  <c r="AP409" i="10"/>
  <c r="AP379" i="10"/>
  <c r="AP217" i="10"/>
  <c r="AP277" i="10"/>
  <c r="AP245" i="10"/>
  <c r="AP214" i="10"/>
  <c r="AP181" i="10"/>
  <c r="AP228" i="10"/>
  <c r="AP158" i="10"/>
  <c r="AP114" i="10"/>
  <c r="AP254" i="10"/>
  <c r="AP198" i="10"/>
  <c r="AP164" i="10"/>
  <c r="AP40" i="10"/>
  <c r="AP36" i="10"/>
  <c r="AP101" i="10"/>
  <c r="AP166" i="10"/>
  <c r="AP76" i="10"/>
  <c r="AP207" i="10"/>
  <c r="AP160" i="10"/>
  <c r="AP267" i="10"/>
  <c r="AP364" i="10"/>
  <c r="AP365" i="10"/>
  <c r="AP414" i="10"/>
  <c r="AP404" i="10"/>
  <c r="AP494" i="10"/>
  <c r="AP509" i="10"/>
  <c r="AP550" i="10"/>
  <c r="AP373" i="10"/>
  <c r="AP496" i="10"/>
  <c r="AP24" i="10"/>
  <c r="AP137" i="10"/>
  <c r="AP99" i="10"/>
  <c r="AP208" i="10"/>
  <c r="AP276" i="10"/>
  <c r="AP327" i="10"/>
  <c r="AP361" i="10"/>
  <c r="AP358" i="10"/>
  <c r="AP403" i="10"/>
  <c r="AP483" i="10"/>
  <c r="AP549" i="10"/>
  <c r="AP436" i="10"/>
  <c r="AP474" i="10"/>
  <c r="AP53" i="10"/>
  <c r="AP78" i="10"/>
  <c r="AP60" i="10"/>
  <c r="AP204" i="10"/>
  <c r="AP159" i="10"/>
  <c r="AP132" i="10"/>
  <c r="AP331" i="10"/>
  <c r="AP287" i="10"/>
  <c r="AP432" i="10"/>
  <c r="AP447" i="10"/>
  <c r="AP437" i="10"/>
  <c r="AP408" i="10"/>
  <c r="AP497" i="10"/>
  <c r="AP552" i="10"/>
  <c r="AP82" i="10"/>
  <c r="AP75" i="10"/>
  <c r="AP139" i="10"/>
  <c r="AP272" i="10"/>
  <c r="AP356" i="10"/>
  <c r="AP472" i="10"/>
  <c r="AP544" i="10"/>
  <c r="AP495" i="10"/>
  <c r="AP471" i="10"/>
  <c r="AP440" i="10"/>
  <c r="AP375" i="10"/>
  <c r="AP405" i="10"/>
  <c r="AP371" i="10"/>
  <c r="AP213" i="10"/>
  <c r="AP273" i="10"/>
  <c r="AP242" i="10"/>
  <c r="AP210" i="10"/>
  <c r="AP177" i="10"/>
  <c r="AP224" i="10"/>
  <c r="AP146" i="10"/>
  <c r="AP110" i="10"/>
  <c r="AP246" i="10"/>
  <c r="AP192" i="10"/>
  <c r="AP61" i="10"/>
  <c r="AP34" i="10"/>
  <c r="AP46" i="10"/>
  <c r="AP117" i="10"/>
  <c r="AP174" i="10"/>
  <c r="AP92" i="10"/>
  <c r="AP104" i="10"/>
  <c r="AP219" i="10"/>
  <c r="AP275" i="10"/>
  <c r="AP307" i="10"/>
  <c r="AP369" i="10"/>
  <c r="AP430" i="10"/>
  <c r="AP412" i="10"/>
  <c r="AP501" i="10"/>
  <c r="AP510" i="10"/>
  <c r="AP536" i="10"/>
  <c r="AP300" i="10"/>
  <c r="AP492" i="10"/>
  <c r="AP44" i="10"/>
  <c r="AP153" i="10"/>
  <c r="AP196" i="10"/>
  <c r="AP147" i="10"/>
  <c r="AP284" i="10"/>
  <c r="AP343" i="10"/>
  <c r="AP443" i="10"/>
  <c r="AP370" i="10"/>
  <c r="AP419" i="10"/>
  <c r="AP512" i="10"/>
  <c r="AP533" i="10"/>
  <c r="AP451" i="10"/>
  <c r="AP450" i="10"/>
  <c r="AP55" i="10"/>
  <c r="AP94" i="10"/>
  <c r="AP64" i="10"/>
  <c r="AP25" i="10"/>
  <c r="AP167" i="10"/>
  <c r="AP140" i="10"/>
  <c r="AP347" i="10"/>
  <c r="AP295" i="10"/>
  <c r="AP309" i="10"/>
  <c r="AP362" i="10"/>
  <c r="AP453" i="10"/>
  <c r="AP416" i="10"/>
  <c r="AP506" i="10"/>
  <c r="AP542" i="10"/>
  <c r="AP98" i="10"/>
  <c r="AP91" i="10"/>
  <c r="AP155" i="10"/>
  <c r="AP280" i="10"/>
  <c r="AP314" i="10"/>
  <c r="AP487" i="10"/>
  <c r="AP540" i="10"/>
  <c r="AP518" i="10"/>
  <c r="AP467" i="10"/>
  <c r="AP434" i="10"/>
  <c r="AP306" i="10"/>
  <c r="AP401" i="10"/>
  <c r="AP241" i="10"/>
  <c r="AP209" i="10"/>
  <c r="AP269" i="10"/>
  <c r="AP238" i="10"/>
  <c r="AP205" i="10"/>
  <c r="AP173" i="10"/>
  <c r="AP220" i="10"/>
  <c r="AP142" i="10"/>
  <c r="AP106" i="10"/>
  <c r="O12" i="10"/>
  <c r="AP188" i="10"/>
  <c r="AP290" i="10"/>
  <c r="AP21" i="10"/>
  <c r="AP42" i="10"/>
  <c r="AP133" i="10"/>
  <c r="AP182" i="10"/>
  <c r="AP111" i="10"/>
  <c r="AP112" i="10"/>
  <c r="AP235" i="10"/>
  <c r="AP283" i="10"/>
  <c r="AP313" i="10"/>
  <c r="AP439" i="10"/>
  <c r="AP445" i="10"/>
  <c r="AP420" i="10"/>
  <c r="AP473" i="10"/>
  <c r="AP526" i="10"/>
  <c r="AP556" i="10"/>
  <c r="AP322" i="10"/>
  <c r="AP503" i="10"/>
  <c r="AP69" i="10"/>
  <c r="AP66" i="10"/>
  <c r="AP49" i="10"/>
  <c r="AP163" i="10"/>
  <c r="AP292" i="10"/>
  <c r="AP359" i="10"/>
  <c r="AP310" i="10"/>
  <c r="AP386" i="10"/>
  <c r="AP457" i="10"/>
  <c r="AP476" i="10"/>
  <c r="AP535" i="10"/>
  <c r="AP338" i="10"/>
  <c r="AP480" i="10"/>
  <c r="AP47" i="10"/>
  <c r="AP109" i="10"/>
  <c r="AP79" i="10"/>
  <c r="AP35" i="10"/>
  <c r="AP183" i="10"/>
  <c r="AP148" i="10"/>
  <c r="AP381" i="10"/>
  <c r="AP303" i="10"/>
  <c r="AP317" i="10"/>
  <c r="AP372" i="10"/>
  <c r="AP391" i="10"/>
  <c r="AP456" i="10"/>
  <c r="AP525" i="10"/>
  <c r="AP558" i="10"/>
  <c r="AP113" i="10"/>
  <c r="AP31" i="10"/>
  <c r="AP171" i="10"/>
  <c r="AP288" i="10"/>
  <c r="AP330" i="10"/>
  <c r="AP521" i="10"/>
  <c r="AP543" i="10"/>
  <c r="AP486" i="10"/>
  <c r="AP463" i="10"/>
  <c r="AP498" i="10"/>
  <c r="AP429" i="10"/>
  <c r="AP397" i="10"/>
  <c r="AP237" i="10"/>
  <c r="AP297" i="10"/>
  <c r="AP265" i="10"/>
  <c r="AP234" i="10"/>
  <c r="AP201" i="10"/>
  <c r="AP169" i="10"/>
  <c r="AP216" i="10"/>
  <c r="AP138" i="10"/>
  <c r="AP294" i="10"/>
  <c r="AP298" i="10"/>
  <c r="AP184" i="10"/>
  <c r="AP282" i="10"/>
  <c r="AP37" i="10"/>
  <c r="AP81" i="10"/>
  <c r="AP149" i="10"/>
  <c r="AP190" i="10"/>
  <c r="AP127" i="10"/>
  <c r="AP120" i="10"/>
  <c r="AP323" i="10"/>
  <c r="AP291" i="10"/>
  <c r="AP321" i="10"/>
  <c r="AP380" i="10"/>
  <c r="AP469" i="10"/>
  <c r="AP464" i="10"/>
  <c r="AP477" i="10"/>
  <c r="AP541" i="10"/>
  <c r="AP555" i="10"/>
  <c r="AP354" i="10"/>
  <c r="AP516" i="10"/>
  <c r="AP93" i="10"/>
  <c r="AP85" i="10"/>
  <c r="AP23" i="10"/>
  <c r="AP179" i="10"/>
  <c r="AP244" i="10"/>
  <c r="AP304" i="10"/>
  <c r="AP318" i="10"/>
  <c r="AP402" i="10"/>
  <c r="AP468" i="10"/>
  <c r="AP484" i="10"/>
  <c r="AP553" i="10"/>
  <c r="AP366" i="10"/>
  <c r="AP488" i="10"/>
  <c r="AP73" i="10"/>
  <c r="AP125" i="10"/>
  <c r="AP95" i="10"/>
  <c r="AP41" i="10"/>
  <c r="AP199" i="10"/>
  <c r="AP156" i="10"/>
  <c r="AP247" i="10"/>
  <c r="AP320" i="10"/>
  <c r="AP325" i="10"/>
  <c r="AP428" i="10"/>
  <c r="AP407" i="10"/>
  <c r="AP446" i="10"/>
  <c r="AP504" i="10"/>
  <c r="AP29" i="10"/>
  <c r="AP129" i="10"/>
  <c r="AP72" i="10"/>
  <c r="AP187" i="10"/>
  <c r="AP296" i="10"/>
  <c r="AP346" i="10"/>
  <c r="AP539" i="10"/>
  <c r="AP505" i="10"/>
  <c r="AP459" i="10"/>
  <c r="AP431" i="10"/>
  <c r="AP425" i="10"/>
  <c r="AP393" i="10"/>
  <c r="AP233" i="10"/>
  <c r="AP293" i="10"/>
  <c r="AP261" i="10"/>
  <c r="AP230" i="10"/>
  <c r="AP197" i="10"/>
  <c r="AP165" i="10"/>
  <c r="AP212" i="10"/>
  <c r="AP130" i="10"/>
  <c r="AP286" i="10"/>
  <c r="AP150" i="10"/>
  <c r="AP180" i="10"/>
  <c r="AP274" i="10"/>
  <c r="AP32" i="10"/>
  <c r="AP45" i="10"/>
  <c r="AP200" i="10"/>
  <c r="AP97" i="10"/>
  <c r="AP135" i="10"/>
  <c r="AP128" i="10"/>
  <c r="AP339" i="10"/>
  <c r="AP299" i="10"/>
  <c r="AP329" i="10"/>
  <c r="AP438" i="10"/>
  <c r="AP399" i="10"/>
  <c r="AP478" i="10"/>
  <c r="AP481" i="10"/>
  <c r="AP537" i="10"/>
  <c r="AP557" i="10"/>
  <c r="AP376" i="10"/>
  <c r="AP529" i="10"/>
  <c r="AP74" i="10"/>
  <c r="AP43" i="10"/>
  <c r="AP33" i="10"/>
  <c r="AP195" i="10"/>
  <c r="AP223" i="10"/>
  <c r="AP377" i="10"/>
  <c r="AP326" i="10"/>
  <c r="AP418" i="10"/>
  <c r="AP482" i="10"/>
  <c r="AP520" i="10"/>
  <c r="AP548" i="10"/>
  <c r="AP378" i="10"/>
  <c r="AP531" i="10"/>
  <c r="AP38" i="10"/>
  <c r="AP141" i="10"/>
  <c r="AP170" i="10"/>
  <c r="AP84" i="10"/>
  <c r="AP100" i="10"/>
  <c r="AP211" i="10"/>
  <c r="AP255" i="10"/>
  <c r="AP336" i="10"/>
  <c r="AP333" i="10"/>
  <c r="AP374" i="10"/>
  <c r="AP423" i="10"/>
  <c r="AP454" i="10"/>
  <c r="AP517" i="10"/>
  <c r="AP51" i="10"/>
  <c r="AP145" i="10"/>
  <c r="AP88" i="10"/>
  <c r="AP203" i="10"/>
  <c r="AP335" i="10"/>
  <c r="AP465" i="10"/>
  <c r="AP530" i="10"/>
  <c r="AP319" i="10"/>
  <c r="AP348" i="10"/>
  <c r="AP57" i="10"/>
  <c r="AP357" i="10"/>
  <c r="AP264" i="10"/>
  <c r="AP427" i="10"/>
  <c r="AP350" i="10"/>
  <c r="AP22" i="10"/>
  <c r="AP422" i="10"/>
  <c r="AP340" i="10"/>
  <c r="AP554" i="10"/>
  <c r="AP461" i="10"/>
  <c r="AP194" i="10"/>
  <c r="AP400" i="10"/>
  <c r="AP460" i="10"/>
  <c r="AP121" i="10"/>
  <c r="AP508" i="10"/>
  <c r="AP143" i="10"/>
  <c r="AP493" i="10"/>
  <c r="AP507" i="10"/>
  <c r="AP396" i="10"/>
  <c r="AP83" i="10"/>
  <c r="AP532" i="10"/>
  <c r="AP124" i="10"/>
  <c r="AP538" i="10"/>
  <c r="AP490" i="10"/>
  <c r="AP115" i="10"/>
  <c r="AP324" i="10"/>
  <c r="AP315" i="10"/>
  <c r="AP77" i="10"/>
  <c r="AP491" i="10"/>
  <c r="AP268" i="10"/>
  <c r="AP424" i="10"/>
  <c r="AP279" i="10"/>
  <c r="AP65" i="10"/>
  <c r="AP131" i="10"/>
  <c r="AP551" i="10"/>
  <c r="AP311" i="10"/>
  <c r="AP368" i="10"/>
  <c r="AP62" i="10"/>
  <c r="AP10" i="10"/>
  <c r="AP9" i="10"/>
  <c r="AP11" i="10"/>
  <c r="AG7" i="5"/>
  <c r="AG44" i="5"/>
  <c r="AG45" i="5"/>
  <c r="AG48" i="5"/>
  <c r="AG57" i="5"/>
  <c r="AG67" i="5"/>
  <c r="AG26" i="5"/>
  <c r="AG72" i="5"/>
  <c r="AG94" i="5"/>
  <c r="AG105" i="5"/>
  <c r="AG101" i="5"/>
  <c r="AG127" i="5"/>
  <c r="AG104" i="5"/>
  <c r="AG99" i="5"/>
  <c r="AG134" i="5"/>
  <c r="AG116" i="5"/>
  <c r="AG158" i="5"/>
  <c r="AG112" i="5"/>
  <c r="AG169" i="5"/>
  <c r="AG140" i="5"/>
  <c r="AG185" i="5"/>
  <c r="AG201" i="5"/>
  <c r="AG223" i="5"/>
  <c r="AG192" i="5"/>
  <c r="AG232" i="5"/>
  <c r="AG212" i="5"/>
  <c r="AG235" i="5"/>
  <c r="AG252" i="5"/>
  <c r="AG274" i="5"/>
  <c r="AG306" i="5"/>
  <c r="AG332" i="5"/>
  <c r="AG258" i="5"/>
  <c r="AG289" i="5"/>
  <c r="AG319" i="5"/>
  <c r="AG244" i="5"/>
  <c r="AG285" i="5"/>
  <c r="AG318" i="5"/>
  <c r="AG348" i="5"/>
  <c r="AG290" i="5"/>
  <c r="AG382" i="5"/>
  <c r="AG406" i="5"/>
  <c r="AG46" i="5"/>
  <c r="AG27" i="5"/>
  <c r="AG49" i="5"/>
  <c r="AG61" i="5"/>
  <c r="AG68" i="5"/>
  <c r="AG80" i="5"/>
  <c r="AG76" i="5"/>
  <c r="AG74" i="5"/>
  <c r="AG107" i="5"/>
  <c r="AG108" i="5"/>
  <c r="AG132" i="5"/>
  <c r="AG124" i="5"/>
  <c r="AG106" i="5"/>
  <c r="AG137" i="5"/>
  <c r="AG123" i="5"/>
  <c r="AG171" i="5"/>
  <c r="AG125" i="5"/>
  <c r="AG170" i="5"/>
  <c r="AG155" i="5"/>
  <c r="AG186" i="5"/>
  <c r="AG206" i="5"/>
  <c r="AG227" i="5"/>
  <c r="AG207" i="5"/>
  <c r="AG242" i="5"/>
  <c r="AG213" i="5"/>
  <c r="AG236" i="5"/>
  <c r="AG254" i="5"/>
  <c r="AG277" i="5"/>
  <c r="AG309" i="5"/>
  <c r="AG203" i="5"/>
  <c r="AG266" i="5"/>
  <c r="AG292" i="5"/>
  <c r="AG325" i="5"/>
  <c r="AG253" i="5"/>
  <c r="AG288" i="5"/>
  <c r="AG323" i="5"/>
  <c r="AG349" i="5"/>
  <c r="AG310" i="5"/>
  <c r="AG388" i="5"/>
  <c r="AG415" i="5"/>
  <c r="AG180" i="5"/>
  <c r="AG29" i="5"/>
  <c r="AG24" i="5"/>
  <c r="AG34" i="5"/>
  <c r="AG25" i="5"/>
  <c r="AG41" i="5"/>
  <c r="AG23" i="5"/>
  <c r="AG69" i="5"/>
  <c r="AG78" i="5"/>
  <c r="AG96" i="5"/>
  <c r="AG79" i="5"/>
  <c r="AG100" i="5"/>
  <c r="AG141" i="5"/>
  <c r="AG142" i="5"/>
  <c r="AG118" i="5"/>
  <c r="AG139" i="5"/>
  <c r="AG135" i="5"/>
  <c r="AG177" i="5"/>
  <c r="AG131" i="5"/>
  <c r="AG182" i="5"/>
  <c r="AG160" i="5"/>
  <c r="AG190" i="5"/>
  <c r="AG176" i="5"/>
  <c r="AG239" i="5"/>
  <c r="AG211" i="5"/>
  <c r="AG159" i="5"/>
  <c r="AG221" i="5"/>
  <c r="AG240" i="5"/>
  <c r="AG257" i="5"/>
  <c r="AG283" i="5"/>
  <c r="AG314" i="5"/>
  <c r="AG210" i="5"/>
  <c r="AG276" i="5"/>
  <c r="AG299" i="5"/>
  <c r="AG328" i="5"/>
  <c r="AG261" i="5"/>
  <c r="AG296" i="5"/>
  <c r="AG336" i="5"/>
  <c r="AG356" i="5"/>
  <c r="AG341" i="5"/>
  <c r="AG397" i="5"/>
  <c r="AG421" i="5"/>
  <c r="AG262" i="5"/>
  <c r="AG30" i="5"/>
  <c r="AG28" i="5"/>
  <c r="AG36" i="5"/>
  <c r="AG37" i="5"/>
  <c r="AG56" i="5"/>
  <c r="AG58" i="5"/>
  <c r="AG70" i="5"/>
  <c r="AG81" i="5"/>
  <c r="AG97" i="5"/>
  <c r="AG82" i="5"/>
  <c r="AG113" i="5"/>
  <c r="AG143" i="5"/>
  <c r="AG148" i="5"/>
  <c r="AG119" i="5"/>
  <c r="AG146" i="5"/>
  <c r="AG144" i="5"/>
  <c r="AG178" i="5"/>
  <c r="AG149" i="5"/>
  <c r="AG184" i="5"/>
  <c r="AG162" i="5"/>
  <c r="AG194" i="5"/>
  <c r="AG193" i="5"/>
  <c r="AG245" i="5"/>
  <c r="AG216" i="5"/>
  <c r="AG166" i="5"/>
  <c r="AG222" i="5"/>
  <c r="AG214" i="5"/>
  <c r="AG33" i="5"/>
  <c r="AG32" i="5"/>
  <c r="AG40" i="5"/>
  <c r="AG50" i="5"/>
  <c r="AG60" i="5"/>
  <c r="AG59" i="5"/>
  <c r="AG73" i="5"/>
  <c r="AG86" i="5"/>
  <c r="AG98" i="5"/>
  <c r="AG85" i="5"/>
  <c r="AG114" i="5"/>
  <c r="AG145" i="5"/>
  <c r="AG151" i="5"/>
  <c r="AG120" i="5"/>
  <c r="AG152" i="5"/>
  <c r="AG147" i="5"/>
  <c r="AG179" i="5"/>
  <c r="AG161" i="5"/>
  <c r="AG95" i="5"/>
  <c r="AG167" i="5"/>
  <c r="AG197" i="5"/>
  <c r="AG208" i="5"/>
  <c r="AG247" i="5"/>
  <c r="AG220" i="5"/>
  <c r="AG188" i="5"/>
  <c r="AG225" i="5"/>
  <c r="AG228" i="5"/>
  <c r="AG263" i="5"/>
  <c r="AG293" i="5"/>
  <c r="AG320" i="5"/>
  <c r="AG241" i="5"/>
  <c r="AG279" i="5"/>
  <c r="AG308" i="5"/>
  <c r="AG196" i="5"/>
  <c r="AG269" i="5"/>
  <c r="AG303" i="5"/>
  <c r="AG342" i="5"/>
  <c r="AG174" i="5"/>
  <c r="AG366" i="5"/>
  <c r="AG400" i="5"/>
  <c r="AG429" i="5"/>
  <c r="AG42" i="5"/>
  <c r="AG62" i="5"/>
  <c r="AG77" i="5"/>
  <c r="AG91" i="5"/>
  <c r="AG156" i="5"/>
  <c r="AG129" i="5"/>
  <c r="AG165" i="5"/>
  <c r="AG198" i="5"/>
  <c r="AG209" i="5"/>
  <c r="AG233" i="5"/>
  <c r="AG280" i="5"/>
  <c r="AG205" i="5"/>
  <c r="AG297" i="5"/>
  <c r="AG259" i="5"/>
  <c r="AG335" i="5"/>
  <c r="AG330" i="5"/>
  <c r="AG420" i="5"/>
  <c r="AG298" i="5"/>
  <c r="AG367" i="5"/>
  <c r="AG393" i="5"/>
  <c r="AG339" i="5"/>
  <c r="AG373" i="5"/>
  <c r="AG414" i="5"/>
  <c r="AG344" i="5"/>
  <c r="AG431" i="5"/>
  <c r="AG481" i="5"/>
  <c r="AG508" i="5"/>
  <c r="AG357" i="5"/>
  <c r="AG442" i="5"/>
  <c r="AG475" i="5"/>
  <c r="AG515" i="5"/>
  <c r="AG423" i="5"/>
  <c r="AG471" i="5"/>
  <c r="AG505" i="5"/>
  <c r="AG546" i="5"/>
  <c r="AG204" i="5"/>
  <c r="AG482" i="5"/>
  <c r="AG541" i="5"/>
  <c r="AG484" i="5"/>
  <c r="AG532" i="5"/>
  <c r="AG413" i="5"/>
  <c r="AG511" i="5"/>
  <c r="AG446" i="5"/>
  <c r="AG538" i="5"/>
  <c r="AG324" i="5"/>
  <c r="AG369" i="5"/>
  <c r="AG501" i="5"/>
  <c r="AG479" i="5"/>
  <c r="AG440" i="5"/>
  <c r="AG31" i="5"/>
  <c r="AG65" i="5"/>
  <c r="AG90" i="5"/>
  <c r="AG83" i="5"/>
  <c r="AG92" i="5"/>
  <c r="AG150" i="5"/>
  <c r="AG181" i="5"/>
  <c r="AG199" i="5"/>
  <c r="AG224" i="5"/>
  <c r="AG238" i="5"/>
  <c r="AG287" i="5"/>
  <c r="AG219" i="5"/>
  <c r="AG304" i="5"/>
  <c r="AG264" i="5"/>
  <c r="AG338" i="5"/>
  <c r="AG364" i="5"/>
  <c r="AG424" i="5"/>
  <c r="AG321" i="5"/>
  <c r="AG368" i="5"/>
  <c r="AG396" i="5"/>
  <c r="AG347" i="5"/>
  <c r="AG375" i="5"/>
  <c r="AG417" i="5"/>
  <c r="AG346" i="5"/>
  <c r="AG438" i="5"/>
  <c r="AG487" i="5"/>
  <c r="AG510" i="5"/>
  <c r="AG370" i="5"/>
  <c r="AG447" i="5"/>
  <c r="AG483" i="5"/>
  <c r="AG516" i="5"/>
  <c r="AG439" i="5"/>
  <c r="AG474" i="5"/>
  <c r="AG507" i="5"/>
  <c r="AG548" i="5"/>
  <c r="AG380" i="5"/>
  <c r="AG492" i="5"/>
  <c r="AG542" i="5"/>
  <c r="AG495" i="5"/>
  <c r="AG536" i="5"/>
  <c r="AG426" i="5"/>
  <c r="AG523" i="5"/>
  <c r="AG449" i="5"/>
  <c r="AG544" i="5"/>
  <c r="AG55" i="5"/>
  <c r="AG163" i="5"/>
  <c r="AG286" i="5"/>
  <c r="AG268" i="5"/>
  <c r="AG427" i="5"/>
  <c r="AG399" i="5"/>
  <c r="AG539" i="5"/>
  <c r="AG534" i="5"/>
  <c r="AG43" i="5"/>
  <c r="AG20" i="5"/>
  <c r="AG93" i="5"/>
  <c r="AG115" i="5"/>
  <c r="AG109" i="5"/>
  <c r="AG153" i="5"/>
  <c r="AG111" i="5"/>
  <c r="AG154" i="5"/>
  <c r="AG229" i="5"/>
  <c r="AG249" i="5"/>
  <c r="AG295" i="5"/>
  <c r="AG246" i="5"/>
  <c r="AG311" i="5"/>
  <c r="AG271" i="5"/>
  <c r="AG343" i="5"/>
  <c r="AG374" i="5"/>
  <c r="AG433" i="5"/>
  <c r="AG326" i="5"/>
  <c r="AG372" i="5"/>
  <c r="AG405" i="5"/>
  <c r="AG351" i="5"/>
  <c r="AG383" i="5"/>
  <c r="AG418" i="5"/>
  <c r="AG350" i="5"/>
  <c r="AG443" i="5"/>
  <c r="AG488" i="5"/>
  <c r="AG513" i="5"/>
  <c r="AG384" i="5"/>
  <c r="AG448" i="5"/>
  <c r="AG485" i="5"/>
  <c r="AG517" i="5"/>
  <c r="AG452" i="5"/>
  <c r="AG477" i="5"/>
  <c r="AG512" i="5"/>
  <c r="AG549" i="5"/>
  <c r="AG392" i="5"/>
  <c r="AG506" i="5"/>
  <c r="AG547" i="5"/>
  <c r="AG519" i="5"/>
  <c r="AG540" i="5"/>
  <c r="AG428" i="5"/>
  <c r="AG529" i="5"/>
  <c r="AG470" i="5"/>
  <c r="AG19" i="5"/>
  <c r="AG273" i="5"/>
  <c r="AG317" i="5"/>
  <c r="AG435" i="5"/>
  <c r="AG559" i="5"/>
  <c r="AG467" i="5"/>
  <c r="AG8" i="5"/>
  <c r="AG47" i="5"/>
  <c r="AG63" i="5"/>
  <c r="AG87" i="5"/>
  <c r="AG121" i="5"/>
  <c r="AG122" i="5"/>
  <c r="AG173" i="5"/>
  <c r="AG133" i="5"/>
  <c r="AG215" i="5"/>
  <c r="AG243" i="5"/>
  <c r="AG251" i="5"/>
  <c r="AG301" i="5"/>
  <c r="AG250" i="5"/>
  <c r="AG316" i="5"/>
  <c r="AG281" i="5"/>
  <c r="AG345" i="5"/>
  <c r="AG378" i="5"/>
  <c r="AG436" i="5"/>
  <c r="AG329" i="5"/>
  <c r="AG376" i="5"/>
  <c r="AG407" i="5"/>
  <c r="AG352" i="5"/>
  <c r="AG385" i="5"/>
  <c r="AG168" i="5"/>
  <c r="AG371" i="5"/>
  <c r="AG445" i="5"/>
  <c r="AG489" i="5"/>
  <c r="AG518" i="5"/>
  <c r="AG408" i="5"/>
  <c r="AG456" i="5"/>
  <c r="AG490" i="5"/>
  <c r="AG272" i="5"/>
  <c r="AG453" i="5"/>
  <c r="AG478" i="5"/>
  <c r="AG514" i="5"/>
  <c r="AG550" i="5"/>
  <c r="AG416" i="5"/>
  <c r="AG509" i="5"/>
  <c r="AG554" i="5"/>
  <c r="AG526" i="5"/>
  <c r="AG358" i="5"/>
  <c r="AG430" i="5"/>
  <c r="AG537" i="5"/>
  <c r="AG500" i="5"/>
  <c r="AG64" i="5"/>
  <c r="AG110" i="5"/>
  <c r="AG230" i="5"/>
  <c r="AG284" i="5"/>
  <c r="AG362" i="5"/>
  <c r="AG334" i="5"/>
  <c r="AG472" i="5"/>
  <c r="AG543" i="5"/>
  <c r="AG395" i="5"/>
  <c r="AG35" i="5"/>
  <c r="AG51" i="5"/>
  <c r="AG66" i="5"/>
  <c r="AG102" i="5"/>
  <c r="AG136" i="5"/>
  <c r="AG130" i="5"/>
  <c r="AG183" i="5"/>
  <c r="AG157" i="5"/>
  <c r="AG218" i="5"/>
  <c r="AG191" i="5"/>
  <c r="AG255" i="5"/>
  <c r="AG312" i="5"/>
  <c r="AG270" i="5"/>
  <c r="AG327" i="5"/>
  <c r="AG291" i="5"/>
  <c r="AG354" i="5"/>
  <c r="AG394" i="5"/>
  <c r="AG437" i="5"/>
  <c r="AG333" i="5"/>
  <c r="AG381" i="5"/>
  <c r="AG409" i="5"/>
  <c r="AG353" i="5"/>
  <c r="AG390" i="5"/>
  <c r="AG256" i="5"/>
  <c r="AG379" i="5"/>
  <c r="AG450" i="5"/>
  <c r="AG493" i="5"/>
  <c r="AG522" i="5"/>
  <c r="AG422" i="5"/>
  <c r="AG458" i="5"/>
  <c r="AG491" i="5"/>
  <c r="AG302" i="5"/>
  <c r="AG457" i="5"/>
  <c r="AG480" i="5"/>
  <c r="AG524" i="5"/>
  <c r="AG551" i="5"/>
  <c r="AG463" i="5"/>
  <c r="AG520" i="5"/>
  <c r="AG441" i="5"/>
  <c r="AG533" i="5"/>
  <c r="AG365" i="5"/>
  <c r="AG432" i="5"/>
  <c r="AG556" i="5"/>
  <c r="AG503" i="5"/>
  <c r="AG502" i="5"/>
  <c r="AG38" i="5"/>
  <c r="AG53" i="5"/>
  <c r="AG22" i="5"/>
  <c r="AG103" i="5"/>
  <c r="AG71" i="5"/>
  <c r="AG138" i="5"/>
  <c r="AG187" i="5"/>
  <c r="AG172" i="5"/>
  <c r="AG234" i="5"/>
  <c r="AG195" i="5"/>
  <c r="AG260" i="5"/>
  <c r="AG315" i="5"/>
  <c r="AG278" i="5"/>
  <c r="AG117" i="5"/>
  <c r="AG300" i="5"/>
  <c r="AG359" i="5"/>
  <c r="AG398" i="5"/>
  <c r="AG226" i="5"/>
  <c r="AG340" i="5"/>
  <c r="AG386" i="5"/>
  <c r="AG410" i="5"/>
  <c r="AG360" i="5"/>
  <c r="AG402" i="5"/>
  <c r="AG275" i="5"/>
  <c r="AG412" i="5"/>
  <c r="AG451" i="5"/>
  <c r="AG494" i="5"/>
  <c r="AG530" i="5"/>
  <c r="AG425" i="5"/>
  <c r="AG460" i="5"/>
  <c r="AG496" i="5"/>
  <c r="AG337" i="5"/>
  <c r="AG459" i="5"/>
  <c r="AG486" i="5"/>
  <c r="AG525" i="5"/>
  <c r="AG553" i="5"/>
  <c r="AG473" i="5"/>
  <c r="AG528" i="5"/>
  <c r="AG444" i="5"/>
  <c r="AG545" i="5"/>
  <c r="AG377" i="5"/>
  <c r="AG454" i="5"/>
  <c r="AG558" i="5"/>
  <c r="AG521" i="5"/>
  <c r="AG88" i="5"/>
  <c r="AG189" i="5"/>
  <c r="AG313" i="5"/>
  <c r="AG391" i="5"/>
  <c r="AG469" i="5"/>
  <c r="AG468" i="5"/>
  <c r="AG465" i="5"/>
  <c r="AG21" i="5"/>
  <c r="AG54" i="5"/>
  <c r="AG52" i="5"/>
  <c r="AG75" i="5"/>
  <c r="AG89" i="5"/>
  <c r="AG84" i="5"/>
  <c r="AG128" i="5"/>
  <c r="AG175" i="5"/>
  <c r="AG248" i="5"/>
  <c r="AG217" i="5"/>
  <c r="AG265" i="5"/>
  <c r="AG322" i="5"/>
  <c r="AG282" i="5"/>
  <c r="AG200" i="5"/>
  <c r="AG307" i="5"/>
  <c r="AG231" i="5"/>
  <c r="AG401" i="5"/>
  <c r="AG267" i="5"/>
  <c r="AG355" i="5"/>
  <c r="AG387" i="5"/>
  <c r="AG202" i="5"/>
  <c r="AG361" i="5"/>
  <c r="AG404" i="5"/>
  <c r="AG305" i="5"/>
  <c r="AG419" i="5"/>
  <c r="AG466" i="5"/>
  <c r="AG499" i="5"/>
  <c r="AG294" i="5"/>
  <c r="AG434" i="5"/>
  <c r="AG464" i="5"/>
  <c r="AG497" i="5"/>
  <c r="AG363" i="5"/>
  <c r="AG462" i="5"/>
  <c r="AG498" i="5"/>
  <c r="AG531" i="5"/>
  <c r="AG557" i="5"/>
  <c r="AG476" i="5"/>
  <c r="AG535" i="5"/>
  <c r="AG455" i="5"/>
  <c r="AG552" i="5"/>
  <c r="AG389" i="5"/>
  <c r="AG461" i="5"/>
  <c r="AG560" i="5"/>
  <c r="AG527" i="5"/>
  <c r="AG39" i="5"/>
  <c r="AG126" i="5"/>
  <c r="AG164" i="5"/>
  <c r="AG237" i="5"/>
  <c r="AG403" i="5"/>
  <c r="AG411" i="5"/>
  <c r="AG331" i="5"/>
  <c r="AG504" i="5"/>
  <c r="AG555" i="5"/>
  <c r="AG10" i="5"/>
  <c r="AG9" i="5"/>
  <c r="AG11" i="5"/>
  <c r="AM19" i="10"/>
  <c r="AM29" i="10"/>
  <c r="AM61" i="10"/>
  <c r="AM30" i="10"/>
  <c r="AM25" i="10"/>
  <c r="AM70" i="10"/>
  <c r="AM114" i="10"/>
  <c r="AM31" i="10"/>
  <c r="AM63" i="10"/>
  <c r="AM33" i="10"/>
  <c r="AM28" i="10"/>
  <c r="AM75" i="10"/>
  <c r="AM120" i="10"/>
  <c r="AM81" i="10"/>
  <c r="AM128" i="10"/>
  <c r="AM160" i="10"/>
  <c r="AM198" i="10"/>
  <c r="AM226" i="10"/>
  <c r="AM257" i="10"/>
  <c r="AM289" i="10"/>
  <c r="AM317" i="10"/>
  <c r="AM349" i="10"/>
  <c r="AM44" i="10"/>
  <c r="AM34" i="10"/>
  <c r="AM66" i="10"/>
  <c r="AM42" i="10"/>
  <c r="AM35" i="10"/>
  <c r="AM80" i="10"/>
  <c r="AM122" i="10"/>
  <c r="AM84" i="10"/>
  <c r="AM130" i="10"/>
  <c r="AM162" i="10"/>
  <c r="AM201" i="10"/>
  <c r="AM228" i="10"/>
  <c r="AM260" i="10"/>
  <c r="AM292" i="10"/>
  <c r="AM321" i="10"/>
  <c r="AM353" i="10"/>
  <c r="AM53" i="10"/>
  <c r="AM40" i="10"/>
  <c r="AM72" i="10"/>
  <c r="AM52" i="10"/>
  <c r="AM37" i="10"/>
  <c r="AM88" i="10"/>
  <c r="AM27" i="10"/>
  <c r="AM86" i="10"/>
  <c r="AM136" i="10"/>
  <c r="AM168" i="10"/>
  <c r="AM203" i="10"/>
  <c r="AM230" i="10"/>
  <c r="AM262" i="10"/>
  <c r="AM294" i="10"/>
  <c r="AM325" i="10"/>
  <c r="AM357" i="10"/>
  <c r="AM60" i="10"/>
  <c r="AM45" i="10"/>
  <c r="AM77" i="10"/>
  <c r="AM26" i="10"/>
  <c r="AM46" i="10"/>
  <c r="AM93" i="10"/>
  <c r="AM47" i="10"/>
  <c r="AM79" i="10"/>
  <c r="AM36" i="10"/>
  <c r="AM49" i="10"/>
  <c r="AM95" i="10"/>
  <c r="AM48" i="10"/>
  <c r="AM96" i="10"/>
  <c r="AM144" i="10"/>
  <c r="AM176" i="10"/>
  <c r="AM213" i="10"/>
  <c r="AM241" i="10"/>
  <c r="AM273" i="10"/>
  <c r="AM301" i="10"/>
  <c r="AM333" i="10"/>
  <c r="AM365" i="10"/>
  <c r="AM69" i="10"/>
  <c r="AM50" i="10"/>
  <c r="AM82" i="10"/>
  <c r="AM38" i="10"/>
  <c r="AM58" i="10"/>
  <c r="AM98" i="10"/>
  <c r="AM59" i="10"/>
  <c r="AM103" i="10"/>
  <c r="AM146" i="10"/>
  <c r="AM178" i="10"/>
  <c r="AM219" i="10"/>
  <c r="AM244" i="10"/>
  <c r="AM276" i="10"/>
  <c r="AM305" i="10"/>
  <c r="AM337" i="10"/>
  <c r="AM369" i="10"/>
  <c r="AM76" i="10"/>
  <c r="AM24" i="10"/>
  <c r="AM56" i="10"/>
  <c r="AM21" i="10"/>
  <c r="AM23" i="10"/>
  <c r="AM68" i="10"/>
  <c r="AM112" i="10"/>
  <c r="AM65" i="10"/>
  <c r="AM111" i="10"/>
  <c r="AM152" i="10"/>
  <c r="AM184" i="10"/>
  <c r="AM221" i="10"/>
  <c r="AM246" i="10"/>
  <c r="AM278" i="10"/>
  <c r="AM309" i="10"/>
  <c r="AM341" i="10"/>
  <c r="AM20" i="10"/>
  <c r="AM43" i="10"/>
  <c r="AM208" i="10"/>
  <c r="AM329" i="10"/>
  <c r="AM92" i="10"/>
  <c r="AM129" i="10"/>
  <c r="AM161" i="10"/>
  <c r="AM195" i="10"/>
  <c r="AM231" i="10"/>
  <c r="AM263" i="10"/>
  <c r="AM295" i="10"/>
  <c r="AM327" i="10"/>
  <c r="AM359" i="10"/>
  <c r="AM100" i="10"/>
  <c r="AM132" i="10"/>
  <c r="AM189" i="10"/>
  <c r="AM224" i="10"/>
  <c r="AM255" i="10"/>
  <c r="AM287" i="10"/>
  <c r="AM320" i="10"/>
  <c r="AM380" i="10"/>
  <c r="AM426" i="10"/>
  <c r="AM97" i="10"/>
  <c r="AM175" i="10"/>
  <c r="AM243" i="10"/>
  <c r="AM338" i="10"/>
  <c r="AM444" i="10"/>
  <c r="AM479" i="10"/>
  <c r="AM511" i="10"/>
  <c r="AM543" i="10"/>
  <c r="AM238" i="10"/>
  <c r="AM458" i="10"/>
  <c r="AM558" i="10"/>
  <c r="AM227" i="10"/>
  <c r="AM378" i="10"/>
  <c r="AM399" i="10"/>
  <c r="AM429" i="10"/>
  <c r="AM460" i="10"/>
  <c r="AM492" i="10"/>
  <c r="AM524" i="10"/>
  <c r="AM556" i="10"/>
  <c r="AM358" i="10"/>
  <c r="AM494" i="10"/>
  <c r="AM94" i="10"/>
  <c r="AM173" i="10"/>
  <c r="AM328" i="10"/>
  <c r="AM377" i="10"/>
  <c r="AM214" i="10"/>
  <c r="AM74" i="10"/>
  <c r="AM223" i="10"/>
  <c r="AM345" i="10"/>
  <c r="AM99" i="10"/>
  <c r="AM134" i="10"/>
  <c r="AM166" i="10"/>
  <c r="AM200" i="10"/>
  <c r="AM237" i="10"/>
  <c r="AM269" i="10"/>
  <c r="AM299" i="10"/>
  <c r="AM331" i="10"/>
  <c r="AM363" i="10"/>
  <c r="AM102" i="10"/>
  <c r="AM140" i="10"/>
  <c r="AM191" i="10"/>
  <c r="AM229" i="10"/>
  <c r="AM261" i="10"/>
  <c r="AM293" i="10"/>
  <c r="AM324" i="10"/>
  <c r="AM388" i="10"/>
  <c r="AM430" i="10"/>
  <c r="AM107" i="10"/>
  <c r="AM183" i="10"/>
  <c r="AM252" i="10"/>
  <c r="AM346" i="10"/>
  <c r="AM451" i="10"/>
  <c r="AM483" i="10"/>
  <c r="AM515" i="10"/>
  <c r="AM547" i="10"/>
  <c r="AM284" i="10"/>
  <c r="AM470" i="10"/>
  <c r="AM32" i="10"/>
  <c r="AM236" i="10"/>
  <c r="AM381" i="10"/>
  <c r="AM402" i="10"/>
  <c r="AM431" i="10"/>
  <c r="AM464" i="10"/>
  <c r="AM496" i="10"/>
  <c r="AM528" i="10"/>
  <c r="AM83" i="10"/>
  <c r="AM384" i="10"/>
  <c r="AM502" i="10"/>
  <c r="AM115" i="10"/>
  <c r="AM181" i="10"/>
  <c r="AM336" i="10"/>
  <c r="AM379" i="10"/>
  <c r="AM401" i="10"/>
  <c r="AM427" i="10"/>
  <c r="AM461" i="10"/>
  <c r="AM493" i="10"/>
  <c r="AM525" i="10"/>
  <c r="AM557" i="10"/>
  <c r="AM265" i="10"/>
  <c r="AM462" i="10"/>
  <c r="AM550" i="10"/>
  <c r="AM445" i="10"/>
  <c r="AM440" i="10"/>
  <c r="AM360" i="10"/>
  <c r="AM473" i="10"/>
  <c r="AM113" i="10"/>
  <c r="AM375" i="10"/>
  <c r="AM334" i="10"/>
  <c r="AM453" i="10"/>
  <c r="AM398" i="10"/>
  <c r="AM542" i="10"/>
  <c r="AM91" i="10"/>
  <c r="AM235" i="10"/>
  <c r="AM361" i="10"/>
  <c r="AM101" i="10"/>
  <c r="AM137" i="10"/>
  <c r="AM169" i="10"/>
  <c r="AM205" i="10"/>
  <c r="AM240" i="10"/>
  <c r="AM272" i="10"/>
  <c r="AM303" i="10"/>
  <c r="AM335" i="10"/>
  <c r="AM367" i="10"/>
  <c r="AM105" i="10"/>
  <c r="AM148" i="10"/>
  <c r="AM194" i="10"/>
  <c r="AM232" i="10"/>
  <c r="AM264" i="10"/>
  <c r="AM296" i="10"/>
  <c r="AM332" i="10"/>
  <c r="AM396" i="10"/>
  <c r="AM434" i="10"/>
  <c r="AM127" i="10"/>
  <c r="AM190" i="10"/>
  <c r="AM270" i="10"/>
  <c r="AM354" i="10"/>
  <c r="AM455" i="10"/>
  <c r="AM487" i="10"/>
  <c r="AM519" i="10"/>
  <c r="AM551" i="10"/>
  <c r="AM318" i="10"/>
  <c r="AM482" i="10"/>
  <c r="AM54" i="10"/>
  <c r="AM254" i="10"/>
  <c r="AM383" i="10"/>
  <c r="AM405" i="10"/>
  <c r="AM437" i="10"/>
  <c r="AM468" i="10"/>
  <c r="AM500" i="10"/>
  <c r="AM532" i="10"/>
  <c r="AM131" i="10"/>
  <c r="AM408" i="10"/>
  <c r="AM514" i="10"/>
  <c r="AM125" i="10"/>
  <c r="AM202" i="10"/>
  <c r="AM344" i="10"/>
  <c r="AM382" i="10"/>
  <c r="AM403" i="10"/>
  <c r="AM433" i="10"/>
  <c r="AM465" i="10"/>
  <c r="AM497" i="10"/>
  <c r="AM529" i="10"/>
  <c r="AM555" i="10"/>
  <c r="AM302" i="10"/>
  <c r="AM474" i="10"/>
  <c r="AM540" i="10"/>
  <c r="AM141" i="10"/>
  <c r="AM409" i="10"/>
  <c r="AM505" i="10"/>
  <c r="AM498" i="10"/>
  <c r="AM397" i="10"/>
  <c r="AM478" i="10"/>
  <c r="AM419" i="10"/>
  <c r="AM526" i="10"/>
  <c r="AM553" i="10"/>
  <c r="AM119" i="10"/>
  <c r="AM251" i="10"/>
  <c r="AM39" i="10"/>
  <c r="AM104" i="10"/>
  <c r="AM142" i="10"/>
  <c r="AM174" i="10"/>
  <c r="AM207" i="10"/>
  <c r="AM242" i="10"/>
  <c r="AM274" i="10"/>
  <c r="AM307" i="10"/>
  <c r="AM339" i="10"/>
  <c r="AM41" i="10"/>
  <c r="AM108" i="10"/>
  <c r="AM156" i="10"/>
  <c r="AM196" i="10"/>
  <c r="AM234" i="10"/>
  <c r="AM266" i="10"/>
  <c r="AM300" i="10"/>
  <c r="AM340" i="10"/>
  <c r="AM404" i="10"/>
  <c r="AM438" i="10"/>
  <c r="AM135" i="10"/>
  <c r="AM197" i="10"/>
  <c r="AM298" i="10"/>
  <c r="AM362" i="10"/>
  <c r="AM459" i="10"/>
  <c r="AM491" i="10"/>
  <c r="AM523" i="10"/>
  <c r="AM559" i="10"/>
  <c r="AM342" i="10"/>
  <c r="AM490" i="10"/>
  <c r="AM67" i="10"/>
  <c r="AM281" i="10"/>
  <c r="AM386" i="10"/>
  <c r="AM407" i="10"/>
  <c r="AM439" i="10"/>
  <c r="AM472" i="10"/>
  <c r="AM504" i="10"/>
  <c r="AM536" i="10"/>
  <c r="AM155" i="10"/>
  <c r="AM424" i="10"/>
  <c r="AM530" i="10"/>
  <c r="AM133" i="10"/>
  <c r="AM216" i="10"/>
  <c r="AM352" i="10"/>
  <c r="AM385" i="10"/>
  <c r="AM406" i="10"/>
  <c r="AM435" i="10"/>
  <c r="AM469" i="10"/>
  <c r="AM501" i="10"/>
  <c r="AM533" i="10"/>
  <c r="AM560" i="10"/>
  <c r="AM326" i="10"/>
  <c r="AM486" i="10"/>
  <c r="AM508" i="10"/>
  <c r="AM538" i="10"/>
  <c r="AM387" i="10"/>
  <c r="AM537" i="10"/>
  <c r="AM448" i="10"/>
  <c r="AM520" i="10"/>
  <c r="AM286" i="10"/>
  <c r="AM549" i="10"/>
  <c r="AM489" i="10"/>
  <c r="AM138" i="10"/>
  <c r="AM267" i="10"/>
  <c r="AM62" i="10"/>
  <c r="AM106" i="10"/>
  <c r="AM145" i="10"/>
  <c r="AM177" i="10"/>
  <c r="AM210" i="10"/>
  <c r="AM247" i="10"/>
  <c r="AM279" i="10"/>
  <c r="AM311" i="10"/>
  <c r="AM343" i="10"/>
  <c r="AM51" i="10"/>
  <c r="AM110" i="10"/>
  <c r="AM164" i="10"/>
  <c r="AM206" i="10"/>
  <c r="AM239" i="10"/>
  <c r="AM271" i="10"/>
  <c r="AM304" i="10"/>
  <c r="AM348" i="10"/>
  <c r="AM410" i="10"/>
  <c r="AM442" i="10"/>
  <c r="AM143" i="10"/>
  <c r="AM204" i="10"/>
  <c r="AM306" i="10"/>
  <c r="AM412" i="10"/>
  <c r="AM463" i="10"/>
  <c r="AM495" i="10"/>
  <c r="AM527" i="10"/>
  <c r="AM57" i="10"/>
  <c r="AM366" i="10"/>
  <c r="AM506" i="10"/>
  <c r="AM121" i="10"/>
  <c r="AM291" i="10"/>
  <c r="AM389" i="10"/>
  <c r="AM413" i="10"/>
  <c r="AM476" i="10"/>
  <c r="AM222" i="10"/>
  <c r="AM249" i="10"/>
  <c r="AM441" i="10"/>
  <c r="AM350" i="10"/>
  <c r="AM423" i="10"/>
  <c r="AM85" i="10"/>
  <c r="AM485" i="10"/>
  <c r="AM457" i="10"/>
  <c r="AM154" i="10"/>
  <c r="AM283" i="10"/>
  <c r="AM78" i="10"/>
  <c r="AM109" i="10"/>
  <c r="AM150" i="10"/>
  <c r="AM182" i="10"/>
  <c r="AM212" i="10"/>
  <c r="AM253" i="10"/>
  <c r="AM285" i="10"/>
  <c r="AM315" i="10"/>
  <c r="AM347" i="10"/>
  <c r="AM55" i="10"/>
  <c r="AM116" i="10"/>
  <c r="AM172" i="10"/>
  <c r="AM209" i="10"/>
  <c r="AM245" i="10"/>
  <c r="AM277" i="10"/>
  <c r="AM308" i="10"/>
  <c r="AM356" i="10"/>
  <c r="AM414" i="10"/>
  <c r="AM446" i="10"/>
  <c r="AM151" i="10"/>
  <c r="AM218" i="10"/>
  <c r="AM314" i="10"/>
  <c r="AM420" i="10"/>
  <c r="AM467" i="10"/>
  <c r="AM499" i="10"/>
  <c r="AM531" i="10"/>
  <c r="AM123" i="10"/>
  <c r="AM400" i="10"/>
  <c r="AM522" i="10"/>
  <c r="AM185" i="10"/>
  <c r="AM370" i="10"/>
  <c r="AM391" i="10"/>
  <c r="AM415" i="10"/>
  <c r="AM447" i="10"/>
  <c r="AM480" i="10"/>
  <c r="AM512" i="10"/>
  <c r="AM544" i="10"/>
  <c r="AM275" i="10"/>
  <c r="AM454" i="10"/>
  <c r="AM554" i="10"/>
  <c r="AM149" i="10"/>
  <c r="AM259" i="10"/>
  <c r="AM368" i="10"/>
  <c r="AM390" i="10"/>
  <c r="AM411" i="10"/>
  <c r="AM443" i="10"/>
  <c r="AM477" i="10"/>
  <c r="AM509" i="10"/>
  <c r="AM541" i="10"/>
  <c r="AM139" i="10"/>
  <c r="AM376" i="10"/>
  <c r="AM510" i="10"/>
  <c r="AM371" i="10"/>
  <c r="AM417" i="10"/>
  <c r="AM481" i="10"/>
  <c r="AM545" i="10"/>
  <c r="AM392" i="10"/>
  <c r="AM179" i="10"/>
  <c r="AM456" i="10"/>
  <c r="AM165" i="10"/>
  <c r="AM517" i="10"/>
  <c r="AM425" i="10"/>
  <c r="AM170" i="10"/>
  <c r="AM297" i="10"/>
  <c r="AM87" i="10"/>
  <c r="AM117" i="10"/>
  <c r="AM153" i="10"/>
  <c r="AM186" i="10"/>
  <c r="AM217" i="10"/>
  <c r="AM256" i="10"/>
  <c r="AM288" i="10"/>
  <c r="AM319" i="10"/>
  <c r="AM351" i="10"/>
  <c r="AM71" i="10"/>
  <c r="AM118" i="10"/>
  <c r="AM180" i="10"/>
  <c r="AM211" i="10"/>
  <c r="AM248" i="10"/>
  <c r="AM280" i="10"/>
  <c r="AM312" i="10"/>
  <c r="AM364" i="10"/>
  <c r="AM418" i="10"/>
  <c r="AM22" i="10"/>
  <c r="AM159" i="10"/>
  <c r="AM225" i="10"/>
  <c r="AM322" i="10"/>
  <c r="AM428" i="10"/>
  <c r="AM471" i="10"/>
  <c r="AM503" i="10"/>
  <c r="AM535" i="10"/>
  <c r="AM163" i="10"/>
  <c r="AM432" i="10"/>
  <c r="AM534" i="10"/>
  <c r="AM192" i="10"/>
  <c r="AM373" i="10"/>
  <c r="AM394" i="10"/>
  <c r="AM421" i="10"/>
  <c r="AM452" i="10"/>
  <c r="AM484" i="10"/>
  <c r="AM516" i="10"/>
  <c r="AM548" i="10"/>
  <c r="AM310" i="10"/>
  <c r="AM466" i="10"/>
  <c r="AM73" i="10"/>
  <c r="AM157" i="10"/>
  <c r="AM268" i="10"/>
  <c r="AM393" i="10"/>
  <c r="AM449" i="10"/>
  <c r="AM513" i="10"/>
  <c r="AM147" i="10"/>
  <c r="AM518" i="10"/>
  <c r="AM546" i="10"/>
  <c r="AM552" i="10"/>
  <c r="AM395" i="10"/>
  <c r="AM171" i="10"/>
  <c r="AM521" i="10"/>
  <c r="AM188" i="10"/>
  <c r="AM313" i="10"/>
  <c r="AM89" i="10"/>
  <c r="AM126" i="10"/>
  <c r="AM158" i="10"/>
  <c r="AM193" i="10"/>
  <c r="AM220" i="10"/>
  <c r="AM258" i="10"/>
  <c r="AM290" i="10"/>
  <c r="AM323" i="10"/>
  <c r="AM355" i="10"/>
  <c r="AM90" i="10"/>
  <c r="AM124" i="10"/>
  <c r="AM187" i="10"/>
  <c r="AM215" i="10"/>
  <c r="AM250" i="10"/>
  <c r="AM282" i="10"/>
  <c r="AM316" i="10"/>
  <c r="AM372" i="10"/>
  <c r="AM422" i="10"/>
  <c r="AM64" i="10"/>
  <c r="AM167" i="10"/>
  <c r="AM233" i="10"/>
  <c r="AM330" i="10"/>
  <c r="AM436" i="10"/>
  <c r="AM475" i="10"/>
  <c r="AM507" i="10"/>
  <c r="AM539" i="10"/>
  <c r="AM199" i="10"/>
  <c r="AM488" i="10"/>
  <c r="AM374" i="10"/>
  <c r="AM416" i="10"/>
  <c r="AM450" i="10"/>
  <c r="AM8" i="10"/>
  <c r="AM7" i="10"/>
  <c r="AM10" i="10"/>
  <c r="AM9" i="10"/>
  <c r="AM11" i="10"/>
  <c r="AS13" i="10" l="1"/>
  <c r="AS334" i="10"/>
  <c r="AU334" i="10" s="1"/>
  <c r="AS533" i="10"/>
  <c r="AT533" i="10" s="1"/>
  <c r="AS560" i="10"/>
  <c r="AT560" i="10" s="1"/>
  <c r="AS300" i="10"/>
  <c r="AS415" i="10"/>
  <c r="AT415" i="10" s="1"/>
  <c r="AS33" i="10"/>
  <c r="AU33" i="10" s="1"/>
  <c r="AS111" i="10"/>
  <c r="AT111" i="10" s="1"/>
  <c r="AS184" i="10"/>
  <c r="AT184" i="10" s="1"/>
  <c r="AS387" i="10"/>
  <c r="AU387" i="10" s="1"/>
  <c r="AS20" i="10"/>
  <c r="AT20" i="10" s="1"/>
  <c r="AS39" i="10"/>
  <c r="AU39" i="10" s="1"/>
  <c r="AS115" i="10"/>
  <c r="AU115" i="10" s="1"/>
  <c r="AS188" i="10"/>
  <c r="AU188" i="10" s="1"/>
  <c r="AS218" i="10"/>
  <c r="AU218" i="10" s="1"/>
  <c r="AS391" i="10"/>
  <c r="AU391" i="10" s="1"/>
  <c r="AS47" i="10"/>
  <c r="AV47" i="10" s="1"/>
  <c r="AS75" i="10"/>
  <c r="AT75" i="10" s="1"/>
  <c r="AS253" i="10"/>
  <c r="AT253" i="10" s="1"/>
  <c r="AS250" i="10"/>
  <c r="AV250" i="10" s="1"/>
  <c r="AS85" i="10"/>
  <c r="AS289" i="10"/>
  <c r="AT289" i="10" s="1"/>
  <c r="AS286" i="10"/>
  <c r="AU286" i="10" s="1"/>
  <c r="AS464" i="10"/>
  <c r="AU464" i="10" s="1"/>
  <c r="AS40" i="10"/>
  <c r="AU40" i="10" s="1"/>
  <c r="AS78" i="10"/>
  <c r="AU78" i="10" s="1"/>
  <c r="AS276" i="10"/>
  <c r="AU276" i="10" s="1"/>
  <c r="AS114" i="10"/>
  <c r="AT114" i="10" s="1"/>
  <c r="AS76" i="10"/>
  <c r="AU76" i="10" s="1"/>
  <c r="AS380" i="10"/>
  <c r="AV380" i="10" s="1"/>
  <c r="AS359" i="10"/>
  <c r="AU359" i="10" s="1"/>
  <c r="AS358" i="10"/>
  <c r="AU358" i="10" s="1"/>
  <c r="AS484" i="10"/>
  <c r="AT484" i="10" s="1"/>
  <c r="AS145" i="10"/>
  <c r="AV145" i="10" s="1"/>
  <c r="AS150" i="10"/>
  <c r="AT150" i="10" s="1"/>
  <c r="AS112" i="10"/>
  <c r="AU112" i="10" s="1"/>
  <c r="AS228" i="10"/>
  <c r="AT228" i="10" s="1"/>
  <c r="AS324" i="10"/>
  <c r="AU324" i="10" s="1"/>
  <c r="AS503" i="10"/>
  <c r="AU503" i="10" s="1"/>
  <c r="AS497" i="10"/>
  <c r="AT497" i="10" s="1"/>
  <c r="AS471" i="10"/>
  <c r="AS446" i="10"/>
  <c r="AU446" i="10" s="1"/>
  <c r="AS537" i="10"/>
  <c r="AV537" i="10" s="1"/>
  <c r="AS454" i="10"/>
  <c r="AT454" i="10" s="1"/>
  <c r="AS518" i="10"/>
  <c r="AT518" i="10" s="1"/>
  <c r="AS478" i="10"/>
  <c r="AT478" i="10" s="1"/>
  <c r="AS523" i="10"/>
  <c r="AU523" i="10" s="1"/>
  <c r="AS432" i="10"/>
  <c r="AV432" i="10" s="1"/>
  <c r="AS525" i="10"/>
  <c r="AT525" i="10" s="1"/>
  <c r="AO187" i="10"/>
  <c r="AN187" i="10"/>
  <c r="AO71" i="10"/>
  <c r="AN71" i="10"/>
  <c r="AN414" i="10"/>
  <c r="AO414" i="10"/>
  <c r="AN239" i="10"/>
  <c r="AO239" i="10"/>
  <c r="AN197" i="10"/>
  <c r="AO197" i="10"/>
  <c r="AO482" i="10"/>
  <c r="AN482" i="10"/>
  <c r="AN427" i="10"/>
  <c r="AO427" i="10"/>
  <c r="AO214" i="10"/>
  <c r="AN214" i="10"/>
  <c r="AN65" i="10"/>
  <c r="AO65" i="10"/>
  <c r="AO262" i="10"/>
  <c r="AN262" i="10"/>
  <c r="AO61" i="10"/>
  <c r="AN61" i="10"/>
  <c r="AP265" i="5"/>
  <c r="AI265" i="5"/>
  <c r="AH265" i="5"/>
  <c r="AI360" i="5"/>
  <c r="AH360" i="5"/>
  <c r="AP360" i="5"/>
  <c r="AH556" i="5"/>
  <c r="AI556" i="5"/>
  <c r="AP556" i="5"/>
  <c r="AH284" i="5"/>
  <c r="AP284" i="5"/>
  <c r="AI284" i="5"/>
  <c r="AP428" i="5"/>
  <c r="AI428" i="5"/>
  <c r="AH428" i="5"/>
  <c r="AH43" i="5"/>
  <c r="AI43" i="5"/>
  <c r="AP43" i="5"/>
  <c r="AI92" i="5"/>
  <c r="AP92" i="5"/>
  <c r="AH92" i="5"/>
  <c r="AI259" i="5"/>
  <c r="AH259" i="5"/>
  <c r="AP259" i="5"/>
  <c r="AH152" i="5"/>
  <c r="AI152" i="5"/>
  <c r="AP152" i="5"/>
  <c r="AI149" i="5"/>
  <c r="AH149" i="5"/>
  <c r="AP149" i="5"/>
  <c r="AI141" i="5"/>
  <c r="AH141" i="5"/>
  <c r="AP141" i="5"/>
  <c r="AI106" i="5"/>
  <c r="AH106" i="5"/>
  <c r="AP106" i="5"/>
  <c r="AR424" i="10"/>
  <c r="AQ424" i="10"/>
  <c r="AQ100" i="10"/>
  <c r="AR100" i="10"/>
  <c r="AR212" i="10"/>
  <c r="AQ212" i="10"/>
  <c r="AR244" i="10"/>
  <c r="AQ244" i="10"/>
  <c r="AR521" i="10"/>
  <c r="AQ521" i="10"/>
  <c r="AR42" i="10"/>
  <c r="AQ42" i="10"/>
  <c r="AR91" i="10"/>
  <c r="AQ91" i="10"/>
  <c r="AR104" i="10"/>
  <c r="AQ104" i="10"/>
  <c r="AQ204" i="10"/>
  <c r="AR204" i="10"/>
  <c r="AR36" i="10"/>
  <c r="AQ36" i="10"/>
  <c r="AQ262" i="10"/>
  <c r="AR262" i="10"/>
  <c r="AR449" i="10"/>
  <c r="AQ449" i="10"/>
  <c r="AR189" i="10"/>
  <c r="AQ189" i="10"/>
  <c r="AQ263" i="10"/>
  <c r="AR263" i="10"/>
  <c r="AR151" i="10"/>
  <c r="AQ151" i="10"/>
  <c r="AO489" i="5"/>
  <c r="AN489" i="5"/>
  <c r="AN460" i="5"/>
  <c r="AO460" i="5"/>
  <c r="AN242" i="5"/>
  <c r="AO242" i="5"/>
  <c r="AN467" i="5"/>
  <c r="AO467" i="5"/>
  <c r="AN211" i="5"/>
  <c r="AO211" i="5"/>
  <c r="AN496" i="5"/>
  <c r="AO496" i="5"/>
  <c r="AO115" i="5"/>
  <c r="AN115" i="5"/>
  <c r="AO554" i="5"/>
  <c r="AN554" i="5"/>
  <c r="AO128" i="5"/>
  <c r="AN128" i="5"/>
  <c r="AO303" i="5"/>
  <c r="AN303" i="5"/>
  <c r="AO442" i="5"/>
  <c r="AN442" i="5"/>
  <c r="AN45" i="5"/>
  <c r="AO45" i="5"/>
  <c r="AO296" i="5"/>
  <c r="AN296" i="5"/>
  <c r="AL549" i="5"/>
  <c r="AK549" i="5"/>
  <c r="AK240" i="5"/>
  <c r="AL240" i="5"/>
  <c r="AL441" i="5"/>
  <c r="AK441" i="5"/>
  <c r="AL27" i="5"/>
  <c r="AK27" i="5"/>
  <c r="AK364" i="5"/>
  <c r="AL364" i="5"/>
  <c r="AK182" i="5"/>
  <c r="AL182" i="5"/>
  <c r="AL514" i="5"/>
  <c r="AK514" i="5"/>
  <c r="AL358" i="5"/>
  <c r="AK358" i="5"/>
  <c r="AK171" i="5"/>
  <c r="AL171" i="5"/>
  <c r="AK432" i="5"/>
  <c r="AL432" i="5"/>
  <c r="AL484" i="5"/>
  <c r="AK484" i="5"/>
  <c r="AL156" i="5"/>
  <c r="AK156" i="5"/>
  <c r="AK254" i="5"/>
  <c r="AL254" i="5"/>
  <c r="AK379" i="5"/>
  <c r="AL379" i="5"/>
  <c r="AK78" i="5"/>
  <c r="AL78" i="5"/>
  <c r="AK352" i="5"/>
  <c r="AL352" i="5"/>
  <c r="AK237" i="5"/>
  <c r="AL237" i="5"/>
  <c r="AS295" i="10"/>
  <c r="AS322" i="10"/>
  <c r="AS440" i="10"/>
  <c r="AS109" i="10"/>
  <c r="AL521" i="10"/>
  <c r="AK521" i="10"/>
  <c r="AK106" i="10"/>
  <c r="AL106" i="10"/>
  <c r="AO7" i="10"/>
  <c r="AN7" i="10"/>
  <c r="AO507" i="10"/>
  <c r="AN507" i="10"/>
  <c r="AO372" i="10"/>
  <c r="AN372" i="10"/>
  <c r="AN355" i="10"/>
  <c r="AO355" i="10"/>
  <c r="AN89" i="10"/>
  <c r="AO89" i="10"/>
  <c r="AN518" i="10"/>
  <c r="AO518" i="10"/>
  <c r="AN466" i="10"/>
  <c r="AO466" i="10"/>
  <c r="AO373" i="10"/>
  <c r="AN373" i="10"/>
  <c r="AO428" i="10"/>
  <c r="AN428" i="10"/>
  <c r="AN280" i="10"/>
  <c r="AO280" i="10"/>
  <c r="AO288" i="10"/>
  <c r="AN288" i="10"/>
  <c r="AO170" i="10"/>
  <c r="AN170" i="10"/>
  <c r="AN481" i="10"/>
  <c r="AO481" i="10"/>
  <c r="AN477" i="10"/>
  <c r="AO477" i="10"/>
  <c r="AN454" i="10"/>
  <c r="AO454" i="10"/>
  <c r="AN370" i="10"/>
  <c r="AO370" i="10"/>
  <c r="AO420" i="10"/>
  <c r="AN420" i="10"/>
  <c r="AN277" i="10"/>
  <c r="AO277" i="10"/>
  <c r="AN285" i="10"/>
  <c r="AO285" i="10"/>
  <c r="AN154" i="10"/>
  <c r="AO154" i="10"/>
  <c r="AO222" i="10"/>
  <c r="AN222" i="10"/>
  <c r="AN57" i="10"/>
  <c r="AO57" i="10"/>
  <c r="AN442" i="10"/>
  <c r="AO442" i="10"/>
  <c r="AO110" i="10"/>
  <c r="AN110" i="10"/>
  <c r="AN145" i="10"/>
  <c r="AO145" i="10"/>
  <c r="AO520" i="10"/>
  <c r="AN520" i="10"/>
  <c r="AO560" i="10"/>
  <c r="AN560" i="10"/>
  <c r="AO216" i="10"/>
  <c r="AN216" i="10"/>
  <c r="AN439" i="10"/>
  <c r="AO439" i="10"/>
  <c r="AN523" i="10"/>
  <c r="AO523" i="10"/>
  <c r="AN404" i="10"/>
  <c r="AO404" i="10"/>
  <c r="AN41" i="10"/>
  <c r="AO41" i="10"/>
  <c r="AN104" i="10"/>
  <c r="AO104" i="10"/>
  <c r="AO397" i="10"/>
  <c r="AN397" i="10"/>
  <c r="AN555" i="10"/>
  <c r="AO555" i="10"/>
  <c r="AO202" i="10"/>
  <c r="AN202" i="10"/>
  <c r="AO437" i="10"/>
  <c r="AN437" i="10"/>
  <c r="AN519" i="10"/>
  <c r="AO519" i="10"/>
  <c r="AO396" i="10"/>
  <c r="AN396" i="10"/>
  <c r="AN367" i="10"/>
  <c r="AO367" i="10"/>
  <c r="AN101" i="10"/>
  <c r="AO101" i="10"/>
  <c r="AO375" i="10"/>
  <c r="AN375" i="10"/>
  <c r="AN265" i="10"/>
  <c r="AO265" i="10"/>
  <c r="AO336" i="10"/>
  <c r="AN336" i="10"/>
  <c r="AO464" i="10"/>
  <c r="AN464" i="10"/>
  <c r="AN547" i="10"/>
  <c r="AO547" i="10"/>
  <c r="AN430" i="10"/>
  <c r="AO430" i="10"/>
  <c r="AN102" i="10"/>
  <c r="AO102" i="10"/>
  <c r="AO134" i="10"/>
  <c r="AN134" i="10"/>
  <c r="AO173" i="10"/>
  <c r="AN173" i="10"/>
  <c r="AN429" i="10"/>
  <c r="AO429" i="10"/>
  <c r="AN511" i="10"/>
  <c r="AO511" i="10"/>
  <c r="AN380" i="10"/>
  <c r="AO380" i="10"/>
  <c r="AN359" i="10"/>
  <c r="AO359" i="10"/>
  <c r="AO92" i="10"/>
  <c r="AN92" i="10"/>
  <c r="AO246" i="10"/>
  <c r="AN246" i="10"/>
  <c r="AO23" i="10"/>
  <c r="AN23" i="10"/>
  <c r="AN276" i="10"/>
  <c r="AO276" i="10"/>
  <c r="AO58" i="10"/>
  <c r="AN58" i="10"/>
  <c r="AO273" i="10"/>
  <c r="AN273" i="10"/>
  <c r="AO49" i="10"/>
  <c r="AN49" i="10"/>
  <c r="AN45" i="10"/>
  <c r="AO45" i="10"/>
  <c r="AN168" i="10"/>
  <c r="AO168" i="10"/>
  <c r="AN40" i="10"/>
  <c r="AO40" i="10"/>
  <c r="AN162" i="10"/>
  <c r="AO162" i="10"/>
  <c r="AN34" i="10"/>
  <c r="AO34" i="10"/>
  <c r="AN160" i="10"/>
  <c r="AO160" i="10"/>
  <c r="AO31" i="10"/>
  <c r="AN31" i="10"/>
  <c r="AH11" i="5"/>
  <c r="AI11" i="5"/>
  <c r="AP11" i="5"/>
  <c r="AH237" i="5"/>
  <c r="AI237" i="5"/>
  <c r="AP237" i="5"/>
  <c r="AP552" i="5"/>
  <c r="AH552" i="5"/>
  <c r="AI552" i="5"/>
  <c r="AP363" i="5"/>
  <c r="AH363" i="5"/>
  <c r="AI363" i="5"/>
  <c r="AI305" i="5"/>
  <c r="AH305" i="5"/>
  <c r="AP305" i="5"/>
  <c r="AH231" i="5"/>
  <c r="AI231" i="5"/>
  <c r="AP231" i="5"/>
  <c r="AP175" i="5"/>
  <c r="AI175" i="5"/>
  <c r="AH175" i="5"/>
  <c r="AP465" i="5"/>
  <c r="AI465" i="5"/>
  <c r="AH465" i="5"/>
  <c r="AH558" i="5"/>
  <c r="AI558" i="5"/>
  <c r="AP558" i="5"/>
  <c r="AI525" i="5"/>
  <c r="AH525" i="5"/>
  <c r="AP525" i="5"/>
  <c r="AP494" i="5"/>
  <c r="AH494" i="5"/>
  <c r="AI494" i="5"/>
  <c r="AH340" i="5"/>
  <c r="AP340" i="5"/>
  <c r="AI340" i="5"/>
  <c r="AI260" i="5"/>
  <c r="AP260" i="5"/>
  <c r="AH260" i="5"/>
  <c r="AH22" i="5"/>
  <c r="AP22" i="5"/>
  <c r="AI22" i="5"/>
  <c r="AI533" i="5"/>
  <c r="AP533" i="5"/>
  <c r="AH533" i="5"/>
  <c r="AH302" i="5"/>
  <c r="AP302" i="5"/>
  <c r="AI302" i="5"/>
  <c r="AH256" i="5"/>
  <c r="AI256" i="5"/>
  <c r="AP256" i="5"/>
  <c r="AI354" i="5"/>
  <c r="AP354" i="5"/>
  <c r="AH354" i="5"/>
  <c r="AI157" i="5"/>
  <c r="AH157" i="5"/>
  <c r="AP157" i="5"/>
  <c r="AI395" i="5"/>
  <c r="AH395" i="5"/>
  <c r="AP395" i="5"/>
  <c r="AH64" i="5"/>
  <c r="AI64" i="5"/>
  <c r="AP64" i="5"/>
  <c r="AP416" i="5"/>
  <c r="AI416" i="5"/>
  <c r="AH416" i="5"/>
  <c r="AI408" i="5"/>
  <c r="AH408" i="5"/>
  <c r="AP408" i="5"/>
  <c r="AI407" i="5"/>
  <c r="AP407" i="5"/>
  <c r="AH407" i="5"/>
  <c r="AH250" i="5"/>
  <c r="AI250" i="5"/>
  <c r="AP250" i="5"/>
  <c r="AH121" i="5"/>
  <c r="AI121" i="5"/>
  <c r="AP121" i="5"/>
  <c r="AP317" i="5"/>
  <c r="AI317" i="5"/>
  <c r="AH317" i="5"/>
  <c r="AI547" i="5"/>
  <c r="AP547" i="5"/>
  <c r="AH547" i="5"/>
  <c r="AH485" i="5"/>
  <c r="AI485" i="5"/>
  <c r="AP485" i="5"/>
  <c r="AP383" i="5"/>
  <c r="AI383" i="5"/>
  <c r="AH383" i="5"/>
  <c r="AH271" i="5"/>
  <c r="AI271" i="5"/>
  <c r="AP271" i="5"/>
  <c r="AP153" i="5"/>
  <c r="AI153" i="5"/>
  <c r="AH153" i="5"/>
  <c r="AP399" i="5"/>
  <c r="AI399" i="5"/>
  <c r="AH399" i="5"/>
  <c r="AI523" i="5"/>
  <c r="AH523" i="5"/>
  <c r="AP523" i="5"/>
  <c r="AI507" i="5"/>
  <c r="AP507" i="5"/>
  <c r="AH507" i="5"/>
  <c r="AI487" i="5"/>
  <c r="AH487" i="5"/>
  <c r="AP487" i="5"/>
  <c r="AH321" i="5"/>
  <c r="AP321" i="5"/>
  <c r="AI321" i="5"/>
  <c r="AH238" i="5"/>
  <c r="AI238" i="5"/>
  <c r="AP238" i="5"/>
  <c r="AI65" i="5"/>
  <c r="AP65" i="5"/>
  <c r="AH65" i="5"/>
  <c r="AI446" i="5"/>
  <c r="AH446" i="5"/>
  <c r="AP446" i="5"/>
  <c r="AP546" i="5"/>
  <c r="AH546" i="5"/>
  <c r="AI546" i="5"/>
  <c r="AH508" i="5"/>
  <c r="AP508" i="5"/>
  <c r="AI508" i="5"/>
  <c r="AP367" i="5"/>
  <c r="AH367" i="5"/>
  <c r="AI367" i="5"/>
  <c r="AH280" i="5"/>
  <c r="AI280" i="5"/>
  <c r="AP280" i="5"/>
  <c r="AI77" i="5"/>
  <c r="AH77" i="5"/>
  <c r="AP77" i="5"/>
  <c r="AI303" i="5"/>
  <c r="AH303" i="5"/>
  <c r="AP303" i="5"/>
  <c r="AI263" i="5"/>
  <c r="AH263" i="5"/>
  <c r="AP263" i="5"/>
  <c r="AP167" i="5"/>
  <c r="AH167" i="5"/>
  <c r="AI167" i="5"/>
  <c r="AH145" i="5"/>
  <c r="AP145" i="5"/>
  <c r="AI145" i="5"/>
  <c r="AP50" i="5"/>
  <c r="AH50" i="5"/>
  <c r="AI50" i="5"/>
  <c r="AH245" i="5"/>
  <c r="AI245" i="5"/>
  <c r="AP245" i="5"/>
  <c r="AH146" i="5"/>
  <c r="AI146" i="5"/>
  <c r="AP146" i="5"/>
  <c r="AI70" i="5"/>
  <c r="AP70" i="5"/>
  <c r="AH70" i="5"/>
  <c r="AI421" i="5"/>
  <c r="AH421" i="5"/>
  <c r="AP421" i="5"/>
  <c r="AI299" i="5"/>
  <c r="AP299" i="5"/>
  <c r="AH299" i="5"/>
  <c r="AI159" i="5"/>
  <c r="AH159" i="5"/>
  <c r="AP159" i="5"/>
  <c r="AH177" i="5"/>
  <c r="AI177" i="5"/>
  <c r="AP177" i="5"/>
  <c r="AI96" i="5"/>
  <c r="AH96" i="5"/>
  <c r="AP96" i="5"/>
  <c r="AP29" i="5"/>
  <c r="AI29" i="5"/>
  <c r="AH29" i="5"/>
  <c r="AI253" i="5"/>
  <c r="AP253" i="5"/>
  <c r="AH253" i="5"/>
  <c r="AH236" i="5"/>
  <c r="AP236" i="5"/>
  <c r="AI236" i="5"/>
  <c r="AI170" i="5"/>
  <c r="AP170" i="5"/>
  <c r="AH170" i="5"/>
  <c r="AH108" i="5"/>
  <c r="AP108" i="5"/>
  <c r="AI108" i="5"/>
  <c r="AI27" i="5"/>
  <c r="AH27" i="5"/>
  <c r="AP27" i="5"/>
  <c r="AI244" i="5"/>
  <c r="AH244" i="5"/>
  <c r="AP244" i="5"/>
  <c r="AP235" i="5"/>
  <c r="AH235" i="5"/>
  <c r="AI235" i="5"/>
  <c r="AI169" i="5"/>
  <c r="AH169" i="5"/>
  <c r="AP169" i="5"/>
  <c r="AI101" i="5"/>
  <c r="AH101" i="5"/>
  <c r="AP101" i="5"/>
  <c r="AI45" i="5"/>
  <c r="AH45" i="5"/>
  <c r="AP45" i="5"/>
  <c r="AR311" i="10"/>
  <c r="AQ311" i="10"/>
  <c r="AR77" i="10"/>
  <c r="AQ77" i="10"/>
  <c r="AR83" i="10"/>
  <c r="AQ83" i="10"/>
  <c r="AR400" i="10"/>
  <c r="AQ400" i="10"/>
  <c r="AR427" i="10"/>
  <c r="AQ427" i="10"/>
  <c r="AR335" i="10"/>
  <c r="AQ335" i="10"/>
  <c r="AR374" i="10"/>
  <c r="AQ374" i="10"/>
  <c r="AR141" i="10"/>
  <c r="AQ141" i="10"/>
  <c r="AQ326" i="10"/>
  <c r="AR326" i="10"/>
  <c r="AR376" i="10"/>
  <c r="AQ376" i="10"/>
  <c r="AQ299" i="10"/>
  <c r="AR299" i="10"/>
  <c r="AQ274" i="10"/>
  <c r="AR274" i="10"/>
  <c r="AQ230" i="10"/>
  <c r="AR230" i="10"/>
  <c r="AR505" i="10"/>
  <c r="AQ505" i="10"/>
  <c r="AQ504" i="10"/>
  <c r="AR504" i="10"/>
  <c r="AR199" i="10"/>
  <c r="AQ199" i="10"/>
  <c r="AQ484" i="10"/>
  <c r="AR484" i="10"/>
  <c r="AR85" i="10"/>
  <c r="AQ85" i="10"/>
  <c r="AQ469" i="10"/>
  <c r="AR469" i="10"/>
  <c r="AR149" i="10"/>
  <c r="AQ149" i="10"/>
  <c r="AQ216" i="10"/>
  <c r="AR216" i="10"/>
  <c r="AQ429" i="10"/>
  <c r="AR429" i="10"/>
  <c r="AR171" i="10"/>
  <c r="AQ171" i="10"/>
  <c r="AQ317" i="10"/>
  <c r="AR317" i="10"/>
  <c r="AQ47" i="10"/>
  <c r="AR47" i="10"/>
  <c r="AQ359" i="10"/>
  <c r="AR359" i="10"/>
  <c r="AQ556" i="10"/>
  <c r="AR556" i="10"/>
  <c r="AR235" i="10"/>
  <c r="AQ235" i="10"/>
  <c r="AR188" i="10"/>
  <c r="AQ188" i="10"/>
  <c r="AR269" i="10"/>
  <c r="AQ269" i="10"/>
  <c r="AQ540" i="10"/>
  <c r="AR540" i="10"/>
  <c r="AQ506" i="10"/>
  <c r="AR506" i="10"/>
  <c r="AQ167" i="10"/>
  <c r="AR167" i="10"/>
  <c r="AR512" i="10"/>
  <c r="AQ512" i="10"/>
  <c r="AR153" i="10"/>
  <c r="AQ153" i="10"/>
  <c r="AR430" i="10"/>
  <c r="AQ430" i="10"/>
  <c r="AR117" i="10"/>
  <c r="AQ117" i="10"/>
  <c r="AQ224" i="10"/>
  <c r="AR224" i="10"/>
  <c r="AQ375" i="10"/>
  <c r="AR375" i="10"/>
  <c r="AQ139" i="10"/>
  <c r="AR139" i="10"/>
  <c r="AQ432" i="10"/>
  <c r="AR432" i="10"/>
  <c r="AR53" i="10"/>
  <c r="AQ53" i="10"/>
  <c r="AR327" i="10"/>
  <c r="AQ327" i="10"/>
  <c r="AR550" i="10"/>
  <c r="AQ550" i="10"/>
  <c r="AQ160" i="10"/>
  <c r="AR160" i="10"/>
  <c r="AQ198" i="10"/>
  <c r="AR198" i="10"/>
  <c r="AR277" i="10"/>
  <c r="AQ277" i="10"/>
  <c r="AQ398" i="10"/>
  <c r="AR398" i="10"/>
  <c r="AR86" i="10"/>
  <c r="AQ86" i="10"/>
  <c r="AR232" i="10"/>
  <c r="AQ232" i="10"/>
  <c r="AQ363" i="10"/>
  <c r="AR363" i="10"/>
  <c r="AR123" i="10"/>
  <c r="AQ123" i="10"/>
  <c r="AR360" i="10"/>
  <c r="AQ360" i="10"/>
  <c r="AR26" i="10"/>
  <c r="AQ26" i="10"/>
  <c r="AR305" i="10"/>
  <c r="AQ305" i="10"/>
  <c r="AQ545" i="10"/>
  <c r="AR545" i="10"/>
  <c r="AR144" i="10"/>
  <c r="AQ144" i="10"/>
  <c r="AQ102" i="10"/>
  <c r="AR102" i="10"/>
  <c r="AR285" i="10"/>
  <c r="AQ285" i="10"/>
  <c r="AR546" i="10"/>
  <c r="AQ546" i="10"/>
  <c r="AR462" i="10"/>
  <c r="AQ462" i="10"/>
  <c r="AR103" i="10"/>
  <c r="AQ103" i="10"/>
  <c r="AR442" i="10"/>
  <c r="AQ442" i="10"/>
  <c r="AQ90" i="10"/>
  <c r="AR90" i="10"/>
  <c r="AR435" i="10"/>
  <c r="AQ435" i="10"/>
  <c r="AR52" i="10"/>
  <c r="AQ52" i="10"/>
  <c r="AQ240" i="10"/>
  <c r="AR240" i="10"/>
  <c r="AQ385" i="10"/>
  <c r="AR385" i="10"/>
  <c r="AN9" i="5"/>
  <c r="AO9" i="5"/>
  <c r="AO382" i="5"/>
  <c r="AN382" i="5"/>
  <c r="AO57" i="5"/>
  <c r="AN57" i="5"/>
  <c r="AO366" i="5"/>
  <c r="AN366" i="5"/>
  <c r="AN330" i="5"/>
  <c r="AO330" i="5"/>
  <c r="AO373" i="5"/>
  <c r="AN373" i="5"/>
  <c r="AO19" i="5"/>
  <c r="AN19" i="5"/>
  <c r="AN319" i="5"/>
  <c r="AO319" i="5"/>
  <c r="AO483" i="5"/>
  <c r="AN483" i="5"/>
  <c r="AO316" i="5"/>
  <c r="AN316" i="5"/>
  <c r="AN464" i="5"/>
  <c r="AO464" i="5"/>
  <c r="AO357" i="5"/>
  <c r="AN357" i="5"/>
  <c r="AN559" i="5"/>
  <c r="AO559" i="5"/>
  <c r="AO351" i="5"/>
  <c r="AN351" i="5"/>
  <c r="AN323" i="5"/>
  <c r="AO323" i="5"/>
  <c r="AN213" i="5"/>
  <c r="AO213" i="5"/>
  <c r="AN138" i="5"/>
  <c r="AO138" i="5"/>
  <c r="AO54" i="5"/>
  <c r="AN54" i="5"/>
  <c r="AO535" i="5"/>
  <c r="AN535" i="5"/>
  <c r="AO487" i="5"/>
  <c r="AN487" i="5"/>
  <c r="AO497" i="5"/>
  <c r="AN497" i="5"/>
  <c r="AO370" i="5"/>
  <c r="AN370" i="5"/>
  <c r="AO306" i="5"/>
  <c r="AN306" i="5"/>
  <c r="AO189" i="5"/>
  <c r="AN189" i="5"/>
  <c r="AN122" i="5"/>
  <c r="AO122" i="5"/>
  <c r="AN109" i="5"/>
  <c r="AO109" i="5"/>
  <c r="AN41" i="5"/>
  <c r="AO41" i="5"/>
  <c r="AO536" i="5"/>
  <c r="AN536" i="5"/>
  <c r="AN308" i="5"/>
  <c r="AO308" i="5"/>
  <c r="AN388" i="5"/>
  <c r="AO388" i="5"/>
  <c r="AO409" i="5"/>
  <c r="AN409" i="5"/>
  <c r="AO298" i="5"/>
  <c r="AN298" i="5"/>
  <c r="AO210" i="5"/>
  <c r="AN210" i="5"/>
  <c r="AO145" i="5"/>
  <c r="AN145" i="5"/>
  <c r="AN65" i="5"/>
  <c r="AO65" i="5"/>
  <c r="AO528" i="5"/>
  <c r="AN528" i="5"/>
  <c r="AO482" i="5"/>
  <c r="AN482" i="5"/>
  <c r="AN490" i="5"/>
  <c r="AO490" i="5"/>
  <c r="AN363" i="5"/>
  <c r="AO363" i="5"/>
  <c r="AN301" i="5"/>
  <c r="AO301" i="5"/>
  <c r="AN239" i="5"/>
  <c r="AO239" i="5"/>
  <c r="AN185" i="5"/>
  <c r="AO185" i="5"/>
  <c r="AO87" i="5"/>
  <c r="AN87" i="5"/>
  <c r="AO33" i="5"/>
  <c r="AN33" i="5"/>
  <c r="AO479" i="5"/>
  <c r="AN479" i="5"/>
  <c r="AN478" i="5"/>
  <c r="AO478" i="5"/>
  <c r="AN361" i="5"/>
  <c r="AO361" i="5"/>
  <c r="AN295" i="5"/>
  <c r="AO295" i="5"/>
  <c r="AN237" i="5"/>
  <c r="AO237" i="5"/>
  <c r="AO180" i="5"/>
  <c r="AN180" i="5"/>
  <c r="AN86" i="5"/>
  <c r="AO86" i="5"/>
  <c r="AN30" i="5"/>
  <c r="AO30" i="5"/>
  <c r="AO421" i="5"/>
  <c r="AN421" i="5"/>
  <c r="AN477" i="5"/>
  <c r="AO477" i="5"/>
  <c r="AO341" i="5"/>
  <c r="AN341" i="5"/>
  <c r="AO338" i="5"/>
  <c r="AN338" i="5"/>
  <c r="AO207" i="5"/>
  <c r="AN207" i="5"/>
  <c r="AO225" i="5"/>
  <c r="AN225" i="5"/>
  <c r="AN149" i="5"/>
  <c r="AO149" i="5"/>
  <c r="AO72" i="5"/>
  <c r="AN72" i="5"/>
  <c r="AN481" i="5"/>
  <c r="AO481" i="5"/>
  <c r="AO473" i="5"/>
  <c r="AN473" i="5"/>
  <c r="AN472" i="5"/>
  <c r="AO472" i="5"/>
  <c r="AN356" i="5"/>
  <c r="AO356" i="5"/>
  <c r="AO283" i="5"/>
  <c r="AN283" i="5"/>
  <c r="AN231" i="5"/>
  <c r="AO231" i="5"/>
  <c r="AN172" i="5"/>
  <c r="AO172" i="5"/>
  <c r="AN105" i="5"/>
  <c r="AO105" i="5"/>
  <c r="AN43" i="5"/>
  <c r="AO43" i="5"/>
  <c r="AL506" i="5"/>
  <c r="AK506" i="5"/>
  <c r="AK38" i="5"/>
  <c r="AL38" i="5"/>
  <c r="AL501" i="5"/>
  <c r="AK501" i="5"/>
  <c r="AK361" i="5"/>
  <c r="AL361" i="5"/>
  <c r="AK374" i="5"/>
  <c r="AL374" i="5"/>
  <c r="AL297" i="5"/>
  <c r="AK297" i="5"/>
  <c r="AK253" i="5"/>
  <c r="AL253" i="5"/>
  <c r="AL188" i="5"/>
  <c r="AK188" i="5"/>
  <c r="AK135" i="5"/>
  <c r="AL135" i="5"/>
  <c r="AK34" i="5"/>
  <c r="AL34" i="5"/>
  <c r="AK378" i="5"/>
  <c r="AL378" i="5"/>
  <c r="AL543" i="5"/>
  <c r="AK543" i="5"/>
  <c r="AK425" i="5"/>
  <c r="AL425" i="5"/>
  <c r="AK476" i="5"/>
  <c r="AL476" i="5"/>
  <c r="AK426" i="5"/>
  <c r="AL426" i="5"/>
  <c r="AL190" i="5"/>
  <c r="AK190" i="5"/>
  <c r="AL209" i="5"/>
  <c r="AK209" i="5"/>
  <c r="AK174" i="5"/>
  <c r="AL174" i="5"/>
  <c r="AK92" i="5"/>
  <c r="AL92" i="5"/>
  <c r="AK30" i="5"/>
  <c r="AL30" i="5"/>
  <c r="AL160" i="5"/>
  <c r="AK160" i="5"/>
  <c r="AK546" i="5"/>
  <c r="AL546" i="5"/>
  <c r="AK375" i="5"/>
  <c r="AL375" i="5"/>
  <c r="AK430" i="5"/>
  <c r="AL430" i="5"/>
  <c r="AK389" i="5"/>
  <c r="AL389" i="5"/>
  <c r="AL306" i="5"/>
  <c r="AK306" i="5"/>
  <c r="AK175" i="5"/>
  <c r="AL175" i="5"/>
  <c r="AK151" i="5"/>
  <c r="AL151" i="5"/>
  <c r="AK93" i="5"/>
  <c r="AL93" i="5"/>
  <c r="AK23" i="5"/>
  <c r="AL23" i="5"/>
  <c r="AK256" i="5"/>
  <c r="AL256" i="5"/>
  <c r="AL541" i="5"/>
  <c r="AK541" i="5"/>
  <c r="AK351" i="5"/>
  <c r="AL351" i="5"/>
  <c r="AK429" i="5"/>
  <c r="AL429" i="5"/>
  <c r="AK384" i="5"/>
  <c r="AL384" i="5"/>
  <c r="AL301" i="5"/>
  <c r="AK301" i="5"/>
  <c r="AL172" i="5"/>
  <c r="AK172" i="5"/>
  <c r="AK150" i="5"/>
  <c r="AL150" i="5"/>
  <c r="AK85" i="5"/>
  <c r="AL85" i="5"/>
  <c r="AK22" i="5"/>
  <c r="AL22" i="5"/>
  <c r="AK189" i="5"/>
  <c r="AL189" i="5"/>
  <c r="AK369" i="5"/>
  <c r="AL369" i="5"/>
  <c r="AL509" i="5"/>
  <c r="AK509" i="5"/>
  <c r="AL403" i="5"/>
  <c r="AK403" i="5"/>
  <c r="AL357" i="5"/>
  <c r="AK357" i="5"/>
  <c r="AK263" i="5"/>
  <c r="AL263" i="5"/>
  <c r="AL197" i="5"/>
  <c r="AK197" i="5"/>
  <c r="AK114" i="5"/>
  <c r="AL114" i="5"/>
  <c r="AK83" i="5"/>
  <c r="AL83" i="5"/>
  <c r="AL291" i="5"/>
  <c r="AK291" i="5"/>
  <c r="AK116" i="5"/>
  <c r="AL116" i="5"/>
  <c r="AL547" i="5"/>
  <c r="AK547" i="5"/>
  <c r="AK451" i="5"/>
  <c r="AL451" i="5"/>
  <c r="AK264" i="5"/>
  <c r="AL264" i="5"/>
  <c r="AK340" i="5"/>
  <c r="AL340" i="5"/>
  <c r="AL305" i="5"/>
  <c r="AK305" i="5"/>
  <c r="AL194" i="5"/>
  <c r="AK194" i="5"/>
  <c r="AL127" i="5"/>
  <c r="AK127" i="5"/>
  <c r="AL50" i="5"/>
  <c r="AK50" i="5"/>
  <c r="AK47" i="5"/>
  <c r="AL47" i="5"/>
  <c r="AL544" i="5"/>
  <c r="AK544" i="5"/>
  <c r="AK450" i="5"/>
  <c r="AL450" i="5"/>
  <c r="AL259" i="5"/>
  <c r="AK259" i="5"/>
  <c r="AL334" i="5"/>
  <c r="AK334" i="5"/>
  <c r="AL302" i="5"/>
  <c r="AK302" i="5"/>
  <c r="AK162" i="5"/>
  <c r="AL162" i="5"/>
  <c r="AK122" i="5"/>
  <c r="AL122" i="5"/>
  <c r="AK49" i="5"/>
  <c r="AL49" i="5"/>
  <c r="AS50" i="10"/>
  <c r="AS122" i="10"/>
  <c r="AS154" i="10"/>
  <c r="AS219" i="10"/>
  <c r="AS107" i="10"/>
  <c r="AS63" i="10"/>
  <c r="AS95" i="10"/>
  <c r="AS44" i="10"/>
  <c r="AS193" i="10"/>
  <c r="AS260" i="10"/>
  <c r="AS279" i="10"/>
  <c r="AS307" i="10"/>
  <c r="AS306" i="10"/>
  <c r="AS389" i="10"/>
  <c r="AS53" i="10"/>
  <c r="AS69" i="10"/>
  <c r="AS264" i="10"/>
  <c r="AS283" i="10"/>
  <c r="AS311" i="10"/>
  <c r="AS310" i="10"/>
  <c r="AS405" i="10"/>
  <c r="AS57" i="10"/>
  <c r="AS102" i="10"/>
  <c r="AS68" i="10"/>
  <c r="AS367" i="10"/>
  <c r="AS347" i="10"/>
  <c r="AS346" i="10"/>
  <c r="AS504" i="10"/>
  <c r="AS133" i="10"/>
  <c r="AS138" i="10"/>
  <c r="AS100" i="10"/>
  <c r="AS216" i="10"/>
  <c r="AS312" i="10"/>
  <c r="AS396" i="10"/>
  <c r="AS509" i="10"/>
  <c r="AS46" i="10"/>
  <c r="AS205" i="10"/>
  <c r="AS136" i="10"/>
  <c r="AS166" i="10"/>
  <c r="AS348" i="10"/>
  <c r="AS434" i="10"/>
  <c r="AS536" i="10"/>
  <c r="AS38" i="10"/>
  <c r="AS243" i="10"/>
  <c r="AS172" i="10"/>
  <c r="AS202" i="10"/>
  <c r="AS329" i="10"/>
  <c r="AS422" i="10"/>
  <c r="AS51" i="10"/>
  <c r="AS60" i="10"/>
  <c r="AS135" i="10"/>
  <c r="AS207" i="10"/>
  <c r="AS238" i="10"/>
  <c r="AS374" i="10"/>
  <c r="AS411" i="10"/>
  <c r="AS417" i="10"/>
  <c r="AS512" i="10"/>
  <c r="AS393" i="10"/>
  <c r="AS491" i="10"/>
  <c r="AS559" i="10"/>
  <c r="AS477" i="10"/>
  <c r="AS548" i="10"/>
  <c r="AS480" i="10"/>
  <c r="AS546" i="10"/>
  <c r="AS486" i="10"/>
  <c r="AS535" i="10"/>
  <c r="AS463" i="10"/>
  <c r="AS528" i="10"/>
  <c r="AS7" i="10"/>
  <c r="AK13" i="10"/>
  <c r="AL13" i="10"/>
  <c r="AL468" i="10"/>
  <c r="AK468" i="10"/>
  <c r="AK250" i="10"/>
  <c r="AL250" i="10"/>
  <c r="AL506" i="10"/>
  <c r="AK506" i="10"/>
  <c r="AK38" i="10"/>
  <c r="AL38" i="10"/>
  <c r="AL202" i="10"/>
  <c r="AK202" i="10"/>
  <c r="AL279" i="10"/>
  <c r="AK279" i="10"/>
  <c r="AK172" i="10"/>
  <c r="AL172" i="10"/>
  <c r="AL213" i="10"/>
  <c r="AK213" i="10"/>
  <c r="AK46" i="10"/>
  <c r="AL46" i="10"/>
  <c r="AK67" i="10"/>
  <c r="AL67" i="10"/>
  <c r="AK346" i="10"/>
  <c r="AL346" i="10"/>
  <c r="AK338" i="10"/>
  <c r="AL338" i="10"/>
  <c r="AL419" i="10"/>
  <c r="AK419" i="10"/>
  <c r="AK417" i="10"/>
  <c r="AL417" i="10"/>
  <c r="AL296" i="10"/>
  <c r="AK296" i="10"/>
  <c r="AL40" i="10"/>
  <c r="AK40" i="10"/>
  <c r="AK81" i="10"/>
  <c r="AL81" i="10"/>
  <c r="AL203" i="10"/>
  <c r="AK203" i="10"/>
  <c r="AL35" i="10"/>
  <c r="AK35" i="10"/>
  <c r="AL460" i="10"/>
  <c r="AK460" i="10"/>
  <c r="AL527" i="10"/>
  <c r="AK527" i="10"/>
  <c r="AL94" i="10"/>
  <c r="AK94" i="10"/>
  <c r="AK199" i="10"/>
  <c r="AL199" i="10"/>
  <c r="AL132" i="10"/>
  <c r="AK132" i="10"/>
  <c r="AK173" i="10"/>
  <c r="AL173" i="10"/>
  <c r="AK496" i="10"/>
  <c r="AL496" i="10"/>
  <c r="AK497" i="10"/>
  <c r="AL497" i="10"/>
  <c r="AK171" i="10"/>
  <c r="AL171" i="10"/>
  <c r="AL262" i="10"/>
  <c r="AK262" i="10"/>
  <c r="AL366" i="10"/>
  <c r="AK366" i="10"/>
  <c r="AL377" i="10"/>
  <c r="AK377" i="10"/>
  <c r="AL256" i="10"/>
  <c r="AK256" i="10"/>
  <c r="AL297" i="10"/>
  <c r="AK297" i="10"/>
  <c r="AL41" i="10"/>
  <c r="AK41" i="10"/>
  <c r="AL118" i="10"/>
  <c r="AK118" i="10"/>
  <c r="AK548" i="10"/>
  <c r="AL548" i="10"/>
  <c r="AL450" i="10"/>
  <c r="AK450" i="10"/>
  <c r="AK519" i="10"/>
  <c r="AL519" i="10"/>
  <c r="AL74" i="10"/>
  <c r="AK74" i="10"/>
  <c r="AK183" i="10"/>
  <c r="AL183" i="10"/>
  <c r="AK124" i="10"/>
  <c r="AL124" i="10"/>
  <c r="AK165" i="10"/>
  <c r="AL165" i="10"/>
  <c r="AK458" i="10"/>
  <c r="AL458" i="10"/>
  <c r="AK480" i="10"/>
  <c r="AL480" i="10"/>
  <c r="AL130" i="10"/>
  <c r="AK130" i="10"/>
  <c r="AL242" i="10"/>
  <c r="AK242" i="10"/>
  <c r="AK355" i="10"/>
  <c r="AL355" i="10"/>
  <c r="AL369" i="10"/>
  <c r="AK369" i="10"/>
  <c r="AL248" i="10"/>
  <c r="AK248" i="10"/>
  <c r="AL289" i="10"/>
  <c r="AK289" i="10"/>
  <c r="AK33" i="10"/>
  <c r="AL33" i="10"/>
  <c r="AK34" i="10"/>
  <c r="AL34" i="10"/>
  <c r="AL532" i="10"/>
  <c r="AK532" i="10"/>
  <c r="AK439" i="10"/>
  <c r="AL439" i="10"/>
  <c r="AK511" i="10"/>
  <c r="AL511" i="10"/>
  <c r="AK51" i="10"/>
  <c r="AL51" i="10"/>
  <c r="AL167" i="10"/>
  <c r="AK167" i="10"/>
  <c r="AK116" i="10"/>
  <c r="AL116" i="10"/>
  <c r="AK157" i="10"/>
  <c r="AL157" i="10"/>
  <c r="AK415" i="10"/>
  <c r="AL415" i="10"/>
  <c r="AK459" i="10"/>
  <c r="AL459" i="10"/>
  <c r="AL86" i="10"/>
  <c r="AK86" i="10"/>
  <c r="AL219" i="10"/>
  <c r="AK219" i="10"/>
  <c r="AL344" i="10"/>
  <c r="AK344" i="10"/>
  <c r="AK361" i="10"/>
  <c r="AL361" i="10"/>
  <c r="AL240" i="10"/>
  <c r="AK240" i="10"/>
  <c r="AL281" i="10"/>
  <c r="AK281" i="10"/>
  <c r="AK25" i="10"/>
  <c r="AL25" i="10"/>
  <c r="AQ440" i="10"/>
  <c r="AR440" i="10"/>
  <c r="AR75" i="10"/>
  <c r="AQ75" i="10"/>
  <c r="AR287" i="10"/>
  <c r="AQ287" i="10"/>
  <c r="AQ474" i="10"/>
  <c r="AR474" i="10"/>
  <c r="AQ276" i="10"/>
  <c r="AR276" i="10"/>
  <c r="AR509" i="10"/>
  <c r="AQ509" i="10"/>
  <c r="AQ207" i="10"/>
  <c r="AR207" i="10"/>
  <c r="AQ254" i="10"/>
  <c r="AR254" i="10"/>
  <c r="AR217" i="10"/>
  <c r="AQ217" i="10"/>
  <c r="AR353" i="10"/>
  <c r="AQ353" i="10"/>
  <c r="AR20" i="10"/>
  <c r="AQ20" i="10"/>
  <c r="AR185" i="10"/>
  <c r="AQ185" i="10"/>
  <c r="AR448" i="10"/>
  <c r="AQ448" i="10"/>
  <c r="AR48" i="10"/>
  <c r="AQ48" i="10"/>
  <c r="AQ271" i="10"/>
  <c r="AR271" i="10"/>
  <c r="AQ395" i="10"/>
  <c r="AR395" i="10"/>
  <c r="AR260" i="10"/>
  <c r="AQ260" i="10"/>
  <c r="AQ522" i="10"/>
  <c r="AR522" i="10"/>
  <c r="AR175" i="10"/>
  <c r="AQ175" i="10"/>
  <c r="AQ270" i="10"/>
  <c r="AR270" i="10"/>
  <c r="AR225" i="10"/>
  <c r="AQ225" i="10"/>
  <c r="AQ394" i="10"/>
  <c r="AR394" i="10"/>
  <c r="AR384" i="10"/>
  <c r="AQ384" i="10"/>
  <c r="AQ178" i="10"/>
  <c r="AR178" i="10"/>
  <c r="AQ433" i="10"/>
  <c r="AR433" i="10"/>
  <c r="AR513" i="10"/>
  <c r="AQ513" i="10"/>
  <c r="AR337" i="10"/>
  <c r="AQ337" i="10"/>
  <c r="AR30" i="10"/>
  <c r="AQ30" i="10"/>
  <c r="AR193" i="10"/>
  <c r="AQ193" i="10"/>
  <c r="AR455" i="10"/>
  <c r="AQ455" i="10"/>
  <c r="AN10" i="5"/>
  <c r="AO10" i="5"/>
  <c r="AN398" i="5"/>
  <c r="AO398" i="5"/>
  <c r="AN503" i="5"/>
  <c r="AO503" i="5"/>
  <c r="AN377" i="5"/>
  <c r="AO377" i="5"/>
  <c r="AN424" i="5"/>
  <c r="AO424" i="5"/>
  <c r="AO309" i="5"/>
  <c r="AN309" i="5"/>
  <c r="AO407" i="5"/>
  <c r="AN407" i="5"/>
  <c r="AO275" i="5"/>
  <c r="AN275" i="5"/>
  <c r="AO544" i="5"/>
  <c r="AN544" i="5"/>
  <c r="AN268" i="5"/>
  <c r="AO268" i="5"/>
  <c r="AN524" i="5"/>
  <c r="AO524" i="5"/>
  <c r="AO248" i="5"/>
  <c r="AN248" i="5"/>
  <c r="AN448" i="5"/>
  <c r="AO448" i="5"/>
  <c r="AN321" i="5"/>
  <c r="AO321" i="5"/>
  <c r="AO288" i="5"/>
  <c r="AN288" i="5"/>
  <c r="AN136" i="5"/>
  <c r="AO136" i="5"/>
  <c r="AO117" i="5"/>
  <c r="AN117" i="5"/>
  <c r="AO52" i="5"/>
  <c r="AN52" i="5"/>
  <c r="AO551" i="5"/>
  <c r="AN551" i="5"/>
  <c r="AN463" i="5"/>
  <c r="AO463" i="5"/>
  <c r="AN459" i="5"/>
  <c r="AO459" i="5"/>
  <c r="AO334" i="5"/>
  <c r="AN334" i="5"/>
  <c r="AN265" i="5"/>
  <c r="AO265" i="5"/>
  <c r="AN200" i="5"/>
  <c r="AO200" i="5"/>
  <c r="AO164" i="5"/>
  <c r="AN164" i="5"/>
  <c r="AN98" i="5"/>
  <c r="AO98" i="5"/>
  <c r="AO27" i="5"/>
  <c r="AN27" i="5"/>
  <c r="AO456" i="5"/>
  <c r="AN456" i="5"/>
  <c r="AN498" i="5"/>
  <c r="AO498" i="5"/>
  <c r="AN349" i="5"/>
  <c r="AO349" i="5"/>
  <c r="AN367" i="5"/>
  <c r="AO367" i="5"/>
  <c r="AN256" i="5"/>
  <c r="AO256" i="5"/>
  <c r="AO236" i="5"/>
  <c r="AN236" i="5"/>
  <c r="AO107" i="5"/>
  <c r="AN107" i="5"/>
  <c r="AO53" i="5"/>
  <c r="AN53" i="5"/>
  <c r="AN549" i="5"/>
  <c r="AO549" i="5"/>
  <c r="AO454" i="5"/>
  <c r="AN454" i="5"/>
  <c r="AO457" i="5"/>
  <c r="AN457" i="5"/>
  <c r="AN293" i="5"/>
  <c r="AO293" i="5"/>
  <c r="AN257" i="5"/>
  <c r="AO257" i="5"/>
  <c r="AN186" i="5"/>
  <c r="AO186" i="5"/>
  <c r="AO153" i="5"/>
  <c r="AN153" i="5"/>
  <c r="AN96" i="5"/>
  <c r="AO96" i="5"/>
  <c r="AN25" i="5"/>
  <c r="AO25" i="5"/>
  <c r="AO453" i="5"/>
  <c r="AN453" i="5"/>
  <c r="AN452" i="5"/>
  <c r="AO452" i="5"/>
  <c r="AO277" i="5"/>
  <c r="AN277" i="5"/>
  <c r="AO255" i="5"/>
  <c r="AN255" i="5"/>
  <c r="AO184" i="5"/>
  <c r="AN184" i="5"/>
  <c r="AN150" i="5"/>
  <c r="AO150" i="5"/>
  <c r="AN95" i="5"/>
  <c r="AO95" i="5"/>
  <c r="AO22" i="5"/>
  <c r="AN22" i="5"/>
  <c r="AN539" i="5"/>
  <c r="AO539" i="5"/>
  <c r="AN447" i="5"/>
  <c r="AO447" i="5"/>
  <c r="AO273" i="5"/>
  <c r="AN273" i="5"/>
  <c r="AN206" i="5"/>
  <c r="AO206" i="5"/>
  <c r="AO300" i="5"/>
  <c r="AN300" i="5"/>
  <c r="AN174" i="5"/>
  <c r="AO174" i="5"/>
  <c r="AN125" i="5"/>
  <c r="AO125" i="5"/>
  <c r="AN51" i="5"/>
  <c r="AO51" i="5"/>
  <c r="AO538" i="5"/>
  <c r="AN538" i="5"/>
  <c r="AO444" i="5"/>
  <c r="AN444" i="5"/>
  <c r="AN422" i="5"/>
  <c r="AO422" i="5"/>
  <c r="AO252" i="5"/>
  <c r="AN252" i="5"/>
  <c r="AO249" i="5"/>
  <c r="AN249" i="5"/>
  <c r="AO161" i="5"/>
  <c r="AN161" i="5"/>
  <c r="AN116" i="5"/>
  <c r="AO116" i="5"/>
  <c r="AO91" i="5"/>
  <c r="AN91" i="5"/>
  <c r="AO40" i="5"/>
  <c r="AN40" i="5"/>
  <c r="AK368" i="5"/>
  <c r="AL368" i="5"/>
  <c r="AK545" i="5"/>
  <c r="AL545" i="5"/>
  <c r="AL460" i="5"/>
  <c r="AK460" i="5"/>
  <c r="AK505" i="5"/>
  <c r="AL505" i="5"/>
  <c r="AL341" i="5"/>
  <c r="AK341" i="5"/>
  <c r="AK270" i="5"/>
  <c r="AL270" i="5"/>
  <c r="AK241" i="5"/>
  <c r="AL241" i="5"/>
  <c r="AK183" i="5"/>
  <c r="AL183" i="5"/>
  <c r="AL111" i="5"/>
  <c r="AK111" i="5"/>
  <c r="AK32" i="5"/>
  <c r="AL32" i="5"/>
  <c r="AK281" i="5"/>
  <c r="AL281" i="5"/>
  <c r="AL475" i="5"/>
  <c r="AK475" i="5"/>
  <c r="AL393" i="5"/>
  <c r="AK393" i="5"/>
  <c r="AL440" i="5"/>
  <c r="AK440" i="5"/>
  <c r="AL390" i="5"/>
  <c r="AK390" i="5"/>
  <c r="AK309" i="5"/>
  <c r="AL309" i="5"/>
  <c r="AK181" i="5"/>
  <c r="AL181" i="5"/>
  <c r="AL154" i="5"/>
  <c r="AK154" i="5"/>
  <c r="AL94" i="5"/>
  <c r="AK94" i="5"/>
  <c r="AK25" i="5"/>
  <c r="AL25" i="5"/>
  <c r="AL68" i="5"/>
  <c r="AK68" i="5"/>
  <c r="AK468" i="5"/>
  <c r="AL468" i="5"/>
  <c r="AL513" i="5"/>
  <c r="AK513" i="5"/>
  <c r="AK407" i="5"/>
  <c r="AL407" i="5"/>
  <c r="AK363" i="5"/>
  <c r="AL363" i="5"/>
  <c r="AK268" i="5"/>
  <c r="AL268" i="5"/>
  <c r="AL202" i="5"/>
  <c r="AK202" i="5"/>
  <c r="AK123" i="5"/>
  <c r="AL123" i="5"/>
  <c r="AL91" i="5"/>
  <c r="AK91" i="5"/>
  <c r="AM13" i="5"/>
  <c r="T13" i="5"/>
  <c r="AJ13" i="5"/>
  <c r="AG13" i="5"/>
  <c r="W13" i="5"/>
  <c r="Q13" i="5"/>
  <c r="Z13" i="5"/>
  <c r="AK217" i="5"/>
  <c r="AL217" i="5"/>
  <c r="AK462" i="5"/>
  <c r="AL462" i="5"/>
  <c r="AK510" i="5"/>
  <c r="AL510" i="5"/>
  <c r="AL405" i="5"/>
  <c r="AK405" i="5"/>
  <c r="AL359" i="5"/>
  <c r="AK359" i="5"/>
  <c r="AK265" i="5"/>
  <c r="AL265" i="5"/>
  <c r="AL199" i="5"/>
  <c r="AK199" i="5"/>
  <c r="AL121" i="5"/>
  <c r="AK121" i="5"/>
  <c r="AL88" i="5"/>
  <c r="AK88" i="5"/>
  <c r="AL548" i="5"/>
  <c r="AK548" i="5"/>
  <c r="AK180" i="5"/>
  <c r="AL180" i="5"/>
  <c r="AL452" i="5"/>
  <c r="AK452" i="5"/>
  <c r="AL488" i="5"/>
  <c r="AK488" i="5"/>
  <c r="AK381" i="5"/>
  <c r="AL381" i="5"/>
  <c r="AL313" i="5"/>
  <c r="AK313" i="5"/>
  <c r="AL225" i="5"/>
  <c r="AK225" i="5"/>
  <c r="AK226" i="5"/>
  <c r="AL226" i="5"/>
  <c r="AK157" i="5"/>
  <c r="AL157" i="5"/>
  <c r="AK40" i="5"/>
  <c r="AL40" i="5"/>
  <c r="AL502" i="5"/>
  <c r="AK502" i="5"/>
  <c r="AK71" i="5"/>
  <c r="AL71" i="5"/>
  <c r="AK527" i="5"/>
  <c r="AL527" i="5"/>
  <c r="AL418" i="5"/>
  <c r="AK418" i="5"/>
  <c r="AK394" i="5"/>
  <c r="AL394" i="5"/>
  <c r="AK308" i="5"/>
  <c r="AL308" i="5"/>
  <c r="AK269" i="5"/>
  <c r="AL269" i="5"/>
  <c r="AK200" i="5"/>
  <c r="AL200" i="5"/>
  <c r="AK149" i="5"/>
  <c r="AL149" i="5"/>
  <c r="AK55" i="5"/>
  <c r="AL55" i="5"/>
  <c r="AL19" i="5"/>
  <c r="AK19" i="5"/>
  <c r="AK526" i="5"/>
  <c r="AL526" i="5"/>
  <c r="AK373" i="5"/>
  <c r="AL373" i="5"/>
  <c r="AK388" i="5"/>
  <c r="AL388" i="5"/>
  <c r="AL304" i="5"/>
  <c r="AK304" i="5"/>
  <c r="AK262" i="5"/>
  <c r="AL262" i="5"/>
  <c r="AK196" i="5"/>
  <c r="AL196" i="5"/>
  <c r="AL146" i="5"/>
  <c r="AK146" i="5"/>
  <c r="AK53" i="5"/>
  <c r="AL53" i="5"/>
  <c r="AS90" i="10"/>
  <c r="AS84" i="10"/>
  <c r="AS116" i="10"/>
  <c r="AS148" i="10"/>
  <c r="AS180" i="10"/>
  <c r="AS139" i="10"/>
  <c r="AS171" i="10"/>
  <c r="AS52" i="10"/>
  <c r="AS94" i="10"/>
  <c r="AS292" i="10"/>
  <c r="AS363" i="10"/>
  <c r="AS339" i="10"/>
  <c r="AS338" i="10"/>
  <c r="AS489" i="10"/>
  <c r="AS54" i="10"/>
  <c r="AS98" i="10"/>
  <c r="AS296" i="10"/>
  <c r="AS364" i="10"/>
  <c r="AS343" i="10"/>
  <c r="AS342" i="10"/>
  <c r="AS455" i="10"/>
  <c r="AS129" i="10"/>
  <c r="AS134" i="10"/>
  <c r="AS96" i="10"/>
  <c r="AS212" i="10"/>
  <c r="AS308" i="10"/>
  <c r="AS392" i="10"/>
  <c r="AS515" i="10"/>
  <c r="AS376" i="10"/>
  <c r="AS201" i="10"/>
  <c r="AS132" i="10"/>
  <c r="AS304" i="10"/>
  <c r="AS344" i="10"/>
  <c r="AS428" i="10"/>
  <c r="AS550" i="10"/>
  <c r="AS35" i="10"/>
  <c r="AS239" i="10"/>
  <c r="AS168" i="10"/>
  <c r="AS198" i="10"/>
  <c r="AS325" i="10"/>
  <c r="AS418" i="10"/>
  <c r="AS36" i="10"/>
  <c r="AS58" i="10"/>
  <c r="AS131" i="10"/>
  <c r="AS203" i="10"/>
  <c r="AS234" i="10"/>
  <c r="AS370" i="10"/>
  <c r="AS407" i="10"/>
  <c r="AS64" i="10"/>
  <c r="AS91" i="10"/>
  <c r="AS167" i="10"/>
  <c r="AS237" i="10"/>
  <c r="AS269" i="10"/>
  <c r="AS266" i="10"/>
  <c r="AS443" i="10"/>
  <c r="AS436" i="10"/>
  <c r="AS529" i="10"/>
  <c r="AS425" i="10"/>
  <c r="AS519" i="10"/>
  <c r="AS397" i="10"/>
  <c r="AS494" i="10"/>
  <c r="AS369" i="10"/>
  <c r="AS481" i="10"/>
  <c r="AS556" i="10"/>
  <c r="AS457" i="10"/>
  <c r="AS557" i="10"/>
  <c r="AS490" i="10"/>
  <c r="AS542" i="10"/>
  <c r="AT13" i="10"/>
  <c r="AU13" i="10"/>
  <c r="AL7" i="10"/>
  <c r="AK7" i="10"/>
  <c r="AK290" i="10"/>
  <c r="AL290" i="10"/>
  <c r="AL78" i="10"/>
  <c r="AK78" i="10"/>
  <c r="AK471" i="10"/>
  <c r="AL471" i="10"/>
  <c r="AK535" i="10"/>
  <c r="AL535" i="10"/>
  <c r="AL115" i="10"/>
  <c r="AK115" i="10"/>
  <c r="AL215" i="10"/>
  <c r="AK215" i="10"/>
  <c r="AL140" i="10"/>
  <c r="AK140" i="10"/>
  <c r="AK181" i="10"/>
  <c r="AL181" i="10"/>
  <c r="AL528" i="10"/>
  <c r="AK528" i="10"/>
  <c r="AL513" i="10"/>
  <c r="AK513" i="10"/>
  <c r="AK214" i="10"/>
  <c r="AL214" i="10"/>
  <c r="AK283" i="10"/>
  <c r="AL283" i="10"/>
  <c r="AK376" i="10"/>
  <c r="AL376" i="10"/>
  <c r="AL385" i="10"/>
  <c r="AK385" i="10"/>
  <c r="AL264" i="10"/>
  <c r="AK264" i="10"/>
  <c r="AL305" i="10"/>
  <c r="AK305" i="10"/>
  <c r="AK49" i="10"/>
  <c r="AL49" i="10"/>
  <c r="AK501" i="10"/>
  <c r="AL501" i="10"/>
  <c r="AK500" i="10"/>
  <c r="AL500" i="10"/>
  <c r="AK418" i="10"/>
  <c r="AL418" i="10"/>
  <c r="AK495" i="10"/>
  <c r="AL495" i="10"/>
  <c r="AL477" i="10"/>
  <c r="AK477" i="10"/>
  <c r="AL135" i="10"/>
  <c r="AK135" i="10"/>
  <c r="AK100" i="10"/>
  <c r="AL100" i="10"/>
  <c r="AL141" i="10"/>
  <c r="AK141" i="10"/>
  <c r="AL330" i="10"/>
  <c r="AK330" i="10"/>
  <c r="AL416" i="10"/>
  <c r="AK416" i="10"/>
  <c r="AL558" i="10"/>
  <c r="AK558" i="10"/>
  <c r="AK178" i="10"/>
  <c r="AL178" i="10"/>
  <c r="AK323" i="10"/>
  <c r="AL323" i="10"/>
  <c r="AK345" i="10"/>
  <c r="AL345" i="10"/>
  <c r="AK224" i="10"/>
  <c r="AL224" i="10"/>
  <c r="AK265" i="10"/>
  <c r="AL265" i="10"/>
  <c r="AK454" i="10"/>
  <c r="AL454" i="10"/>
  <c r="AL464" i="10"/>
  <c r="AK464" i="10"/>
  <c r="AK484" i="10"/>
  <c r="AL484" i="10"/>
  <c r="AK407" i="10"/>
  <c r="AL407" i="10"/>
  <c r="AL487" i="10"/>
  <c r="AK487" i="10"/>
  <c r="AL469" i="10"/>
  <c r="AK469" i="10"/>
  <c r="AK119" i="10"/>
  <c r="AL119" i="10"/>
  <c r="AL92" i="10"/>
  <c r="AK92" i="10"/>
  <c r="AL133" i="10"/>
  <c r="AK133" i="10"/>
  <c r="AK267" i="10"/>
  <c r="AL267" i="10"/>
  <c r="AK395" i="10"/>
  <c r="AL395" i="10"/>
  <c r="AK550" i="10"/>
  <c r="AL550" i="10"/>
  <c r="AK155" i="10"/>
  <c r="AL155" i="10"/>
  <c r="AK311" i="10"/>
  <c r="AL311" i="10"/>
  <c r="AK337" i="10"/>
  <c r="AL337" i="10"/>
  <c r="AL216" i="10"/>
  <c r="AK216" i="10"/>
  <c r="AL257" i="10"/>
  <c r="AK257" i="10"/>
  <c r="AL525" i="10"/>
  <c r="AK525" i="10"/>
  <c r="AL422" i="10"/>
  <c r="AK422" i="10"/>
  <c r="AK463" i="10"/>
  <c r="AL463" i="10"/>
  <c r="AL396" i="10"/>
  <c r="AK396" i="10"/>
  <c r="AK478" i="10"/>
  <c r="AL478" i="10"/>
  <c r="AL461" i="10"/>
  <c r="AK461" i="10"/>
  <c r="AK103" i="10"/>
  <c r="AL103" i="10"/>
  <c r="AL84" i="10"/>
  <c r="AK84" i="10"/>
  <c r="AL125" i="10"/>
  <c r="AK125" i="10"/>
  <c r="AL182" i="10"/>
  <c r="AK182" i="10"/>
  <c r="AL374" i="10"/>
  <c r="AK374" i="10"/>
  <c r="AK542" i="10"/>
  <c r="AL542" i="10"/>
  <c r="AK134" i="10"/>
  <c r="AL134" i="10"/>
  <c r="AL298" i="10"/>
  <c r="AK298" i="10"/>
  <c r="AL329" i="10"/>
  <c r="AK329" i="10"/>
  <c r="AK208" i="10"/>
  <c r="AL208" i="10"/>
  <c r="AL249" i="10"/>
  <c r="AK249" i="10"/>
  <c r="AA13" i="10"/>
  <c r="AB13" i="10"/>
  <c r="AN11" i="10"/>
  <c r="AO11" i="10"/>
  <c r="AN452" i="10"/>
  <c r="AO452" i="10"/>
  <c r="AO139" i="10"/>
  <c r="AN139" i="10"/>
  <c r="AO350" i="10"/>
  <c r="AN350" i="10"/>
  <c r="AO508" i="10"/>
  <c r="AN508" i="10"/>
  <c r="AN207" i="10"/>
  <c r="AO207" i="10"/>
  <c r="AN194" i="10"/>
  <c r="AO194" i="10"/>
  <c r="AO32" i="10"/>
  <c r="AN32" i="10"/>
  <c r="AN458" i="10"/>
  <c r="AO458" i="10"/>
  <c r="AN369" i="10"/>
  <c r="AO369" i="10"/>
  <c r="AN28" i="10"/>
  <c r="AO28" i="10"/>
  <c r="AH499" i="5"/>
  <c r="AP499" i="5"/>
  <c r="AI499" i="5"/>
  <c r="AI528" i="5"/>
  <c r="AH528" i="5"/>
  <c r="AP528" i="5"/>
  <c r="AH524" i="5"/>
  <c r="AP524" i="5"/>
  <c r="AI524" i="5"/>
  <c r="AI526" i="5"/>
  <c r="AP526" i="5"/>
  <c r="AH526" i="5"/>
  <c r="AI477" i="5"/>
  <c r="AH477" i="5"/>
  <c r="AP477" i="5"/>
  <c r="AI447" i="5"/>
  <c r="AH447" i="5"/>
  <c r="AP447" i="5"/>
  <c r="AI129" i="5"/>
  <c r="AH129" i="5"/>
  <c r="AP129" i="5"/>
  <c r="AP99" i="5"/>
  <c r="AH99" i="5"/>
  <c r="AI99" i="5"/>
  <c r="AQ120" i="10"/>
  <c r="AR120" i="10"/>
  <c r="AQ186" i="10"/>
  <c r="AR186" i="10"/>
  <c r="AR252" i="10"/>
  <c r="AQ252" i="10"/>
  <c r="AR229" i="10"/>
  <c r="AQ229" i="10"/>
  <c r="AO67" i="5"/>
  <c r="AN67" i="5"/>
  <c r="AN401" i="5"/>
  <c r="AO401" i="5"/>
  <c r="AO89" i="5"/>
  <c r="AN89" i="5"/>
  <c r="AN318" i="5"/>
  <c r="AO318" i="5"/>
  <c r="AN533" i="5"/>
  <c r="AO533" i="5"/>
  <c r="AO302" i="5"/>
  <c r="AN302" i="5"/>
  <c r="AO462" i="5"/>
  <c r="AN462" i="5"/>
  <c r="AN545" i="5"/>
  <c r="AO545" i="5"/>
  <c r="AN141" i="5"/>
  <c r="AO141" i="5"/>
  <c r="AK143" i="5"/>
  <c r="AL143" i="5"/>
  <c r="AL271" i="5"/>
  <c r="AK271" i="5"/>
  <c r="AL293" i="5"/>
  <c r="AK293" i="5"/>
  <c r="AL234" i="5"/>
  <c r="AK234" i="5"/>
  <c r="AN8" i="10"/>
  <c r="AO8" i="10"/>
  <c r="AO313" i="10"/>
  <c r="AN313" i="10"/>
  <c r="AO192" i="10"/>
  <c r="AN192" i="10"/>
  <c r="AO256" i="10"/>
  <c r="AN256" i="10"/>
  <c r="AN443" i="10"/>
  <c r="AO443" i="10"/>
  <c r="AO314" i="10"/>
  <c r="AN314" i="10"/>
  <c r="AN457" i="10"/>
  <c r="AO457" i="10"/>
  <c r="AN410" i="10"/>
  <c r="AO410" i="10"/>
  <c r="AO448" i="10"/>
  <c r="AN448" i="10"/>
  <c r="AN407" i="10"/>
  <c r="AO407" i="10"/>
  <c r="AO339" i="10"/>
  <c r="AN339" i="10"/>
  <c r="AN498" i="10"/>
  <c r="AO498" i="10"/>
  <c r="AO405" i="10"/>
  <c r="AN405" i="10"/>
  <c r="AO335" i="10"/>
  <c r="AN335" i="10"/>
  <c r="AO181" i="10"/>
  <c r="AN181" i="10"/>
  <c r="AO388" i="10"/>
  <c r="AN388" i="10"/>
  <c r="AO99" i="10"/>
  <c r="AN99" i="10"/>
  <c r="AN399" i="10"/>
  <c r="AO399" i="10"/>
  <c r="AN320" i="10"/>
  <c r="AO320" i="10"/>
  <c r="AN329" i="10"/>
  <c r="AO329" i="10"/>
  <c r="AO21" i="10"/>
  <c r="AN21" i="10"/>
  <c r="AO38" i="10"/>
  <c r="AN38" i="10"/>
  <c r="AO60" i="10"/>
  <c r="AN60" i="10"/>
  <c r="AN130" i="10"/>
  <c r="AO130" i="10"/>
  <c r="AN114" i="10"/>
  <c r="AO114" i="10"/>
  <c r="AI455" i="5"/>
  <c r="AH455" i="5"/>
  <c r="AP455" i="5"/>
  <c r="AP307" i="5"/>
  <c r="AI307" i="5"/>
  <c r="AH307" i="5"/>
  <c r="AI486" i="5"/>
  <c r="AH486" i="5"/>
  <c r="AP486" i="5"/>
  <c r="AI195" i="5"/>
  <c r="AH195" i="5"/>
  <c r="AP195" i="5"/>
  <c r="AI491" i="5"/>
  <c r="AH491" i="5"/>
  <c r="AP491" i="5"/>
  <c r="AH183" i="5"/>
  <c r="AP183" i="5"/>
  <c r="AI183" i="5"/>
  <c r="AH550" i="5"/>
  <c r="AP550" i="5"/>
  <c r="AI550" i="5"/>
  <c r="AH87" i="5"/>
  <c r="AI87" i="5"/>
  <c r="AP87" i="5"/>
  <c r="AP448" i="5"/>
  <c r="AI448" i="5"/>
  <c r="AH448" i="5"/>
  <c r="AH311" i="5"/>
  <c r="AP311" i="5"/>
  <c r="AI311" i="5"/>
  <c r="AP426" i="5"/>
  <c r="AI426" i="5"/>
  <c r="AH426" i="5"/>
  <c r="AI424" i="5"/>
  <c r="AP424" i="5"/>
  <c r="AH424" i="5"/>
  <c r="AH511" i="5"/>
  <c r="AP511" i="5"/>
  <c r="AI511" i="5"/>
  <c r="AI298" i="5"/>
  <c r="AH298" i="5"/>
  <c r="AP298" i="5"/>
  <c r="AP269" i="5"/>
  <c r="AH269" i="5"/>
  <c r="AI269" i="5"/>
  <c r="AH40" i="5"/>
  <c r="AI40" i="5"/>
  <c r="AP40" i="5"/>
  <c r="AI58" i="5"/>
  <c r="AH58" i="5"/>
  <c r="AP58" i="5"/>
  <c r="AH135" i="5"/>
  <c r="AI135" i="5"/>
  <c r="AP135" i="5"/>
  <c r="AI325" i="5"/>
  <c r="AP325" i="5"/>
  <c r="AH325" i="5"/>
  <c r="AH107" i="5"/>
  <c r="AI107" i="5"/>
  <c r="AP107" i="5"/>
  <c r="AP319" i="5"/>
  <c r="AI319" i="5"/>
  <c r="AH319" i="5"/>
  <c r="AH112" i="5"/>
  <c r="AI112" i="5"/>
  <c r="AP112" i="5"/>
  <c r="AP44" i="5"/>
  <c r="AH44" i="5"/>
  <c r="AI44" i="5"/>
  <c r="AR396" i="10"/>
  <c r="AQ396" i="10"/>
  <c r="AQ203" i="10"/>
  <c r="AR203" i="10"/>
  <c r="AQ557" i="10"/>
  <c r="AR557" i="10"/>
  <c r="AQ539" i="10"/>
  <c r="AR539" i="10"/>
  <c r="AQ41" i="10"/>
  <c r="AR41" i="10"/>
  <c r="AR468" i="10"/>
  <c r="AQ468" i="10"/>
  <c r="AR93" i="10"/>
  <c r="AQ93" i="10"/>
  <c r="AR380" i="10"/>
  <c r="AQ380" i="10"/>
  <c r="AR498" i="10"/>
  <c r="AQ498" i="10"/>
  <c r="AQ31" i="10"/>
  <c r="AR31" i="10"/>
  <c r="AQ303" i="10"/>
  <c r="AR303" i="10"/>
  <c r="AR480" i="10"/>
  <c r="AQ480" i="10"/>
  <c r="AR292" i="10"/>
  <c r="AQ292" i="10"/>
  <c r="AR526" i="10"/>
  <c r="AQ526" i="10"/>
  <c r="AQ112" i="10"/>
  <c r="AR112" i="10"/>
  <c r="AM12" i="10"/>
  <c r="T12" i="10"/>
  <c r="AG12" i="10"/>
  <c r="AP12" i="10"/>
  <c r="W12" i="10"/>
  <c r="Q12" i="10"/>
  <c r="Z12" i="10"/>
  <c r="AQ209" i="10"/>
  <c r="AR209" i="10"/>
  <c r="AQ487" i="10"/>
  <c r="AR487" i="10"/>
  <c r="AR416" i="10"/>
  <c r="AQ416" i="10"/>
  <c r="AR25" i="10"/>
  <c r="AQ25" i="10"/>
  <c r="AQ419" i="10"/>
  <c r="AR419" i="10"/>
  <c r="AQ44" i="10"/>
  <c r="AR44" i="10"/>
  <c r="AR369" i="10"/>
  <c r="AQ369" i="10"/>
  <c r="AQ46" i="10"/>
  <c r="AR46" i="10"/>
  <c r="AQ177" i="10"/>
  <c r="AR177" i="10"/>
  <c r="AN450" i="10"/>
  <c r="AO450" i="10"/>
  <c r="AN436" i="10"/>
  <c r="AO436" i="10"/>
  <c r="AO282" i="10"/>
  <c r="AN282" i="10"/>
  <c r="AO290" i="10"/>
  <c r="AN290" i="10"/>
  <c r="AN188" i="10"/>
  <c r="AO188" i="10"/>
  <c r="AN513" i="10"/>
  <c r="AO513" i="10"/>
  <c r="AN548" i="10"/>
  <c r="AO548" i="10"/>
  <c r="AN534" i="10"/>
  <c r="AO534" i="10"/>
  <c r="AO225" i="10"/>
  <c r="AN225" i="10"/>
  <c r="AO211" i="10"/>
  <c r="AN211" i="10"/>
  <c r="AN217" i="10"/>
  <c r="AO217" i="10"/>
  <c r="AN517" i="10"/>
  <c r="AO517" i="10"/>
  <c r="AN371" i="10"/>
  <c r="AO371" i="10"/>
  <c r="AN411" i="10"/>
  <c r="AO411" i="10"/>
  <c r="AO544" i="10"/>
  <c r="AN544" i="10"/>
  <c r="AN522" i="10"/>
  <c r="AO522" i="10"/>
  <c r="AO218" i="10"/>
  <c r="AN218" i="10"/>
  <c r="AN209" i="10"/>
  <c r="AO209" i="10"/>
  <c r="AO212" i="10"/>
  <c r="AN212" i="10"/>
  <c r="AN485" i="10"/>
  <c r="AO485" i="10"/>
  <c r="AO413" i="10"/>
  <c r="AN413" i="10"/>
  <c r="AN495" i="10"/>
  <c r="AO495" i="10"/>
  <c r="AO348" i="10"/>
  <c r="AN348" i="10"/>
  <c r="AN343" i="10"/>
  <c r="AO343" i="10"/>
  <c r="AN62" i="10"/>
  <c r="AO62" i="10"/>
  <c r="AN537" i="10"/>
  <c r="AO537" i="10"/>
  <c r="AN501" i="10"/>
  <c r="AO501" i="10"/>
  <c r="AN530" i="10"/>
  <c r="AO530" i="10"/>
  <c r="AN386" i="10"/>
  <c r="AO386" i="10"/>
  <c r="AN459" i="10"/>
  <c r="AO459" i="10"/>
  <c r="AO300" i="10"/>
  <c r="AN300" i="10"/>
  <c r="AN307" i="10"/>
  <c r="AO307" i="10"/>
  <c r="AO251" i="10"/>
  <c r="AN251" i="10"/>
  <c r="AN505" i="10"/>
  <c r="AO505" i="10"/>
  <c r="AO497" i="10"/>
  <c r="AN497" i="10"/>
  <c r="AN514" i="10"/>
  <c r="AO514" i="10"/>
  <c r="AO383" i="10"/>
  <c r="AN383" i="10"/>
  <c r="AN455" i="10"/>
  <c r="AO455" i="10"/>
  <c r="AO296" i="10"/>
  <c r="AN296" i="10"/>
  <c r="AN303" i="10"/>
  <c r="AO303" i="10"/>
  <c r="AN235" i="10"/>
  <c r="AO235" i="10"/>
  <c r="AN473" i="10"/>
  <c r="AO473" i="10"/>
  <c r="AN525" i="10"/>
  <c r="AO525" i="10"/>
  <c r="AO115" i="10"/>
  <c r="AN115" i="10"/>
  <c r="AN402" i="10"/>
  <c r="AO402" i="10"/>
  <c r="AN483" i="10"/>
  <c r="AO483" i="10"/>
  <c r="AO324" i="10"/>
  <c r="AN324" i="10"/>
  <c r="AN331" i="10"/>
  <c r="AO331" i="10"/>
  <c r="AN345" i="10"/>
  <c r="AO345" i="10"/>
  <c r="AN494" i="10"/>
  <c r="AO494" i="10"/>
  <c r="AO378" i="10"/>
  <c r="AN378" i="10"/>
  <c r="AO444" i="10"/>
  <c r="AN444" i="10"/>
  <c r="AN287" i="10"/>
  <c r="AO287" i="10"/>
  <c r="AN295" i="10"/>
  <c r="AO295" i="10"/>
  <c r="AN208" i="10"/>
  <c r="AO208" i="10"/>
  <c r="AN184" i="10"/>
  <c r="AO184" i="10"/>
  <c r="AN56" i="10"/>
  <c r="AO56" i="10"/>
  <c r="AO219" i="10"/>
  <c r="AN219" i="10"/>
  <c r="AN82" i="10"/>
  <c r="AO82" i="10"/>
  <c r="AO213" i="10"/>
  <c r="AN213" i="10"/>
  <c r="AN79" i="10"/>
  <c r="AO79" i="10"/>
  <c r="AO357" i="10"/>
  <c r="AN357" i="10"/>
  <c r="AO86" i="10"/>
  <c r="AN86" i="10"/>
  <c r="AN353" i="10"/>
  <c r="AO353" i="10"/>
  <c r="AN84" i="10"/>
  <c r="AO84" i="10"/>
  <c r="AO349" i="10"/>
  <c r="AN349" i="10"/>
  <c r="AO81" i="10"/>
  <c r="AN81" i="10"/>
  <c r="AN70" i="10"/>
  <c r="AO70" i="10"/>
  <c r="AP10" i="5"/>
  <c r="AI10" i="5"/>
  <c r="AH10" i="5"/>
  <c r="AI126" i="5"/>
  <c r="AH126" i="5"/>
  <c r="AP126" i="5"/>
  <c r="AI535" i="5"/>
  <c r="AH535" i="5"/>
  <c r="AP535" i="5"/>
  <c r="AI464" i="5"/>
  <c r="AP464" i="5"/>
  <c r="AH464" i="5"/>
  <c r="AP361" i="5"/>
  <c r="AH361" i="5"/>
  <c r="AI361" i="5"/>
  <c r="AH200" i="5"/>
  <c r="AI200" i="5"/>
  <c r="AP200" i="5"/>
  <c r="AI84" i="5"/>
  <c r="AH84" i="5"/>
  <c r="AP84" i="5"/>
  <c r="AI469" i="5"/>
  <c r="AH469" i="5"/>
  <c r="AP469" i="5"/>
  <c r="AP377" i="5"/>
  <c r="AI377" i="5"/>
  <c r="AH377" i="5"/>
  <c r="AI459" i="5"/>
  <c r="AH459" i="5"/>
  <c r="AP459" i="5"/>
  <c r="AI412" i="5"/>
  <c r="AH412" i="5"/>
  <c r="AP412" i="5"/>
  <c r="AP398" i="5"/>
  <c r="AI398" i="5"/>
  <c r="AH398" i="5"/>
  <c r="AP234" i="5"/>
  <c r="AH234" i="5"/>
  <c r="AI234" i="5"/>
  <c r="AP38" i="5"/>
  <c r="AI38" i="5"/>
  <c r="AH38" i="5"/>
  <c r="AH520" i="5"/>
  <c r="AP520" i="5"/>
  <c r="AI520" i="5"/>
  <c r="AH458" i="5"/>
  <c r="AP458" i="5"/>
  <c r="AI458" i="5"/>
  <c r="AI353" i="5"/>
  <c r="AH353" i="5"/>
  <c r="AP353" i="5"/>
  <c r="AP327" i="5"/>
  <c r="AI327" i="5"/>
  <c r="AH327" i="5"/>
  <c r="AH130" i="5"/>
  <c r="AI130" i="5"/>
  <c r="AP130" i="5"/>
  <c r="AI472" i="5"/>
  <c r="AH472" i="5"/>
  <c r="AP472" i="5"/>
  <c r="AI537" i="5"/>
  <c r="AH537" i="5"/>
  <c r="AP537" i="5"/>
  <c r="AP514" i="5"/>
  <c r="AI514" i="5"/>
  <c r="AH514" i="5"/>
  <c r="AI489" i="5"/>
  <c r="AP489" i="5"/>
  <c r="AH489" i="5"/>
  <c r="AP329" i="5"/>
  <c r="AI329" i="5"/>
  <c r="AH329" i="5"/>
  <c r="AP251" i="5"/>
  <c r="AH251" i="5"/>
  <c r="AI251" i="5"/>
  <c r="AI63" i="5"/>
  <c r="AH63" i="5"/>
  <c r="AP63" i="5"/>
  <c r="AH19" i="5"/>
  <c r="AI19" i="5"/>
  <c r="AP19" i="5"/>
  <c r="AI392" i="5"/>
  <c r="AP392" i="5"/>
  <c r="AH392" i="5"/>
  <c r="AI384" i="5"/>
  <c r="AP384" i="5"/>
  <c r="AH384" i="5"/>
  <c r="AP405" i="5"/>
  <c r="AH405" i="5"/>
  <c r="AI405" i="5"/>
  <c r="AH246" i="5"/>
  <c r="AI246" i="5"/>
  <c r="AP246" i="5"/>
  <c r="AI115" i="5"/>
  <c r="AP115" i="5"/>
  <c r="AH115" i="5"/>
  <c r="AI268" i="5"/>
  <c r="AH268" i="5"/>
  <c r="AP268" i="5"/>
  <c r="AH536" i="5"/>
  <c r="AP536" i="5"/>
  <c r="AI536" i="5"/>
  <c r="AI439" i="5"/>
  <c r="AH439" i="5"/>
  <c r="AP439" i="5"/>
  <c r="AH346" i="5"/>
  <c r="AI346" i="5"/>
  <c r="AP346" i="5"/>
  <c r="AI364" i="5"/>
  <c r="AP364" i="5"/>
  <c r="AH364" i="5"/>
  <c r="AH199" i="5"/>
  <c r="AI199" i="5"/>
  <c r="AP199" i="5"/>
  <c r="AH440" i="5"/>
  <c r="AP440" i="5"/>
  <c r="AI440" i="5"/>
  <c r="AI413" i="5"/>
  <c r="AH413" i="5"/>
  <c r="AP413" i="5"/>
  <c r="AI471" i="5"/>
  <c r="AH471" i="5"/>
  <c r="AP471" i="5"/>
  <c r="AI431" i="5"/>
  <c r="AH431" i="5"/>
  <c r="AP431" i="5"/>
  <c r="AI420" i="5"/>
  <c r="AP420" i="5"/>
  <c r="AH420" i="5"/>
  <c r="AH209" i="5"/>
  <c r="AI209" i="5"/>
  <c r="AP209" i="5"/>
  <c r="AH42" i="5"/>
  <c r="AI42" i="5"/>
  <c r="AP42" i="5"/>
  <c r="AH196" i="5"/>
  <c r="AI196" i="5"/>
  <c r="AP196" i="5"/>
  <c r="AH225" i="5"/>
  <c r="AP225" i="5"/>
  <c r="AI225" i="5"/>
  <c r="AI161" i="5"/>
  <c r="AP161" i="5"/>
  <c r="AH161" i="5"/>
  <c r="AH85" i="5"/>
  <c r="AP85" i="5"/>
  <c r="AI85" i="5"/>
  <c r="AP32" i="5"/>
  <c r="AH32" i="5"/>
  <c r="AI32" i="5"/>
  <c r="AP194" i="5"/>
  <c r="AH194" i="5"/>
  <c r="AI194" i="5"/>
  <c r="AH148" i="5"/>
  <c r="AI148" i="5"/>
  <c r="AP148" i="5"/>
  <c r="AH56" i="5"/>
  <c r="AI56" i="5"/>
  <c r="AP56" i="5"/>
  <c r="AP341" i="5"/>
  <c r="AH341" i="5"/>
  <c r="AI341" i="5"/>
  <c r="AI210" i="5"/>
  <c r="AP210" i="5"/>
  <c r="AH210" i="5"/>
  <c r="AI239" i="5"/>
  <c r="AP239" i="5"/>
  <c r="AH239" i="5"/>
  <c r="AI139" i="5"/>
  <c r="AP139" i="5"/>
  <c r="AH139" i="5"/>
  <c r="AP69" i="5"/>
  <c r="AH69" i="5"/>
  <c r="AI69" i="5"/>
  <c r="AI415" i="5"/>
  <c r="AP415" i="5"/>
  <c r="AH415" i="5"/>
  <c r="AP292" i="5"/>
  <c r="AI292" i="5"/>
  <c r="AH292" i="5"/>
  <c r="AH242" i="5"/>
  <c r="AI242" i="5"/>
  <c r="AP242" i="5"/>
  <c r="AI171" i="5"/>
  <c r="AH171" i="5"/>
  <c r="AP171" i="5"/>
  <c r="AH74" i="5"/>
  <c r="AI74" i="5"/>
  <c r="AP74" i="5"/>
  <c r="AH406" i="5"/>
  <c r="AP406" i="5"/>
  <c r="AI406" i="5"/>
  <c r="AH289" i="5"/>
  <c r="AI289" i="5"/>
  <c r="AP289" i="5"/>
  <c r="AP232" i="5"/>
  <c r="AI232" i="5"/>
  <c r="AH232" i="5"/>
  <c r="AH158" i="5"/>
  <c r="AP158" i="5"/>
  <c r="AI158" i="5"/>
  <c r="AH94" i="5"/>
  <c r="AP94" i="5"/>
  <c r="AI94" i="5"/>
  <c r="AP7" i="5"/>
  <c r="AH7" i="5"/>
  <c r="AI7" i="5"/>
  <c r="AQ131" i="10"/>
  <c r="AR131" i="10"/>
  <c r="AR324" i="10"/>
  <c r="AQ324" i="10"/>
  <c r="AQ507" i="10"/>
  <c r="AR507" i="10"/>
  <c r="AQ461" i="10"/>
  <c r="AR461" i="10"/>
  <c r="AR357" i="10"/>
  <c r="AQ357" i="10"/>
  <c r="AQ88" i="10"/>
  <c r="AR88" i="10"/>
  <c r="AR336" i="10"/>
  <c r="AQ336" i="10"/>
  <c r="AR531" i="10"/>
  <c r="AQ531" i="10"/>
  <c r="AR223" i="10"/>
  <c r="AQ223" i="10"/>
  <c r="AR537" i="10"/>
  <c r="AQ537" i="10"/>
  <c r="AQ128" i="10"/>
  <c r="AR128" i="10"/>
  <c r="AR150" i="10"/>
  <c r="AQ150" i="10"/>
  <c r="AR293" i="10"/>
  <c r="AQ293" i="10"/>
  <c r="AQ346" i="10"/>
  <c r="AR346" i="10"/>
  <c r="AR407" i="10"/>
  <c r="AQ407" i="10"/>
  <c r="AQ95" i="10"/>
  <c r="AR95" i="10"/>
  <c r="AQ402" i="10"/>
  <c r="AR402" i="10"/>
  <c r="AQ516" i="10"/>
  <c r="AR516" i="10"/>
  <c r="AR321" i="10"/>
  <c r="AQ321" i="10"/>
  <c r="AR37" i="10"/>
  <c r="AQ37" i="10"/>
  <c r="AR201" i="10"/>
  <c r="AQ201" i="10"/>
  <c r="AR463" i="10"/>
  <c r="AQ463" i="10"/>
  <c r="AR113" i="10"/>
  <c r="AQ113" i="10"/>
  <c r="AR381" i="10"/>
  <c r="AQ381" i="10"/>
  <c r="AR338" i="10"/>
  <c r="AQ338" i="10"/>
  <c r="AQ163" i="10"/>
  <c r="AR163" i="10"/>
  <c r="AQ473" i="10"/>
  <c r="AR473" i="10"/>
  <c r="AR111" i="10"/>
  <c r="AQ111" i="10"/>
  <c r="AR106" i="10"/>
  <c r="AQ106" i="10"/>
  <c r="AR241" i="10"/>
  <c r="AQ241" i="10"/>
  <c r="AQ314" i="10"/>
  <c r="AR314" i="10"/>
  <c r="AQ453" i="10"/>
  <c r="AR453" i="10"/>
  <c r="AR64" i="10"/>
  <c r="AQ64" i="10"/>
  <c r="AR370" i="10"/>
  <c r="AQ370" i="10"/>
  <c r="AQ492" i="10"/>
  <c r="AR492" i="10"/>
  <c r="AR307" i="10"/>
  <c r="AQ307" i="10"/>
  <c r="AR34" i="10"/>
  <c r="AQ34" i="10"/>
  <c r="AQ210" i="10"/>
  <c r="AR210" i="10"/>
  <c r="AR471" i="10"/>
  <c r="AQ471" i="10"/>
  <c r="AR82" i="10"/>
  <c r="AQ82" i="10"/>
  <c r="AR331" i="10"/>
  <c r="AQ331" i="10"/>
  <c r="AQ436" i="10"/>
  <c r="AR436" i="10"/>
  <c r="AQ208" i="10"/>
  <c r="AR208" i="10"/>
  <c r="AR494" i="10"/>
  <c r="AQ494" i="10"/>
  <c r="AQ76" i="10"/>
  <c r="AR76" i="10"/>
  <c r="AR114" i="10"/>
  <c r="AQ114" i="10"/>
  <c r="AQ379" i="10"/>
  <c r="AR379" i="10"/>
  <c r="AQ344" i="10"/>
  <c r="AR344" i="10"/>
  <c r="AQ154" i="10"/>
  <c r="AR154" i="10"/>
  <c r="AR218" i="10"/>
  <c r="AQ218" i="10"/>
  <c r="AQ479" i="10"/>
  <c r="AR479" i="10"/>
  <c r="AR56" i="10"/>
  <c r="AQ56" i="10"/>
  <c r="AR243" i="10"/>
  <c r="AQ243" i="10"/>
  <c r="AR351" i="10"/>
  <c r="AQ351" i="10"/>
  <c r="AQ96" i="10"/>
  <c r="AR96" i="10"/>
  <c r="AQ466" i="10"/>
  <c r="AR466" i="10"/>
  <c r="AR39" i="10"/>
  <c r="AQ39" i="10"/>
  <c r="AR122" i="10"/>
  <c r="AQ122" i="10"/>
  <c r="AQ302" i="10"/>
  <c r="AR302" i="10"/>
  <c r="AQ387" i="10"/>
  <c r="AR387" i="10"/>
  <c r="AR390" i="10"/>
  <c r="AQ390" i="10"/>
  <c r="AQ157" i="10"/>
  <c r="AR157" i="10"/>
  <c r="AR334" i="10"/>
  <c r="AQ334" i="10"/>
  <c r="AR410" i="10"/>
  <c r="AQ410" i="10"/>
  <c r="AR312" i="10"/>
  <c r="AQ312" i="10"/>
  <c r="AQ250" i="10"/>
  <c r="AR250" i="10"/>
  <c r="AQ226" i="10"/>
  <c r="AR226" i="10"/>
  <c r="AR489" i="10"/>
  <c r="AQ489" i="10"/>
  <c r="AO391" i="5"/>
  <c r="AN391" i="5"/>
  <c r="AO399" i="5"/>
  <c r="AN399" i="5"/>
  <c r="AN182" i="5"/>
  <c r="AO182" i="5"/>
  <c r="AN376" i="5"/>
  <c r="AO376" i="5"/>
  <c r="AN513" i="5"/>
  <c r="AO513" i="5"/>
  <c r="AO271" i="5"/>
  <c r="AN271" i="5"/>
  <c r="AN297" i="5"/>
  <c r="AO297" i="5"/>
  <c r="AO193" i="5"/>
  <c r="AN193" i="5"/>
  <c r="AO229" i="5"/>
  <c r="AN229" i="5"/>
  <c r="AN215" i="5"/>
  <c r="AO215" i="5"/>
  <c r="AN523" i="5"/>
  <c r="AO523" i="5"/>
  <c r="AO244" i="5"/>
  <c r="AN244" i="5"/>
  <c r="AN522" i="5"/>
  <c r="AO522" i="5"/>
  <c r="AO217" i="5"/>
  <c r="AN217" i="5"/>
  <c r="AN266" i="5"/>
  <c r="AO266" i="5"/>
  <c r="AN183" i="5"/>
  <c r="AO183" i="5"/>
  <c r="AO144" i="5"/>
  <c r="AN144" i="5"/>
  <c r="AO64" i="5"/>
  <c r="AN64" i="5"/>
  <c r="AO445" i="5"/>
  <c r="AN445" i="5"/>
  <c r="AO434" i="5"/>
  <c r="AN434" i="5"/>
  <c r="AN362" i="5"/>
  <c r="AO362" i="5"/>
  <c r="AN436" i="5"/>
  <c r="AO436" i="5"/>
  <c r="AO232" i="5"/>
  <c r="AN232" i="5"/>
  <c r="AO238" i="5"/>
  <c r="AN238" i="5"/>
  <c r="AN175" i="5"/>
  <c r="AO175" i="5"/>
  <c r="AO88" i="5"/>
  <c r="AN88" i="5"/>
  <c r="AN29" i="5"/>
  <c r="AO29" i="5"/>
  <c r="AO555" i="5"/>
  <c r="AN555" i="5"/>
  <c r="AO465" i="5"/>
  <c r="AN465" i="5"/>
  <c r="AN289" i="5"/>
  <c r="AO289" i="5"/>
  <c r="AO258" i="5"/>
  <c r="AN258" i="5"/>
  <c r="AO313" i="5"/>
  <c r="AN313" i="5"/>
  <c r="AN208" i="5"/>
  <c r="AO208" i="5"/>
  <c r="AO133" i="5"/>
  <c r="AN133" i="5"/>
  <c r="AO61" i="5"/>
  <c r="AN61" i="5"/>
  <c r="AN433" i="5"/>
  <c r="AO433" i="5"/>
  <c r="AN430" i="5"/>
  <c r="AO430" i="5"/>
  <c r="AN311" i="5"/>
  <c r="AO311" i="5"/>
  <c r="AN431" i="5"/>
  <c r="AO431" i="5"/>
  <c r="AN192" i="5"/>
  <c r="AO192" i="5"/>
  <c r="AN228" i="5"/>
  <c r="AO228" i="5"/>
  <c r="AO167" i="5"/>
  <c r="AN167" i="5"/>
  <c r="AN93" i="5"/>
  <c r="AO93" i="5"/>
  <c r="AN558" i="5"/>
  <c r="AO558" i="5"/>
  <c r="AN405" i="5"/>
  <c r="AO405" i="5"/>
  <c r="AO416" i="5"/>
  <c r="AN416" i="5"/>
  <c r="AO428" i="5"/>
  <c r="AN428" i="5"/>
  <c r="AO188" i="5"/>
  <c r="AN188" i="5"/>
  <c r="AO226" i="5"/>
  <c r="AN226" i="5"/>
  <c r="AN163" i="5"/>
  <c r="AO163" i="5"/>
  <c r="AN84" i="5"/>
  <c r="AO84" i="5"/>
  <c r="AO546" i="5"/>
  <c r="AN546" i="5"/>
  <c r="AO508" i="5"/>
  <c r="AN508" i="5"/>
  <c r="AO397" i="5"/>
  <c r="AN397" i="5"/>
  <c r="AN413" i="5"/>
  <c r="AO413" i="5"/>
  <c r="AN337" i="5"/>
  <c r="AO337" i="5"/>
  <c r="AO276" i="5"/>
  <c r="AN276" i="5"/>
  <c r="AO198" i="5"/>
  <c r="AN198" i="5"/>
  <c r="AN85" i="5"/>
  <c r="AO85" i="5"/>
  <c r="AN73" i="5"/>
  <c r="AO73" i="5"/>
  <c r="AN557" i="5"/>
  <c r="AO557" i="5"/>
  <c r="AN387" i="5"/>
  <c r="AO387" i="5"/>
  <c r="AO406" i="5"/>
  <c r="AN406" i="5"/>
  <c r="AN420" i="5"/>
  <c r="AO420" i="5"/>
  <c r="AO326" i="5"/>
  <c r="AN326" i="5"/>
  <c r="AN219" i="5"/>
  <c r="AO219" i="5"/>
  <c r="AN132" i="5"/>
  <c r="AO132" i="5"/>
  <c r="AO80" i="5"/>
  <c r="AN80" i="5"/>
  <c r="AN7" i="5"/>
  <c r="AO7" i="5"/>
  <c r="AK399" i="5"/>
  <c r="AL399" i="5"/>
  <c r="AK478" i="5"/>
  <c r="AL478" i="5"/>
  <c r="AK433" i="5"/>
  <c r="AL433" i="5"/>
  <c r="AK477" i="5"/>
  <c r="AL477" i="5"/>
  <c r="AK427" i="5"/>
  <c r="AL427" i="5"/>
  <c r="AL213" i="5"/>
  <c r="AK213" i="5"/>
  <c r="AK216" i="5"/>
  <c r="AL216" i="5"/>
  <c r="AL176" i="5"/>
  <c r="AK176" i="5"/>
  <c r="AL95" i="5"/>
  <c r="AK95" i="5"/>
  <c r="AK33" i="5"/>
  <c r="AL33" i="5"/>
  <c r="AL314" i="5"/>
  <c r="AK314" i="5"/>
  <c r="AK516" i="5"/>
  <c r="AL516" i="5"/>
  <c r="AL518" i="5"/>
  <c r="AK518" i="5"/>
  <c r="AK409" i="5"/>
  <c r="AL409" i="5"/>
  <c r="AK365" i="5"/>
  <c r="AL365" i="5"/>
  <c r="AK275" i="5"/>
  <c r="AL275" i="5"/>
  <c r="AL215" i="5"/>
  <c r="AK215" i="5"/>
  <c r="AL129" i="5"/>
  <c r="AK129" i="5"/>
  <c r="AK67" i="5"/>
  <c r="AL67" i="5"/>
  <c r="AL360" i="5"/>
  <c r="AK360" i="5"/>
  <c r="AL557" i="5"/>
  <c r="AK557" i="5"/>
  <c r="AL524" i="5"/>
  <c r="AK524" i="5"/>
  <c r="AL493" i="5"/>
  <c r="AK493" i="5"/>
  <c r="AL386" i="5"/>
  <c r="AK386" i="5"/>
  <c r="AL337" i="5"/>
  <c r="AK337" i="5"/>
  <c r="AK248" i="5"/>
  <c r="AL248" i="5"/>
  <c r="AK235" i="5"/>
  <c r="AL235" i="5"/>
  <c r="AL80" i="5"/>
  <c r="AK80" i="5"/>
  <c r="AL76" i="5"/>
  <c r="AK76" i="5"/>
  <c r="AL528" i="5"/>
  <c r="AK528" i="5"/>
  <c r="AL133" i="5"/>
  <c r="AK133" i="5"/>
  <c r="AK459" i="5"/>
  <c r="AL459" i="5"/>
  <c r="AK489" i="5"/>
  <c r="AL489" i="5"/>
  <c r="AK382" i="5"/>
  <c r="AL382" i="5"/>
  <c r="AK327" i="5"/>
  <c r="AL327" i="5"/>
  <c r="AK230" i="5"/>
  <c r="AL230" i="5"/>
  <c r="AK228" i="5"/>
  <c r="AL228" i="5"/>
  <c r="AL64" i="5"/>
  <c r="AK64" i="5"/>
  <c r="AL60" i="5"/>
  <c r="AK60" i="5"/>
  <c r="AK464" i="5"/>
  <c r="AL464" i="5"/>
  <c r="AK138" i="5"/>
  <c r="AL138" i="5"/>
  <c r="AL552" i="5"/>
  <c r="AK552" i="5"/>
  <c r="AK454" i="5"/>
  <c r="AL454" i="5"/>
  <c r="AL300" i="5"/>
  <c r="AK300" i="5"/>
  <c r="AK347" i="5"/>
  <c r="AL347" i="5"/>
  <c r="AL310" i="5"/>
  <c r="AK310" i="5"/>
  <c r="AL195" i="5"/>
  <c r="AK195" i="5"/>
  <c r="AL130" i="5"/>
  <c r="AK130" i="5"/>
  <c r="AK54" i="5"/>
  <c r="AL54" i="5"/>
  <c r="AL446" i="5"/>
  <c r="AK446" i="5"/>
  <c r="AK497" i="5"/>
  <c r="AL497" i="5"/>
  <c r="AK483" i="5"/>
  <c r="AL483" i="5"/>
  <c r="AL512" i="5"/>
  <c r="AK512" i="5"/>
  <c r="AL349" i="5"/>
  <c r="AK349" i="5"/>
  <c r="AK277" i="5"/>
  <c r="AL277" i="5"/>
  <c r="AK211" i="5"/>
  <c r="AL211" i="5"/>
  <c r="AK165" i="5"/>
  <c r="AL165" i="5"/>
  <c r="AL118" i="5"/>
  <c r="AK118" i="5"/>
  <c r="AL42" i="5"/>
  <c r="AK42" i="5"/>
  <c r="AK474" i="5"/>
  <c r="AL474" i="5"/>
  <c r="AK472" i="5"/>
  <c r="AL472" i="5"/>
  <c r="AL511" i="5"/>
  <c r="AK511" i="5"/>
  <c r="AK348" i="5"/>
  <c r="AL348" i="5"/>
  <c r="AK276" i="5"/>
  <c r="AL276" i="5"/>
  <c r="AK208" i="5"/>
  <c r="AL208" i="5"/>
  <c r="AK137" i="5"/>
  <c r="AL137" i="5"/>
  <c r="AK117" i="5"/>
  <c r="AL117" i="5"/>
  <c r="AK39" i="5"/>
  <c r="AL39" i="5"/>
  <c r="AS288" i="10"/>
  <c r="AS200" i="10"/>
  <c r="AS232" i="10"/>
  <c r="AS178" i="10"/>
  <c r="AS210" i="10"/>
  <c r="AS209" i="10"/>
  <c r="AS241" i="10"/>
  <c r="AS121" i="10"/>
  <c r="AS126" i="10"/>
  <c r="AS88" i="10"/>
  <c r="AS204" i="10"/>
  <c r="AS379" i="10"/>
  <c r="AS386" i="10"/>
  <c r="AS487" i="10"/>
  <c r="AS125" i="10"/>
  <c r="AS130" i="10"/>
  <c r="AS92" i="10"/>
  <c r="AS208" i="10"/>
  <c r="AS383" i="10"/>
  <c r="AS388" i="10"/>
  <c r="AS502" i="10"/>
  <c r="AS161" i="10"/>
  <c r="AS197" i="10"/>
  <c r="AS128" i="10"/>
  <c r="AS244" i="10"/>
  <c r="AS340" i="10"/>
  <c r="AS424" i="10"/>
  <c r="AS538" i="10"/>
  <c r="AS25" i="10"/>
  <c r="AS235" i="10"/>
  <c r="AS164" i="10"/>
  <c r="AS194" i="10"/>
  <c r="AS321" i="10"/>
  <c r="AS414" i="10"/>
  <c r="AS29" i="10"/>
  <c r="AS48" i="10"/>
  <c r="AS127" i="10"/>
  <c r="AS199" i="10"/>
  <c r="AS230" i="10"/>
  <c r="AS357" i="10"/>
  <c r="AS403" i="10"/>
  <c r="AS62" i="10"/>
  <c r="AS87" i="10"/>
  <c r="AS163" i="10"/>
  <c r="AS233" i="10"/>
  <c r="AS265" i="10"/>
  <c r="AS262" i="10"/>
  <c r="AS439" i="10"/>
  <c r="AS97" i="10"/>
  <c r="AS185" i="10"/>
  <c r="AS252" i="10"/>
  <c r="AS271" i="10"/>
  <c r="AS301" i="10"/>
  <c r="AS298" i="10"/>
  <c r="AS365" i="10"/>
  <c r="AS441" i="10"/>
  <c r="AS499" i="10"/>
  <c r="AS444" i="10"/>
  <c r="AS510" i="10"/>
  <c r="AS429" i="10"/>
  <c r="AS496" i="10"/>
  <c r="AS401" i="10"/>
  <c r="AS498" i="10"/>
  <c r="AS377" i="10"/>
  <c r="AS488" i="10"/>
  <c r="AS554" i="10"/>
  <c r="AS461" i="10"/>
  <c r="AS547" i="10"/>
  <c r="AL8" i="10"/>
  <c r="AK8" i="10"/>
  <c r="AK533" i="10"/>
  <c r="AL533" i="10"/>
  <c r="AK516" i="10"/>
  <c r="AL516" i="10"/>
  <c r="AL428" i="10"/>
  <c r="AK428" i="10"/>
  <c r="AK503" i="10"/>
  <c r="AL503" i="10"/>
  <c r="AK30" i="10"/>
  <c r="AL30" i="10"/>
  <c r="AK151" i="10"/>
  <c r="AL151" i="10"/>
  <c r="AK108" i="10"/>
  <c r="AL108" i="10"/>
  <c r="AL149" i="10"/>
  <c r="AK149" i="10"/>
  <c r="AK372" i="10"/>
  <c r="AL372" i="10"/>
  <c r="AL438" i="10"/>
  <c r="AK438" i="10"/>
  <c r="AK43" i="10"/>
  <c r="AL43" i="10"/>
  <c r="AL198" i="10"/>
  <c r="AK198" i="10"/>
  <c r="AL334" i="10"/>
  <c r="AK334" i="10"/>
  <c r="AK353" i="10"/>
  <c r="AL353" i="10"/>
  <c r="AL232" i="10"/>
  <c r="AK232" i="10"/>
  <c r="AL273" i="10"/>
  <c r="AK273" i="10"/>
  <c r="AK390" i="10"/>
  <c r="AL390" i="10"/>
  <c r="AK336" i="10"/>
  <c r="AL336" i="10"/>
  <c r="AL420" i="10"/>
  <c r="AK420" i="10"/>
  <c r="AK375" i="10"/>
  <c r="AL375" i="10"/>
  <c r="AL456" i="10"/>
  <c r="AK456" i="10"/>
  <c r="AK445" i="10"/>
  <c r="AL445" i="10"/>
  <c r="AK71" i="10"/>
  <c r="AL71" i="10"/>
  <c r="AK68" i="10"/>
  <c r="AL68" i="10"/>
  <c r="AK109" i="10"/>
  <c r="AL109" i="10"/>
  <c r="AK552" i="10"/>
  <c r="AL552" i="10"/>
  <c r="AL331" i="10"/>
  <c r="AK331" i="10"/>
  <c r="AL526" i="10"/>
  <c r="AK526" i="10"/>
  <c r="AL91" i="10"/>
  <c r="AK91" i="10"/>
  <c r="AK254" i="10"/>
  <c r="AL254" i="10"/>
  <c r="AK312" i="10"/>
  <c r="AL312" i="10"/>
  <c r="AK192" i="10"/>
  <c r="AL192" i="10"/>
  <c r="AL233" i="10"/>
  <c r="AK233" i="10"/>
  <c r="AL131" i="10"/>
  <c r="AK131" i="10"/>
  <c r="AK282" i="10"/>
  <c r="AL282" i="10"/>
  <c r="AL399" i="10"/>
  <c r="AK399" i="10"/>
  <c r="AL364" i="10"/>
  <c r="AK364" i="10"/>
  <c r="AK446" i="10"/>
  <c r="AL446" i="10"/>
  <c r="AL437" i="10"/>
  <c r="AK437" i="10"/>
  <c r="AK55" i="10"/>
  <c r="AL55" i="10"/>
  <c r="AK60" i="10"/>
  <c r="AL60" i="10"/>
  <c r="AL101" i="10"/>
  <c r="AK101" i="10"/>
  <c r="AL520" i="10"/>
  <c r="AK520" i="10"/>
  <c r="AL308" i="10"/>
  <c r="AK308" i="10"/>
  <c r="AL518" i="10"/>
  <c r="AK518" i="10"/>
  <c r="AL70" i="10"/>
  <c r="AK70" i="10"/>
  <c r="AK234" i="10"/>
  <c r="AL234" i="10"/>
  <c r="AK302" i="10"/>
  <c r="AL302" i="10"/>
  <c r="AK184" i="10"/>
  <c r="AL184" i="10"/>
  <c r="AL225" i="10"/>
  <c r="AK225" i="10"/>
  <c r="AL432" i="10"/>
  <c r="AK432" i="10"/>
  <c r="AL195" i="10"/>
  <c r="AK195" i="10"/>
  <c r="AL378" i="10"/>
  <c r="AK378" i="10"/>
  <c r="AK354" i="10"/>
  <c r="AL354" i="10"/>
  <c r="AK435" i="10"/>
  <c r="AL435" i="10"/>
  <c r="AL429" i="10"/>
  <c r="AK429" i="10"/>
  <c r="AK39" i="10"/>
  <c r="AL39" i="10"/>
  <c r="AK52" i="10"/>
  <c r="AL52" i="10"/>
  <c r="AK93" i="10"/>
  <c r="AL93" i="10"/>
  <c r="AK488" i="10"/>
  <c r="AL488" i="10"/>
  <c r="AK270" i="10"/>
  <c r="AL270" i="10"/>
  <c r="AK510" i="10"/>
  <c r="AL510" i="10"/>
  <c r="AL50" i="10"/>
  <c r="AK50" i="10"/>
  <c r="AK211" i="10"/>
  <c r="AL211" i="10"/>
  <c r="AL287" i="10"/>
  <c r="AK287" i="10"/>
  <c r="AK176" i="10"/>
  <c r="AL176" i="10"/>
  <c r="AK217" i="10"/>
  <c r="AL217" i="10"/>
  <c r="S13" i="10"/>
  <c r="R13" i="10"/>
  <c r="AN193" i="10"/>
  <c r="AO193" i="10"/>
  <c r="AO117" i="10"/>
  <c r="AN117" i="10"/>
  <c r="AN531" i="10"/>
  <c r="AO531" i="10"/>
  <c r="AO306" i="10"/>
  <c r="AN306" i="10"/>
  <c r="AO536" i="10"/>
  <c r="AN536" i="10"/>
  <c r="AN403" i="10"/>
  <c r="AO403" i="10"/>
  <c r="AN398" i="10"/>
  <c r="AO398" i="10"/>
  <c r="AN229" i="10"/>
  <c r="AO229" i="10"/>
  <c r="AO175" i="10"/>
  <c r="AN175" i="10"/>
  <c r="AO103" i="10"/>
  <c r="AN103" i="10"/>
  <c r="AN260" i="10"/>
  <c r="AO260" i="10"/>
  <c r="AH560" i="5"/>
  <c r="AI560" i="5"/>
  <c r="AP560" i="5"/>
  <c r="AP52" i="5"/>
  <c r="AH52" i="5"/>
  <c r="AI52" i="5"/>
  <c r="AI138" i="5"/>
  <c r="AH138" i="5"/>
  <c r="AP138" i="5"/>
  <c r="AH255" i="5"/>
  <c r="AP255" i="5"/>
  <c r="AI255" i="5"/>
  <c r="AI272" i="5"/>
  <c r="AH272" i="5"/>
  <c r="AP272" i="5"/>
  <c r="AH133" i="5"/>
  <c r="AP133" i="5"/>
  <c r="AI133" i="5"/>
  <c r="AP229" i="5"/>
  <c r="AH229" i="5"/>
  <c r="AI229" i="5"/>
  <c r="AI304" i="5"/>
  <c r="AP304" i="5"/>
  <c r="AH304" i="5"/>
  <c r="AI373" i="5"/>
  <c r="AP373" i="5"/>
  <c r="AH373" i="5"/>
  <c r="AH247" i="5"/>
  <c r="AI247" i="5"/>
  <c r="AP247" i="5"/>
  <c r="AH82" i="5"/>
  <c r="AI82" i="5"/>
  <c r="AP82" i="5"/>
  <c r="AH160" i="5"/>
  <c r="AI160" i="5"/>
  <c r="AP160" i="5"/>
  <c r="AH68" i="5"/>
  <c r="AI68" i="5"/>
  <c r="AP68" i="5"/>
  <c r="AR508" i="10"/>
  <c r="AQ508" i="10"/>
  <c r="AQ520" i="10"/>
  <c r="AR520" i="10"/>
  <c r="AR425" i="10"/>
  <c r="AQ425" i="10"/>
  <c r="AQ541" i="10"/>
  <c r="AR541" i="10"/>
  <c r="AR35" i="10"/>
  <c r="AQ35" i="10"/>
  <c r="AR439" i="10"/>
  <c r="AQ439" i="10"/>
  <c r="AQ295" i="10"/>
  <c r="AR295" i="10"/>
  <c r="AR246" i="10"/>
  <c r="AQ246" i="10"/>
  <c r="AQ408" i="10"/>
  <c r="AR408" i="10"/>
  <c r="AR181" i="10"/>
  <c r="AQ181" i="10"/>
  <c r="AR221" i="10"/>
  <c r="AQ221" i="10"/>
  <c r="AR27" i="10"/>
  <c r="AQ27" i="10"/>
  <c r="AN548" i="5"/>
  <c r="AO548" i="5"/>
  <c r="AO471" i="5"/>
  <c r="AN471" i="5"/>
  <c r="AO36" i="5"/>
  <c r="AN36" i="5"/>
  <c r="AN556" i="5"/>
  <c r="AO556" i="5"/>
  <c r="AO286" i="5"/>
  <c r="AN286" i="5"/>
  <c r="AO58" i="5"/>
  <c r="AN58" i="5"/>
  <c r="AO190" i="5"/>
  <c r="AN190" i="5"/>
  <c r="AO451" i="5"/>
  <c r="AN451" i="5"/>
  <c r="AN92" i="5"/>
  <c r="AO92" i="5"/>
  <c r="AO358" i="5"/>
  <c r="AN358" i="5"/>
  <c r="AL10" i="5"/>
  <c r="AK10" i="5"/>
  <c r="AK345" i="5"/>
  <c r="AL345" i="5"/>
  <c r="AL542" i="5"/>
  <c r="AK542" i="5"/>
  <c r="AK290" i="5"/>
  <c r="AL290" i="5"/>
  <c r="AK529" i="5"/>
  <c r="AL529" i="5"/>
  <c r="AL126" i="5"/>
  <c r="AK126" i="5"/>
  <c r="AO316" i="10"/>
  <c r="AN316" i="10"/>
  <c r="AN310" i="10"/>
  <c r="AO310" i="10"/>
  <c r="AN248" i="10"/>
  <c r="AO248" i="10"/>
  <c r="AN417" i="10"/>
  <c r="AO417" i="10"/>
  <c r="AO185" i="10"/>
  <c r="AN185" i="10"/>
  <c r="AN253" i="10"/>
  <c r="AO253" i="10"/>
  <c r="AN527" i="10"/>
  <c r="AO527" i="10"/>
  <c r="AO106" i="10"/>
  <c r="AN106" i="10"/>
  <c r="AO133" i="10"/>
  <c r="AN133" i="10"/>
  <c r="AO340" i="10"/>
  <c r="AN340" i="10"/>
  <c r="AN529" i="10"/>
  <c r="AO529" i="10"/>
  <c r="AO487" i="10"/>
  <c r="AN487" i="10"/>
  <c r="AO361" i="10"/>
  <c r="AN361" i="10"/>
  <c r="AN557" i="10"/>
  <c r="AO557" i="10"/>
  <c r="AN515" i="10"/>
  <c r="AO515" i="10"/>
  <c r="AN363" i="10"/>
  <c r="AO363" i="10"/>
  <c r="AN94" i="10"/>
  <c r="AO94" i="10"/>
  <c r="AO479" i="10"/>
  <c r="AN479" i="10"/>
  <c r="AN327" i="10"/>
  <c r="AO327" i="10"/>
  <c r="AN221" i="10"/>
  <c r="AO221" i="10"/>
  <c r="AN244" i="10"/>
  <c r="AO244" i="10"/>
  <c r="AN241" i="10"/>
  <c r="AO241" i="10"/>
  <c r="AO53" i="10"/>
  <c r="AN53" i="10"/>
  <c r="AO128" i="10"/>
  <c r="AN128" i="10"/>
  <c r="AH164" i="5"/>
  <c r="AI164" i="5"/>
  <c r="AP164" i="5"/>
  <c r="AI404" i="5"/>
  <c r="AH404" i="5"/>
  <c r="AP404" i="5"/>
  <c r="AI468" i="5"/>
  <c r="AP468" i="5"/>
  <c r="AH468" i="5"/>
  <c r="AI451" i="5"/>
  <c r="AP451" i="5"/>
  <c r="AH451" i="5"/>
  <c r="AI53" i="5"/>
  <c r="AH53" i="5"/>
  <c r="AP53" i="5"/>
  <c r="AI390" i="5"/>
  <c r="AH390" i="5"/>
  <c r="AP390" i="5"/>
  <c r="AI543" i="5"/>
  <c r="AH543" i="5"/>
  <c r="AP543" i="5"/>
  <c r="AI518" i="5"/>
  <c r="AP518" i="5"/>
  <c r="AH518" i="5"/>
  <c r="AP301" i="5"/>
  <c r="AI301" i="5"/>
  <c r="AH301" i="5"/>
  <c r="AH506" i="5"/>
  <c r="AP506" i="5"/>
  <c r="AI506" i="5"/>
  <c r="AP109" i="5"/>
  <c r="AH109" i="5"/>
  <c r="AI109" i="5"/>
  <c r="AP474" i="5"/>
  <c r="AI474" i="5"/>
  <c r="AH474" i="5"/>
  <c r="AP224" i="5"/>
  <c r="AI224" i="5"/>
  <c r="AH224" i="5"/>
  <c r="AI505" i="5"/>
  <c r="AH505" i="5"/>
  <c r="AP505" i="5"/>
  <c r="AP233" i="5"/>
  <c r="AH233" i="5"/>
  <c r="AI233" i="5"/>
  <c r="AI228" i="5"/>
  <c r="AH228" i="5"/>
  <c r="AP228" i="5"/>
  <c r="AH114" i="5"/>
  <c r="AI114" i="5"/>
  <c r="AP114" i="5"/>
  <c r="AP119" i="5"/>
  <c r="AH119" i="5"/>
  <c r="AI119" i="5"/>
  <c r="AH276" i="5"/>
  <c r="AI276" i="5"/>
  <c r="AP276" i="5"/>
  <c r="AH78" i="5"/>
  <c r="AI78" i="5"/>
  <c r="AP78" i="5"/>
  <c r="AH125" i="5"/>
  <c r="AI125" i="5"/>
  <c r="AP125" i="5"/>
  <c r="AH212" i="5"/>
  <c r="AP212" i="5"/>
  <c r="AI212" i="5"/>
  <c r="AR551" i="10"/>
  <c r="AQ551" i="10"/>
  <c r="AQ194" i="10"/>
  <c r="AR194" i="10"/>
  <c r="AR38" i="10"/>
  <c r="AQ38" i="10"/>
  <c r="AQ339" i="10"/>
  <c r="AR339" i="10"/>
  <c r="AQ180" i="10"/>
  <c r="AR180" i="10"/>
  <c r="AQ446" i="10"/>
  <c r="AR446" i="10"/>
  <c r="AR81" i="10"/>
  <c r="AQ81" i="10"/>
  <c r="AO416" i="10"/>
  <c r="AN416" i="10"/>
  <c r="AO250" i="10"/>
  <c r="AN250" i="10"/>
  <c r="AN521" i="10"/>
  <c r="AO521" i="10"/>
  <c r="AN449" i="10"/>
  <c r="AO449" i="10"/>
  <c r="AO516" i="10"/>
  <c r="AN516" i="10"/>
  <c r="AO432" i="10"/>
  <c r="AN432" i="10"/>
  <c r="AO159" i="10"/>
  <c r="AN159" i="10"/>
  <c r="AN180" i="10"/>
  <c r="AO180" i="10"/>
  <c r="AN186" i="10"/>
  <c r="AO186" i="10"/>
  <c r="AO165" i="10"/>
  <c r="AN165" i="10"/>
  <c r="AN510" i="10"/>
  <c r="AO510" i="10"/>
  <c r="AN390" i="10"/>
  <c r="AO390" i="10"/>
  <c r="AO512" i="10"/>
  <c r="AN512" i="10"/>
  <c r="AO400" i="10"/>
  <c r="AN400" i="10"/>
  <c r="AO151" i="10"/>
  <c r="AN151" i="10"/>
  <c r="AN172" i="10"/>
  <c r="AO172" i="10"/>
  <c r="AO182" i="10"/>
  <c r="AN182" i="10"/>
  <c r="AO85" i="10"/>
  <c r="AN85" i="10"/>
  <c r="AO389" i="10"/>
  <c r="AN389" i="10"/>
  <c r="AN463" i="10"/>
  <c r="AO463" i="10"/>
  <c r="AN304" i="10"/>
  <c r="AO304" i="10"/>
  <c r="AN311" i="10"/>
  <c r="AO311" i="10"/>
  <c r="AO267" i="10"/>
  <c r="AN267" i="10"/>
  <c r="AN387" i="10"/>
  <c r="AO387" i="10"/>
  <c r="AN469" i="10"/>
  <c r="AO469" i="10"/>
  <c r="AO424" i="10"/>
  <c r="AN424" i="10"/>
  <c r="AN281" i="10"/>
  <c r="AO281" i="10"/>
  <c r="AO362" i="10"/>
  <c r="AN362" i="10"/>
  <c r="AN266" i="10"/>
  <c r="AO266" i="10"/>
  <c r="AN274" i="10"/>
  <c r="AO274" i="10"/>
  <c r="AO119" i="10"/>
  <c r="AN119" i="10"/>
  <c r="AN409" i="10"/>
  <c r="AO409" i="10"/>
  <c r="AO465" i="10"/>
  <c r="AN465" i="10"/>
  <c r="AO408" i="10"/>
  <c r="AN408" i="10"/>
  <c r="AN254" i="10"/>
  <c r="AO254" i="10"/>
  <c r="AO354" i="10"/>
  <c r="AN354" i="10"/>
  <c r="AO264" i="10"/>
  <c r="AN264" i="10"/>
  <c r="AO272" i="10"/>
  <c r="AN272" i="10"/>
  <c r="AN91" i="10"/>
  <c r="AO91" i="10"/>
  <c r="AO360" i="10"/>
  <c r="AN360" i="10"/>
  <c r="AN493" i="10"/>
  <c r="AO493" i="10"/>
  <c r="AN502" i="10"/>
  <c r="AO502" i="10"/>
  <c r="AO381" i="10"/>
  <c r="AN381" i="10"/>
  <c r="AN451" i="10"/>
  <c r="AO451" i="10"/>
  <c r="AN293" i="10"/>
  <c r="AO293" i="10"/>
  <c r="AN299" i="10"/>
  <c r="AO299" i="10"/>
  <c r="AN223" i="10"/>
  <c r="AO223" i="10"/>
  <c r="AN358" i="10"/>
  <c r="AO358" i="10"/>
  <c r="AO227" i="10"/>
  <c r="AN227" i="10"/>
  <c r="AO338" i="10"/>
  <c r="AN338" i="10"/>
  <c r="AN255" i="10"/>
  <c r="AO255" i="10"/>
  <c r="AN263" i="10"/>
  <c r="AO263" i="10"/>
  <c r="AO43" i="10"/>
  <c r="AN43" i="10"/>
  <c r="AN152" i="10"/>
  <c r="AO152" i="10"/>
  <c r="AN24" i="10"/>
  <c r="AO24" i="10"/>
  <c r="AN178" i="10"/>
  <c r="AO178" i="10"/>
  <c r="AN50" i="10"/>
  <c r="AO50" i="10"/>
  <c r="AO176" i="10"/>
  <c r="AN176" i="10"/>
  <c r="AO47" i="10"/>
  <c r="AN47" i="10"/>
  <c r="AO325" i="10"/>
  <c r="AN325" i="10"/>
  <c r="AO27" i="10"/>
  <c r="AN27" i="10"/>
  <c r="AO321" i="10"/>
  <c r="AN321" i="10"/>
  <c r="AN122" i="10"/>
  <c r="AO122" i="10"/>
  <c r="AO317" i="10"/>
  <c r="AN317" i="10"/>
  <c r="AN120" i="10"/>
  <c r="AO120" i="10"/>
  <c r="AN25" i="10"/>
  <c r="AO25" i="10"/>
  <c r="AH555" i="5"/>
  <c r="AP555" i="5"/>
  <c r="AI555" i="5"/>
  <c r="AI39" i="5"/>
  <c r="AH39" i="5"/>
  <c r="AP39" i="5"/>
  <c r="AI476" i="5"/>
  <c r="AH476" i="5"/>
  <c r="AP476" i="5"/>
  <c r="AP434" i="5"/>
  <c r="AH434" i="5"/>
  <c r="AI434" i="5"/>
  <c r="AH202" i="5"/>
  <c r="AP202" i="5"/>
  <c r="AI202" i="5"/>
  <c r="AH282" i="5"/>
  <c r="AP282" i="5"/>
  <c r="AI282" i="5"/>
  <c r="AI89" i="5"/>
  <c r="AH89" i="5"/>
  <c r="AP89" i="5"/>
  <c r="AI391" i="5"/>
  <c r="AH391" i="5"/>
  <c r="AP391" i="5"/>
  <c r="AI545" i="5"/>
  <c r="AP545" i="5"/>
  <c r="AH545" i="5"/>
  <c r="AI337" i="5"/>
  <c r="AH337" i="5"/>
  <c r="AP337" i="5"/>
  <c r="AH275" i="5"/>
  <c r="AI275" i="5"/>
  <c r="AP275" i="5"/>
  <c r="AI359" i="5"/>
  <c r="AH359" i="5"/>
  <c r="AP359" i="5"/>
  <c r="AP172" i="5"/>
  <c r="AH172" i="5"/>
  <c r="AI172" i="5"/>
  <c r="AH502" i="5"/>
  <c r="AI502" i="5"/>
  <c r="AP502" i="5"/>
  <c r="AI463" i="5"/>
  <c r="AH463" i="5"/>
  <c r="AP463" i="5"/>
  <c r="AP422" i="5"/>
  <c r="AI422" i="5"/>
  <c r="AH422" i="5"/>
  <c r="AI409" i="5"/>
  <c r="AH409" i="5"/>
  <c r="AP409" i="5"/>
  <c r="AH270" i="5"/>
  <c r="AI270" i="5"/>
  <c r="AP270" i="5"/>
  <c r="AH136" i="5"/>
  <c r="AI136" i="5"/>
  <c r="AP136" i="5"/>
  <c r="AI334" i="5"/>
  <c r="AH334" i="5"/>
  <c r="AP334" i="5"/>
  <c r="AP430" i="5"/>
  <c r="AI430" i="5"/>
  <c r="AH430" i="5"/>
  <c r="AP478" i="5"/>
  <c r="AH478" i="5"/>
  <c r="AI478" i="5"/>
  <c r="AH445" i="5"/>
  <c r="AP445" i="5"/>
  <c r="AI445" i="5"/>
  <c r="AP436" i="5"/>
  <c r="AI436" i="5"/>
  <c r="AH436" i="5"/>
  <c r="AH243" i="5"/>
  <c r="AI243" i="5"/>
  <c r="AP243" i="5"/>
  <c r="AI47" i="5"/>
  <c r="AH47" i="5"/>
  <c r="AP47" i="5"/>
  <c r="AH470" i="5"/>
  <c r="AP470" i="5"/>
  <c r="AI470" i="5"/>
  <c r="AH549" i="5"/>
  <c r="AP549" i="5"/>
  <c r="AI549" i="5"/>
  <c r="AH513" i="5"/>
  <c r="AP513" i="5"/>
  <c r="AI513" i="5"/>
  <c r="AH372" i="5"/>
  <c r="AI372" i="5"/>
  <c r="AP372" i="5"/>
  <c r="AI295" i="5"/>
  <c r="AH295" i="5"/>
  <c r="AP295" i="5"/>
  <c r="AI93" i="5"/>
  <c r="AH93" i="5"/>
  <c r="AP93" i="5"/>
  <c r="AI286" i="5"/>
  <c r="AH286" i="5"/>
  <c r="AP286" i="5"/>
  <c r="AP495" i="5"/>
  <c r="AI495" i="5"/>
  <c r="AH495" i="5"/>
  <c r="AI516" i="5"/>
  <c r="AH516" i="5"/>
  <c r="AP516" i="5"/>
  <c r="AI417" i="5"/>
  <c r="AP417" i="5"/>
  <c r="AH417" i="5"/>
  <c r="AI338" i="5"/>
  <c r="AP338" i="5"/>
  <c r="AH338" i="5"/>
  <c r="AH181" i="5"/>
  <c r="AP181" i="5"/>
  <c r="AI181" i="5"/>
  <c r="AI479" i="5"/>
  <c r="AH479" i="5"/>
  <c r="AP479" i="5"/>
  <c r="AI532" i="5"/>
  <c r="AH532" i="5"/>
  <c r="AP532" i="5"/>
  <c r="AI423" i="5"/>
  <c r="AP423" i="5"/>
  <c r="AH423" i="5"/>
  <c r="AI344" i="5"/>
  <c r="AH344" i="5"/>
  <c r="AP344" i="5"/>
  <c r="AI330" i="5"/>
  <c r="AP330" i="5"/>
  <c r="AH330" i="5"/>
  <c r="AH198" i="5"/>
  <c r="AI198" i="5"/>
  <c r="AP198" i="5"/>
  <c r="AI429" i="5"/>
  <c r="AH429" i="5"/>
  <c r="AP429" i="5"/>
  <c r="AH308" i="5"/>
  <c r="AP308" i="5"/>
  <c r="AI308" i="5"/>
  <c r="AH188" i="5"/>
  <c r="AI188" i="5"/>
  <c r="AP188" i="5"/>
  <c r="AI179" i="5"/>
  <c r="AH179" i="5"/>
  <c r="AP179" i="5"/>
  <c r="AI98" i="5"/>
  <c r="AH98" i="5"/>
  <c r="AP98" i="5"/>
  <c r="AI33" i="5"/>
  <c r="AH33" i="5"/>
  <c r="AP33" i="5"/>
  <c r="AH162" i="5"/>
  <c r="AI162" i="5"/>
  <c r="AP162" i="5"/>
  <c r="AH143" i="5"/>
  <c r="AI143" i="5"/>
  <c r="AP143" i="5"/>
  <c r="AH37" i="5"/>
  <c r="AI37" i="5"/>
  <c r="AP37" i="5"/>
  <c r="AI356" i="5"/>
  <c r="AH356" i="5"/>
  <c r="AP356" i="5"/>
  <c r="AI314" i="5"/>
  <c r="AH314" i="5"/>
  <c r="AP314" i="5"/>
  <c r="AH176" i="5"/>
  <c r="AI176" i="5"/>
  <c r="AP176" i="5"/>
  <c r="AH118" i="5"/>
  <c r="AI118" i="5"/>
  <c r="AP118" i="5"/>
  <c r="AP23" i="5"/>
  <c r="AH23" i="5"/>
  <c r="AI23" i="5"/>
  <c r="AI388" i="5"/>
  <c r="AP388" i="5"/>
  <c r="AH388" i="5"/>
  <c r="AH266" i="5"/>
  <c r="AP266" i="5"/>
  <c r="AI266" i="5"/>
  <c r="AI207" i="5"/>
  <c r="AP207" i="5"/>
  <c r="AH207" i="5"/>
  <c r="AI123" i="5"/>
  <c r="AP123" i="5"/>
  <c r="AH123" i="5"/>
  <c r="AI76" i="5"/>
  <c r="AH76" i="5"/>
  <c r="AP76" i="5"/>
  <c r="AH382" i="5"/>
  <c r="AI382" i="5"/>
  <c r="AP382" i="5"/>
  <c r="AP258" i="5"/>
  <c r="AI258" i="5"/>
  <c r="AH258" i="5"/>
  <c r="AH192" i="5"/>
  <c r="AI192" i="5"/>
  <c r="AP192" i="5"/>
  <c r="AH116" i="5"/>
  <c r="AP116" i="5"/>
  <c r="AI116" i="5"/>
  <c r="AH72" i="5"/>
  <c r="AI72" i="5"/>
  <c r="AP72" i="5"/>
  <c r="AQ11" i="10"/>
  <c r="AR11" i="10"/>
  <c r="AR65" i="10"/>
  <c r="AQ65" i="10"/>
  <c r="AR115" i="10"/>
  <c r="AQ115" i="10"/>
  <c r="AQ493" i="10"/>
  <c r="AR493" i="10"/>
  <c r="AR554" i="10"/>
  <c r="AQ554" i="10"/>
  <c r="AR57" i="10"/>
  <c r="AQ57" i="10"/>
  <c r="AR145" i="10"/>
  <c r="AQ145" i="10"/>
  <c r="AQ255" i="10"/>
  <c r="AR255" i="10"/>
  <c r="AR378" i="10"/>
  <c r="AQ378" i="10"/>
  <c r="AQ195" i="10"/>
  <c r="AR195" i="10"/>
  <c r="AR481" i="10"/>
  <c r="AQ481" i="10"/>
  <c r="AQ135" i="10"/>
  <c r="AR135" i="10"/>
  <c r="AR286" i="10"/>
  <c r="AQ286" i="10"/>
  <c r="AQ233" i="10"/>
  <c r="AR233" i="10"/>
  <c r="AR296" i="10"/>
  <c r="AQ296" i="10"/>
  <c r="AR428" i="10"/>
  <c r="AQ428" i="10"/>
  <c r="AR125" i="10"/>
  <c r="AQ125" i="10"/>
  <c r="AQ318" i="10"/>
  <c r="AR318" i="10"/>
  <c r="AQ354" i="10"/>
  <c r="AR354" i="10"/>
  <c r="AQ291" i="10"/>
  <c r="AR291" i="10"/>
  <c r="AQ282" i="10"/>
  <c r="AR282" i="10"/>
  <c r="AQ234" i="10"/>
  <c r="AR234" i="10"/>
  <c r="AR486" i="10"/>
  <c r="AQ486" i="10"/>
  <c r="AR558" i="10"/>
  <c r="AQ558" i="10"/>
  <c r="AQ148" i="10"/>
  <c r="AR148" i="10"/>
  <c r="AR535" i="10"/>
  <c r="AQ535" i="10"/>
  <c r="AR49" i="10"/>
  <c r="AQ49" i="10"/>
  <c r="AR420" i="10"/>
  <c r="AQ420" i="10"/>
  <c r="AQ182" i="10"/>
  <c r="AR182" i="10"/>
  <c r="AQ142" i="10"/>
  <c r="AR142" i="10"/>
  <c r="AR401" i="10"/>
  <c r="AQ401" i="10"/>
  <c r="AR280" i="10"/>
  <c r="AQ280" i="10"/>
  <c r="AR362" i="10"/>
  <c r="AQ362" i="10"/>
  <c r="AQ94" i="10"/>
  <c r="AR94" i="10"/>
  <c r="AR443" i="10"/>
  <c r="AQ443" i="10"/>
  <c r="AQ300" i="10"/>
  <c r="AR300" i="10"/>
  <c r="AR275" i="10"/>
  <c r="AQ275" i="10"/>
  <c r="AQ61" i="10"/>
  <c r="AR61" i="10"/>
  <c r="AR242" i="10"/>
  <c r="AQ242" i="10"/>
  <c r="AR495" i="10"/>
  <c r="AQ495" i="10"/>
  <c r="AQ552" i="10"/>
  <c r="AR552" i="10"/>
  <c r="AR132" i="10"/>
  <c r="AQ132" i="10"/>
  <c r="AQ549" i="10"/>
  <c r="AR549" i="10"/>
  <c r="AR99" i="10"/>
  <c r="AQ99" i="10"/>
  <c r="AR404" i="10"/>
  <c r="AQ404" i="10"/>
  <c r="AQ166" i="10"/>
  <c r="AR166" i="10"/>
  <c r="AR158" i="10"/>
  <c r="AQ158" i="10"/>
  <c r="AQ409" i="10"/>
  <c r="AR409" i="10"/>
  <c r="AQ259" i="10"/>
  <c r="AR259" i="10"/>
  <c r="AR168" i="10"/>
  <c r="AQ168" i="10"/>
  <c r="AR249" i="10"/>
  <c r="AQ249" i="10"/>
  <c r="AQ534" i="10"/>
  <c r="AR534" i="10"/>
  <c r="AQ524" i="10"/>
  <c r="AR524" i="10"/>
  <c r="AQ116" i="10"/>
  <c r="AR116" i="10"/>
  <c r="AR527" i="10"/>
  <c r="AQ527" i="10"/>
  <c r="AR67" i="10"/>
  <c r="AQ67" i="10"/>
  <c r="AR388" i="10"/>
  <c r="AQ388" i="10"/>
  <c r="AQ71" i="10"/>
  <c r="AR71" i="10"/>
  <c r="AQ266" i="10"/>
  <c r="AR266" i="10"/>
  <c r="AQ417" i="10"/>
  <c r="AR417" i="10"/>
  <c r="AQ248" i="10"/>
  <c r="AR248" i="10"/>
  <c r="AR341" i="10"/>
  <c r="AQ341" i="10"/>
  <c r="AR50" i="10"/>
  <c r="AQ50" i="10"/>
  <c r="AR316" i="10"/>
  <c r="AQ316" i="10"/>
  <c r="AQ559" i="10"/>
  <c r="AR559" i="10"/>
  <c r="AR355" i="10"/>
  <c r="AQ355" i="10"/>
  <c r="AR176" i="10"/>
  <c r="AQ176" i="10"/>
  <c r="AR257" i="10"/>
  <c r="AQ257" i="10"/>
  <c r="AR519" i="10"/>
  <c r="AQ519" i="10"/>
  <c r="AN272" i="5"/>
  <c r="AO272" i="5"/>
  <c r="AN411" i="5"/>
  <c r="AO411" i="5"/>
  <c r="AN501" i="5"/>
  <c r="AO501" i="5"/>
  <c r="AN310" i="5"/>
  <c r="AO310" i="5"/>
  <c r="AN488" i="5"/>
  <c r="AO488" i="5"/>
  <c r="AO187" i="5"/>
  <c r="AN187" i="5"/>
  <c r="AO469" i="5"/>
  <c r="AN469" i="5"/>
  <c r="AN143" i="5"/>
  <c r="AO143" i="5"/>
  <c r="AN466" i="5"/>
  <c r="AO466" i="5"/>
  <c r="AN170" i="5"/>
  <c r="AO170" i="5"/>
  <c r="AO443" i="5"/>
  <c r="AN443" i="5"/>
  <c r="AN181" i="5"/>
  <c r="AO181" i="5"/>
  <c r="AO441" i="5"/>
  <c r="AN441" i="5"/>
  <c r="AO104" i="5"/>
  <c r="AN104" i="5"/>
  <c r="AO191" i="5"/>
  <c r="AN191" i="5"/>
  <c r="AO134" i="5"/>
  <c r="AN134" i="5"/>
  <c r="AO94" i="5"/>
  <c r="AN94" i="5"/>
  <c r="AO44" i="5"/>
  <c r="AN44" i="5"/>
  <c r="AO540" i="5"/>
  <c r="AN540" i="5"/>
  <c r="AN347" i="5"/>
  <c r="AO347" i="5"/>
  <c r="AN395" i="5"/>
  <c r="AO395" i="5"/>
  <c r="AO410" i="5"/>
  <c r="AN410" i="5"/>
  <c r="AO305" i="5"/>
  <c r="AN305" i="5"/>
  <c r="AN212" i="5"/>
  <c r="AO212" i="5"/>
  <c r="AO148" i="5"/>
  <c r="AN148" i="5"/>
  <c r="AO69" i="5"/>
  <c r="AN69" i="5"/>
  <c r="AM12" i="5"/>
  <c r="T12" i="5"/>
  <c r="AJ12" i="5"/>
  <c r="AG12" i="5"/>
  <c r="W12" i="5"/>
  <c r="Q12" i="5"/>
  <c r="Z12" i="5"/>
  <c r="AO518" i="5"/>
  <c r="AN518" i="5"/>
  <c r="AO426" i="5"/>
  <c r="AN426" i="5"/>
  <c r="AO419" i="5"/>
  <c r="AN419" i="5"/>
  <c r="AO344" i="5"/>
  <c r="AN344" i="5"/>
  <c r="AO282" i="5"/>
  <c r="AN282" i="5"/>
  <c r="AO118" i="5"/>
  <c r="AN118" i="5"/>
  <c r="AO111" i="5"/>
  <c r="AN111" i="5"/>
  <c r="AO39" i="5"/>
  <c r="AN39" i="5"/>
  <c r="AN534" i="5"/>
  <c r="AO534" i="5"/>
  <c r="AN519" i="5"/>
  <c r="AO519" i="5"/>
  <c r="AN379" i="5"/>
  <c r="AO379" i="5"/>
  <c r="AO404" i="5"/>
  <c r="AN404" i="5"/>
  <c r="AO294" i="5"/>
  <c r="AN294" i="5"/>
  <c r="AN204" i="5"/>
  <c r="AO204" i="5"/>
  <c r="AO142" i="5"/>
  <c r="AN142" i="5"/>
  <c r="AN62" i="5"/>
  <c r="AO62" i="5"/>
  <c r="AO529" i="5"/>
  <c r="AN529" i="5"/>
  <c r="AO516" i="5"/>
  <c r="AN516" i="5"/>
  <c r="AN378" i="5"/>
  <c r="AO378" i="5"/>
  <c r="AO393" i="5"/>
  <c r="AN393" i="5"/>
  <c r="AO290" i="5"/>
  <c r="AN290" i="5"/>
  <c r="AO196" i="5"/>
  <c r="AN196" i="5"/>
  <c r="AO139" i="5"/>
  <c r="AN139" i="5"/>
  <c r="AN59" i="5"/>
  <c r="AO59" i="5"/>
  <c r="AO552" i="5"/>
  <c r="AN552" i="5"/>
  <c r="AO493" i="5"/>
  <c r="AN493" i="5"/>
  <c r="AO526" i="5"/>
  <c r="AN526" i="5"/>
  <c r="AO384" i="5"/>
  <c r="AN384" i="5"/>
  <c r="AO314" i="5"/>
  <c r="AN314" i="5"/>
  <c r="AO223" i="5"/>
  <c r="AN223" i="5"/>
  <c r="AN156" i="5"/>
  <c r="AO156" i="5"/>
  <c r="AN114" i="5"/>
  <c r="AO114" i="5"/>
  <c r="AO32" i="5"/>
  <c r="AN32" i="5"/>
  <c r="AN521" i="5"/>
  <c r="AO521" i="5"/>
  <c r="AN512" i="5"/>
  <c r="AO512" i="5"/>
  <c r="AN371" i="5"/>
  <c r="AO371" i="5"/>
  <c r="AN383" i="5"/>
  <c r="AO383" i="5"/>
  <c r="AN278" i="5"/>
  <c r="AO278" i="5"/>
  <c r="AO194" i="5"/>
  <c r="AN194" i="5"/>
  <c r="AN127" i="5"/>
  <c r="AO127" i="5"/>
  <c r="AN23" i="5"/>
  <c r="AO23" i="5"/>
  <c r="AK11" i="5"/>
  <c r="AL11" i="5"/>
  <c r="AL273" i="5"/>
  <c r="AK273" i="5"/>
  <c r="AL554" i="5"/>
  <c r="AK554" i="5"/>
  <c r="AK402" i="5"/>
  <c r="AL402" i="5"/>
  <c r="AK444" i="5"/>
  <c r="AL444" i="5"/>
  <c r="AK392" i="5"/>
  <c r="AL392" i="5"/>
  <c r="AL312" i="5"/>
  <c r="AK312" i="5"/>
  <c r="AK187" i="5"/>
  <c r="AL187" i="5"/>
  <c r="AK155" i="5"/>
  <c r="AL155" i="5"/>
  <c r="AL99" i="5"/>
  <c r="AK99" i="5"/>
  <c r="AL26" i="5"/>
  <c r="AK26" i="5"/>
  <c r="AL163" i="5"/>
  <c r="AK163" i="5"/>
  <c r="AK532" i="5"/>
  <c r="AL532" i="5"/>
  <c r="AL494" i="5"/>
  <c r="AK494" i="5"/>
  <c r="AL387" i="5"/>
  <c r="AK387" i="5"/>
  <c r="AL344" i="5"/>
  <c r="AK344" i="5"/>
  <c r="AK249" i="5"/>
  <c r="AL249" i="5"/>
  <c r="AL238" i="5"/>
  <c r="AK238" i="5"/>
  <c r="AK86" i="5"/>
  <c r="AL86" i="5"/>
  <c r="AL77" i="5"/>
  <c r="AK77" i="5"/>
  <c r="AK517" i="5"/>
  <c r="AL517" i="5"/>
  <c r="AL555" i="5"/>
  <c r="AK555" i="5"/>
  <c r="AL261" i="5"/>
  <c r="AK261" i="5"/>
  <c r="AK463" i="5"/>
  <c r="AL463" i="5"/>
  <c r="AK323" i="5"/>
  <c r="AL323" i="5"/>
  <c r="AK355" i="5"/>
  <c r="AL355" i="5"/>
  <c r="AK321" i="5"/>
  <c r="AL321" i="5"/>
  <c r="AK204" i="5"/>
  <c r="AL204" i="5"/>
  <c r="AK134" i="5"/>
  <c r="AL134" i="5"/>
  <c r="AK57" i="5"/>
  <c r="AL57" i="5"/>
  <c r="AK435" i="5"/>
  <c r="AL435" i="5"/>
  <c r="AK96" i="5"/>
  <c r="AL96" i="5"/>
  <c r="AK558" i="5"/>
  <c r="AL558" i="5"/>
  <c r="AL455" i="5"/>
  <c r="AK455" i="5"/>
  <c r="AK303" i="5"/>
  <c r="AL303" i="5"/>
  <c r="AK353" i="5"/>
  <c r="AL353" i="5"/>
  <c r="AK317" i="5"/>
  <c r="AL317" i="5"/>
  <c r="AK203" i="5"/>
  <c r="AL203" i="5"/>
  <c r="AK132" i="5"/>
  <c r="AL132" i="5"/>
  <c r="AK56" i="5"/>
  <c r="AL56" i="5"/>
  <c r="AL473" i="5"/>
  <c r="AK473" i="5"/>
  <c r="AK51" i="5"/>
  <c r="AL51" i="5"/>
  <c r="AK533" i="5"/>
  <c r="AL533" i="5"/>
  <c r="AL431" i="5"/>
  <c r="AK431" i="5"/>
  <c r="AL395" i="5"/>
  <c r="AK395" i="5"/>
  <c r="AK311" i="5"/>
  <c r="AL311" i="5"/>
  <c r="AL272" i="5"/>
  <c r="AK272" i="5"/>
  <c r="AL205" i="5"/>
  <c r="AK205" i="5"/>
  <c r="AL152" i="5"/>
  <c r="AK152" i="5"/>
  <c r="AK59" i="5"/>
  <c r="AL59" i="5"/>
  <c r="AK342" i="5"/>
  <c r="AL342" i="5"/>
  <c r="AK504" i="5"/>
  <c r="AL504" i="5"/>
  <c r="AK442" i="5"/>
  <c r="AL442" i="5"/>
  <c r="AK482" i="5"/>
  <c r="AL482" i="5"/>
  <c r="AK439" i="5"/>
  <c r="AL439" i="5"/>
  <c r="AK250" i="5"/>
  <c r="AL250" i="5"/>
  <c r="AK223" i="5"/>
  <c r="AL223" i="5"/>
  <c r="AL186" i="5"/>
  <c r="AK186" i="5"/>
  <c r="AK100" i="5"/>
  <c r="AL100" i="5"/>
  <c r="AK44" i="5"/>
  <c r="AL44" i="5"/>
  <c r="AK498" i="5"/>
  <c r="AL498" i="5"/>
  <c r="AK437" i="5"/>
  <c r="AL437" i="5"/>
  <c r="AL480" i="5"/>
  <c r="AK480" i="5"/>
  <c r="AL434" i="5"/>
  <c r="AK434" i="5"/>
  <c r="AK245" i="5"/>
  <c r="AL245" i="5"/>
  <c r="AK220" i="5"/>
  <c r="AL220" i="5"/>
  <c r="AK185" i="5"/>
  <c r="AL185" i="5"/>
  <c r="AK98" i="5"/>
  <c r="AL98" i="5"/>
  <c r="AK41" i="5"/>
  <c r="AL41" i="5"/>
  <c r="AS360" i="10"/>
  <c r="AS375" i="10"/>
  <c r="AS328" i="10"/>
  <c r="AS384" i="10"/>
  <c r="AS337" i="10"/>
  <c r="AS242" i="10"/>
  <c r="AS273" i="10"/>
  <c r="AS153" i="10"/>
  <c r="AS158" i="10"/>
  <c r="AS120" i="10"/>
  <c r="AS236" i="10"/>
  <c r="AS332" i="10"/>
  <c r="AS416" i="10"/>
  <c r="AS531" i="10"/>
  <c r="AS157" i="10"/>
  <c r="AS162" i="10"/>
  <c r="AS124" i="10"/>
  <c r="AS240" i="10"/>
  <c r="AS336" i="10"/>
  <c r="AS420" i="10"/>
  <c r="AS520" i="10"/>
  <c r="AS22" i="10"/>
  <c r="AS231" i="10"/>
  <c r="AS160" i="10"/>
  <c r="AS190" i="10"/>
  <c r="AS317" i="10"/>
  <c r="AS410" i="10"/>
  <c r="AS26" i="10"/>
  <c r="AS43" i="10"/>
  <c r="AS123" i="10"/>
  <c r="AS195" i="10"/>
  <c r="AS226" i="10"/>
  <c r="AS353" i="10"/>
  <c r="AS399" i="10"/>
  <c r="AS56" i="10"/>
  <c r="AS83" i="10"/>
  <c r="AS159" i="10"/>
  <c r="AS229" i="10"/>
  <c r="AS261" i="10"/>
  <c r="AS258" i="10"/>
  <c r="AS437" i="10"/>
  <c r="AS93" i="10"/>
  <c r="AS181" i="10"/>
  <c r="AS248" i="10"/>
  <c r="AS267" i="10"/>
  <c r="AS297" i="10"/>
  <c r="AS294" i="10"/>
  <c r="AS361" i="10"/>
  <c r="AS45" i="10"/>
  <c r="AS86" i="10"/>
  <c r="AS284" i="10"/>
  <c r="AS303" i="10"/>
  <c r="AS331" i="10"/>
  <c r="AS330" i="10"/>
  <c r="AS445" i="10"/>
  <c r="AS470" i="10"/>
  <c r="AS530" i="10"/>
  <c r="AS449" i="10"/>
  <c r="AS507" i="10"/>
  <c r="AS448" i="10"/>
  <c r="AS514" i="10"/>
  <c r="AS431" i="10"/>
  <c r="AS500" i="10"/>
  <c r="AS409" i="10"/>
  <c r="AS505" i="10"/>
  <c r="AS381" i="10"/>
  <c r="AS492" i="10"/>
  <c r="AS558" i="10"/>
  <c r="AS8" i="10"/>
  <c r="AL541" i="10"/>
  <c r="AK541" i="10"/>
  <c r="AK379" i="10"/>
  <c r="AL379" i="10"/>
  <c r="AK442" i="10"/>
  <c r="AL442" i="10"/>
  <c r="AK386" i="10"/>
  <c r="AL386" i="10"/>
  <c r="AK467" i="10"/>
  <c r="AL467" i="10"/>
  <c r="AL453" i="10"/>
  <c r="AK453" i="10"/>
  <c r="AK87" i="10"/>
  <c r="AL87" i="10"/>
  <c r="AK76" i="10"/>
  <c r="AL76" i="10"/>
  <c r="AK117" i="10"/>
  <c r="AL117" i="10"/>
  <c r="AL98" i="10"/>
  <c r="AK98" i="10"/>
  <c r="AK352" i="10"/>
  <c r="AL352" i="10"/>
  <c r="AL534" i="10"/>
  <c r="AK534" i="10"/>
  <c r="AL114" i="10"/>
  <c r="AK114" i="10"/>
  <c r="AL275" i="10"/>
  <c r="AK275" i="10"/>
  <c r="AL321" i="10"/>
  <c r="AK321" i="10"/>
  <c r="AK200" i="10"/>
  <c r="AL200" i="10"/>
  <c r="AL241" i="10"/>
  <c r="AK241" i="10"/>
  <c r="AL557" i="10"/>
  <c r="AK557" i="10"/>
  <c r="AL26" i="10"/>
  <c r="AK26" i="10"/>
  <c r="AK335" i="10"/>
  <c r="AL335" i="10"/>
  <c r="AL332" i="10"/>
  <c r="AK332" i="10"/>
  <c r="AK414" i="10"/>
  <c r="AL414" i="10"/>
  <c r="AK413" i="10"/>
  <c r="AL413" i="10"/>
  <c r="AK292" i="10"/>
  <c r="AL292" i="10"/>
  <c r="AK36" i="10"/>
  <c r="AL36" i="10"/>
  <c r="AK77" i="10"/>
  <c r="AL77" i="10"/>
  <c r="AL404" i="10"/>
  <c r="AK404" i="10"/>
  <c r="AK186" i="10"/>
  <c r="AL186" i="10"/>
  <c r="AL494" i="10"/>
  <c r="AK494" i="10"/>
  <c r="AK555" i="10"/>
  <c r="AL555" i="10"/>
  <c r="AK170" i="10"/>
  <c r="AL170" i="10"/>
  <c r="AL255" i="10"/>
  <c r="AK255" i="10"/>
  <c r="AL160" i="10"/>
  <c r="AK160" i="10"/>
  <c r="AL201" i="10"/>
  <c r="AK201" i="10"/>
  <c r="AK411" i="10"/>
  <c r="AL411" i="10"/>
  <c r="AL553" i="10"/>
  <c r="AK553" i="10"/>
  <c r="AK314" i="10"/>
  <c r="AL314" i="10"/>
  <c r="AL322" i="10"/>
  <c r="AK322" i="10"/>
  <c r="AK403" i="10"/>
  <c r="AL403" i="10"/>
  <c r="AL405" i="10"/>
  <c r="AK405" i="10"/>
  <c r="AK284" i="10"/>
  <c r="AL284" i="10"/>
  <c r="AK28" i="10"/>
  <c r="AL28" i="10"/>
  <c r="AK69" i="10"/>
  <c r="AL69" i="10"/>
  <c r="AL362" i="10"/>
  <c r="AK362" i="10"/>
  <c r="AL142" i="10"/>
  <c r="AK142" i="10"/>
  <c r="AL486" i="10"/>
  <c r="AK486" i="10"/>
  <c r="AK547" i="10"/>
  <c r="AL547" i="10"/>
  <c r="AL147" i="10"/>
  <c r="AK147" i="10"/>
  <c r="AK239" i="10"/>
  <c r="AL239" i="10"/>
  <c r="AK152" i="10"/>
  <c r="AL152" i="10"/>
  <c r="AK193" i="10"/>
  <c r="AL193" i="10"/>
  <c r="AL174" i="10"/>
  <c r="AK174" i="10"/>
  <c r="AL537" i="10"/>
  <c r="AK537" i="10"/>
  <c r="AK278" i="10"/>
  <c r="AL278" i="10"/>
  <c r="AK310" i="10"/>
  <c r="AL310" i="10"/>
  <c r="AL392" i="10"/>
  <c r="AK392" i="10"/>
  <c r="AL397" i="10"/>
  <c r="AK397" i="10"/>
  <c r="AL276" i="10"/>
  <c r="AK276" i="10"/>
  <c r="AL20" i="10"/>
  <c r="AK20" i="10"/>
  <c r="AL61" i="10"/>
  <c r="AK61" i="10"/>
  <c r="AK319" i="10"/>
  <c r="AL319" i="10"/>
  <c r="AK99" i="10"/>
  <c r="AL99" i="10"/>
  <c r="AL476" i="10"/>
  <c r="AK476" i="10"/>
  <c r="AL539" i="10"/>
  <c r="AK539" i="10"/>
  <c r="AK126" i="10"/>
  <c r="AL126" i="10"/>
  <c r="AL223" i="10"/>
  <c r="AK223" i="10"/>
  <c r="AK144" i="10"/>
  <c r="AL144" i="10"/>
  <c r="AK185" i="10"/>
  <c r="AL185" i="10"/>
  <c r="Y13" i="10"/>
  <c r="X13" i="10"/>
  <c r="AO167" i="10"/>
  <c r="AN167" i="10"/>
  <c r="AO268" i="10"/>
  <c r="AN268" i="10"/>
  <c r="AN179" i="10"/>
  <c r="AO179" i="10"/>
  <c r="AO55" i="10"/>
  <c r="AN55" i="10"/>
  <c r="AN489" i="10"/>
  <c r="AO489" i="10"/>
  <c r="AO196" i="10"/>
  <c r="AN196" i="10"/>
  <c r="AO532" i="10"/>
  <c r="AN532" i="10"/>
  <c r="AO445" i="10"/>
  <c r="AN445" i="10"/>
  <c r="AN237" i="10"/>
  <c r="AO237" i="10"/>
  <c r="AO195" i="10"/>
  <c r="AN195" i="10"/>
  <c r="AO96" i="10"/>
  <c r="AN96" i="10"/>
  <c r="AN35" i="10"/>
  <c r="AO35" i="10"/>
  <c r="AI355" i="5"/>
  <c r="AH355" i="5"/>
  <c r="AP355" i="5"/>
  <c r="AP117" i="5"/>
  <c r="AH117" i="5"/>
  <c r="AI117" i="5"/>
  <c r="AI66" i="5"/>
  <c r="AH66" i="5"/>
  <c r="AP66" i="5"/>
  <c r="AH467" i="5"/>
  <c r="AP467" i="5"/>
  <c r="AI467" i="5"/>
  <c r="AH492" i="5"/>
  <c r="AP492" i="5"/>
  <c r="AI492" i="5"/>
  <c r="AI475" i="5"/>
  <c r="AH475" i="5"/>
  <c r="AP475" i="5"/>
  <c r="AH73" i="5"/>
  <c r="AI73" i="5"/>
  <c r="AP73" i="5"/>
  <c r="AP257" i="5"/>
  <c r="AH257" i="5"/>
  <c r="AI257" i="5"/>
  <c r="AI206" i="5"/>
  <c r="AH206" i="5"/>
  <c r="AP206" i="5"/>
  <c r="AQ10" i="10"/>
  <c r="AR10" i="10"/>
  <c r="AR319" i="10"/>
  <c r="AQ319" i="10"/>
  <c r="AR399" i="10"/>
  <c r="AQ399" i="10"/>
  <c r="AR488" i="10"/>
  <c r="AQ488" i="10"/>
  <c r="AR456" i="10"/>
  <c r="AQ456" i="10"/>
  <c r="AQ450" i="10"/>
  <c r="AR450" i="10"/>
  <c r="AR403" i="10"/>
  <c r="AQ403" i="10"/>
  <c r="AN327" i="5"/>
  <c r="AO327" i="5"/>
  <c r="AO368" i="5"/>
  <c r="AN368" i="5"/>
  <c r="AN205" i="5"/>
  <c r="AO205" i="5"/>
  <c r="AO218" i="5"/>
  <c r="AN218" i="5"/>
  <c r="AN543" i="5"/>
  <c r="AO543" i="5"/>
  <c r="AO178" i="5"/>
  <c r="AN178" i="5"/>
  <c r="AN446" i="5"/>
  <c r="AO446" i="5"/>
  <c r="AN123" i="5"/>
  <c r="AO123" i="5"/>
  <c r="AK499" i="5"/>
  <c r="AL499" i="5"/>
  <c r="AK102" i="5"/>
  <c r="AL102" i="5"/>
  <c r="AL325" i="5"/>
  <c r="AK325" i="5"/>
  <c r="AK420" i="5"/>
  <c r="AL420" i="5"/>
  <c r="AK335" i="5"/>
  <c r="AL335" i="5"/>
  <c r="AN475" i="10"/>
  <c r="AO475" i="10"/>
  <c r="AN323" i="10"/>
  <c r="AO323" i="10"/>
  <c r="AN147" i="10"/>
  <c r="AO147" i="10"/>
  <c r="AN322" i="10"/>
  <c r="AO322" i="10"/>
  <c r="AO425" i="10"/>
  <c r="AN425" i="10"/>
  <c r="AO275" i="10"/>
  <c r="AN275" i="10"/>
  <c r="AN245" i="10"/>
  <c r="AO245" i="10"/>
  <c r="AO476" i="10"/>
  <c r="AN476" i="10"/>
  <c r="AN51" i="10"/>
  <c r="AO51" i="10"/>
  <c r="AN533" i="10"/>
  <c r="AO533" i="10"/>
  <c r="AN491" i="10"/>
  <c r="AO491" i="10"/>
  <c r="AO39" i="10"/>
  <c r="AN39" i="10"/>
  <c r="AN125" i="10"/>
  <c r="AO125" i="10"/>
  <c r="AO332" i="10"/>
  <c r="AN332" i="10"/>
  <c r="AO113" i="10"/>
  <c r="AN113" i="10"/>
  <c r="AN431" i="10"/>
  <c r="AO431" i="10"/>
  <c r="AN36" i="10"/>
  <c r="AO36" i="10"/>
  <c r="AN136" i="10"/>
  <c r="AO136" i="10"/>
  <c r="AO44" i="10"/>
  <c r="AN44" i="10"/>
  <c r="AI9" i="5"/>
  <c r="AH9" i="5"/>
  <c r="AP9" i="5"/>
  <c r="AI497" i="5"/>
  <c r="AH497" i="5"/>
  <c r="AP497" i="5"/>
  <c r="AH128" i="5"/>
  <c r="AP128" i="5"/>
  <c r="AI128" i="5"/>
  <c r="AI454" i="5"/>
  <c r="AH454" i="5"/>
  <c r="AP454" i="5"/>
  <c r="AI226" i="5"/>
  <c r="AP226" i="5"/>
  <c r="AH226" i="5"/>
  <c r="AI441" i="5"/>
  <c r="AH441" i="5"/>
  <c r="AP441" i="5"/>
  <c r="AI291" i="5"/>
  <c r="AH291" i="5"/>
  <c r="AP291" i="5"/>
  <c r="AI500" i="5"/>
  <c r="AH500" i="5"/>
  <c r="AP500" i="5"/>
  <c r="AH376" i="5"/>
  <c r="AP376" i="5"/>
  <c r="AI376" i="5"/>
  <c r="AP273" i="5"/>
  <c r="AI273" i="5"/>
  <c r="AH273" i="5"/>
  <c r="AI351" i="5"/>
  <c r="AP351" i="5"/>
  <c r="AH351" i="5"/>
  <c r="AI427" i="5"/>
  <c r="AP427" i="5"/>
  <c r="AH427" i="5"/>
  <c r="AI438" i="5"/>
  <c r="AH438" i="5"/>
  <c r="AP438" i="5"/>
  <c r="AI31" i="5"/>
  <c r="AH31" i="5"/>
  <c r="AP31" i="5"/>
  <c r="AI481" i="5"/>
  <c r="AP481" i="5"/>
  <c r="AH481" i="5"/>
  <c r="AI62" i="5"/>
  <c r="AP62" i="5"/>
  <c r="AH62" i="5"/>
  <c r="AI95" i="5"/>
  <c r="AH95" i="5"/>
  <c r="AP95" i="5"/>
  <c r="AP193" i="5"/>
  <c r="AI193" i="5"/>
  <c r="AH193" i="5"/>
  <c r="AI397" i="5"/>
  <c r="AH397" i="5"/>
  <c r="AP397" i="5"/>
  <c r="AI211" i="5"/>
  <c r="AH211" i="5"/>
  <c r="AP211" i="5"/>
  <c r="AI180" i="5"/>
  <c r="AP180" i="5"/>
  <c r="AH180" i="5"/>
  <c r="AH213" i="5"/>
  <c r="AP213" i="5"/>
  <c r="AI213" i="5"/>
  <c r="AI46" i="5"/>
  <c r="AH46" i="5"/>
  <c r="AP46" i="5"/>
  <c r="AI105" i="5"/>
  <c r="AH105" i="5"/>
  <c r="AP105" i="5"/>
  <c r="AR315" i="10"/>
  <c r="AQ315" i="10"/>
  <c r="AR264" i="10"/>
  <c r="AQ264" i="10"/>
  <c r="AR333" i="10"/>
  <c r="AQ333" i="10"/>
  <c r="AQ377" i="10"/>
  <c r="AR377" i="10"/>
  <c r="AQ261" i="10"/>
  <c r="AR261" i="10"/>
  <c r="AR169" i="10"/>
  <c r="AQ169" i="10"/>
  <c r="AO330" i="10"/>
  <c r="AN330" i="10"/>
  <c r="AO258" i="10"/>
  <c r="AN258" i="10"/>
  <c r="AN374" i="10"/>
  <c r="AO374" i="10"/>
  <c r="AN233" i="10"/>
  <c r="AO233" i="10"/>
  <c r="AN215" i="10"/>
  <c r="AO215" i="10"/>
  <c r="AO220" i="10"/>
  <c r="AN220" i="10"/>
  <c r="AN171" i="10"/>
  <c r="AO171" i="10"/>
  <c r="AO393" i="10"/>
  <c r="AN393" i="10"/>
  <c r="AN484" i="10"/>
  <c r="AO484" i="10"/>
  <c r="AN163" i="10"/>
  <c r="AO163" i="10"/>
  <c r="AO22" i="10"/>
  <c r="AN22" i="10"/>
  <c r="AO118" i="10"/>
  <c r="AN118" i="10"/>
  <c r="AO153" i="10"/>
  <c r="AN153" i="10"/>
  <c r="AO456" i="10"/>
  <c r="AN456" i="10"/>
  <c r="AO376" i="10"/>
  <c r="AN376" i="10"/>
  <c r="AO368" i="10"/>
  <c r="AN368" i="10"/>
  <c r="AO480" i="10"/>
  <c r="AN480" i="10"/>
  <c r="AN123" i="10"/>
  <c r="AO123" i="10"/>
  <c r="AN446" i="10"/>
  <c r="AO446" i="10"/>
  <c r="AN116" i="10"/>
  <c r="AO116" i="10"/>
  <c r="AO150" i="10"/>
  <c r="AN150" i="10"/>
  <c r="AN423" i="10"/>
  <c r="AO423" i="10"/>
  <c r="AO291" i="10"/>
  <c r="AN291" i="10"/>
  <c r="AO412" i="10"/>
  <c r="AN412" i="10"/>
  <c r="AN271" i="10"/>
  <c r="AO271" i="10"/>
  <c r="AN279" i="10"/>
  <c r="AO279" i="10"/>
  <c r="AN138" i="10"/>
  <c r="AO138" i="10"/>
  <c r="AN538" i="10"/>
  <c r="AO538" i="10"/>
  <c r="AN435" i="10"/>
  <c r="AO435" i="10"/>
  <c r="AN155" i="10"/>
  <c r="AO155" i="10"/>
  <c r="AO67" i="10"/>
  <c r="AN67" i="10"/>
  <c r="AN298" i="10"/>
  <c r="AO298" i="10"/>
  <c r="AO234" i="10"/>
  <c r="AN234" i="10"/>
  <c r="AO242" i="10"/>
  <c r="AN242" i="10"/>
  <c r="AO553" i="10"/>
  <c r="AN553" i="10"/>
  <c r="AO141" i="10"/>
  <c r="AN141" i="10"/>
  <c r="AO433" i="10"/>
  <c r="AN433" i="10"/>
  <c r="AO131" i="10"/>
  <c r="AN131" i="10"/>
  <c r="AN54" i="10"/>
  <c r="AO54" i="10"/>
  <c r="AO270" i="10"/>
  <c r="AN270" i="10"/>
  <c r="AO232" i="10"/>
  <c r="AN232" i="10"/>
  <c r="AN240" i="10"/>
  <c r="AO240" i="10"/>
  <c r="AO542" i="10"/>
  <c r="AN542" i="10"/>
  <c r="AO440" i="10"/>
  <c r="AN440" i="10"/>
  <c r="AN461" i="10"/>
  <c r="AO461" i="10"/>
  <c r="AO384" i="10"/>
  <c r="AN384" i="10"/>
  <c r="AO236" i="10"/>
  <c r="AN236" i="10"/>
  <c r="AO346" i="10"/>
  <c r="AN346" i="10"/>
  <c r="AN261" i="10"/>
  <c r="AO261" i="10"/>
  <c r="AN269" i="10"/>
  <c r="AO269" i="10"/>
  <c r="AO74" i="10"/>
  <c r="AN74" i="10"/>
  <c r="AO556" i="10"/>
  <c r="AN556" i="10"/>
  <c r="AN558" i="10"/>
  <c r="AO558" i="10"/>
  <c r="AO243" i="10"/>
  <c r="AN243" i="10"/>
  <c r="AN224" i="10"/>
  <c r="AO224" i="10"/>
  <c r="AN231" i="10"/>
  <c r="AO231" i="10"/>
  <c r="AN20" i="10"/>
  <c r="AO20" i="10"/>
  <c r="AO111" i="10"/>
  <c r="AN111" i="10"/>
  <c r="AO76" i="10"/>
  <c r="AN76" i="10"/>
  <c r="AN146" i="10"/>
  <c r="AO146" i="10"/>
  <c r="AN69" i="10"/>
  <c r="AO69" i="10"/>
  <c r="AO144" i="10"/>
  <c r="AN144" i="10"/>
  <c r="AO93" i="10"/>
  <c r="AN93" i="10"/>
  <c r="AO294" i="10"/>
  <c r="AN294" i="10"/>
  <c r="AO88" i="10"/>
  <c r="AN88" i="10"/>
  <c r="AN292" i="10"/>
  <c r="AO292" i="10"/>
  <c r="AN80" i="10"/>
  <c r="AO80" i="10"/>
  <c r="AN289" i="10"/>
  <c r="AO289" i="10"/>
  <c r="AO75" i="10"/>
  <c r="AN75" i="10"/>
  <c r="AN30" i="10"/>
  <c r="AO30" i="10"/>
  <c r="AI504" i="5"/>
  <c r="AP504" i="5"/>
  <c r="AH504" i="5"/>
  <c r="AP527" i="5"/>
  <c r="AI527" i="5"/>
  <c r="AH527" i="5"/>
  <c r="AP557" i="5"/>
  <c r="AH557" i="5"/>
  <c r="AI557" i="5"/>
  <c r="AH294" i="5"/>
  <c r="AP294" i="5"/>
  <c r="AI294" i="5"/>
  <c r="AH387" i="5"/>
  <c r="AP387" i="5"/>
  <c r="AI387" i="5"/>
  <c r="AI322" i="5"/>
  <c r="AP322" i="5"/>
  <c r="AH322" i="5"/>
  <c r="AH75" i="5"/>
  <c r="AI75" i="5"/>
  <c r="AP75" i="5"/>
  <c r="AP313" i="5"/>
  <c r="AI313" i="5"/>
  <c r="AH313" i="5"/>
  <c r="AP444" i="5"/>
  <c r="AI444" i="5"/>
  <c r="AH444" i="5"/>
  <c r="AH496" i="5"/>
  <c r="AP496" i="5"/>
  <c r="AI496" i="5"/>
  <c r="AH402" i="5"/>
  <c r="AP402" i="5"/>
  <c r="AI402" i="5"/>
  <c r="AI300" i="5"/>
  <c r="AH300" i="5"/>
  <c r="AP300" i="5"/>
  <c r="AI187" i="5"/>
  <c r="AH187" i="5"/>
  <c r="AP187" i="5"/>
  <c r="AI503" i="5"/>
  <c r="AH503" i="5"/>
  <c r="AP503" i="5"/>
  <c r="AH551" i="5"/>
  <c r="AP551" i="5"/>
  <c r="AI551" i="5"/>
  <c r="AI522" i="5"/>
  <c r="AH522" i="5"/>
  <c r="AP522" i="5"/>
  <c r="AI381" i="5"/>
  <c r="AP381" i="5"/>
  <c r="AH381" i="5"/>
  <c r="AI312" i="5"/>
  <c r="AH312" i="5"/>
  <c r="AP312" i="5"/>
  <c r="AH102" i="5"/>
  <c r="AP102" i="5"/>
  <c r="AI102" i="5"/>
  <c r="AP362" i="5"/>
  <c r="AI362" i="5"/>
  <c r="AH362" i="5"/>
  <c r="AI358" i="5"/>
  <c r="AH358" i="5"/>
  <c r="AP358" i="5"/>
  <c r="AI453" i="5"/>
  <c r="AH453" i="5"/>
  <c r="AP453" i="5"/>
  <c r="AI371" i="5"/>
  <c r="AH371" i="5"/>
  <c r="AP371" i="5"/>
  <c r="AI378" i="5"/>
  <c r="AH378" i="5"/>
  <c r="AP378" i="5"/>
  <c r="AI215" i="5"/>
  <c r="AP215" i="5"/>
  <c r="AH215" i="5"/>
  <c r="AI8" i="5"/>
  <c r="AH8" i="5"/>
  <c r="AP8" i="5"/>
  <c r="AH529" i="5"/>
  <c r="AI529" i="5"/>
  <c r="AP529" i="5"/>
  <c r="AH512" i="5"/>
  <c r="AI512" i="5"/>
  <c r="AP512" i="5"/>
  <c r="AP488" i="5"/>
  <c r="AH488" i="5"/>
  <c r="AI488" i="5"/>
  <c r="AH326" i="5"/>
  <c r="AI326" i="5"/>
  <c r="AP326" i="5"/>
  <c r="AH249" i="5"/>
  <c r="AP249" i="5"/>
  <c r="AI249" i="5"/>
  <c r="AI20" i="5"/>
  <c r="AH20" i="5"/>
  <c r="AP20" i="5"/>
  <c r="AI163" i="5"/>
  <c r="AH163" i="5"/>
  <c r="AP163" i="5"/>
  <c r="AH542" i="5"/>
  <c r="AP542" i="5"/>
  <c r="AI542" i="5"/>
  <c r="AI483" i="5"/>
  <c r="AP483" i="5"/>
  <c r="AH483" i="5"/>
  <c r="AH375" i="5"/>
  <c r="AP375" i="5"/>
  <c r="AI375" i="5"/>
  <c r="AI264" i="5"/>
  <c r="AH264" i="5"/>
  <c r="AP264" i="5"/>
  <c r="AH150" i="5"/>
  <c r="AI150" i="5"/>
  <c r="AP150" i="5"/>
  <c r="AP501" i="5"/>
  <c r="AI501" i="5"/>
  <c r="AH501" i="5"/>
  <c r="AH484" i="5"/>
  <c r="AI484" i="5"/>
  <c r="AP484" i="5"/>
  <c r="AP515" i="5"/>
  <c r="AI515" i="5"/>
  <c r="AH515" i="5"/>
  <c r="AP414" i="5"/>
  <c r="AI414" i="5"/>
  <c r="AH414" i="5"/>
  <c r="AI335" i="5"/>
  <c r="AH335" i="5"/>
  <c r="AP335" i="5"/>
  <c r="AI165" i="5"/>
  <c r="AH165" i="5"/>
  <c r="AP165" i="5"/>
  <c r="AI400" i="5"/>
  <c r="AP400" i="5"/>
  <c r="AH400" i="5"/>
  <c r="AH279" i="5"/>
  <c r="AI279" i="5"/>
  <c r="AP279" i="5"/>
  <c r="AP220" i="5"/>
  <c r="AH220" i="5"/>
  <c r="AI220" i="5"/>
  <c r="AP147" i="5"/>
  <c r="AI147" i="5"/>
  <c r="AH147" i="5"/>
  <c r="AI86" i="5"/>
  <c r="AH86" i="5"/>
  <c r="AP86" i="5"/>
  <c r="AI214" i="5"/>
  <c r="AP214" i="5"/>
  <c r="AH214" i="5"/>
  <c r="AH184" i="5"/>
  <c r="AI184" i="5"/>
  <c r="AP184" i="5"/>
  <c r="AI113" i="5"/>
  <c r="AH113" i="5"/>
  <c r="AP113" i="5"/>
  <c r="AH36" i="5"/>
  <c r="AI36" i="5"/>
  <c r="AP36" i="5"/>
  <c r="AI336" i="5"/>
  <c r="AH336" i="5"/>
  <c r="AP336" i="5"/>
  <c r="AP283" i="5"/>
  <c r="AH283" i="5"/>
  <c r="AI283" i="5"/>
  <c r="AH190" i="5"/>
  <c r="AI190" i="5"/>
  <c r="AP190" i="5"/>
  <c r="AH142" i="5"/>
  <c r="AP142" i="5"/>
  <c r="AI142" i="5"/>
  <c r="AI41" i="5"/>
  <c r="AH41" i="5"/>
  <c r="AP41" i="5"/>
  <c r="AP310" i="5"/>
  <c r="AI310" i="5"/>
  <c r="AH310" i="5"/>
  <c r="AH203" i="5"/>
  <c r="AI203" i="5"/>
  <c r="AP203" i="5"/>
  <c r="AH227" i="5"/>
  <c r="AP227" i="5"/>
  <c r="AI227" i="5"/>
  <c r="AI137" i="5"/>
  <c r="AP137" i="5"/>
  <c r="AH137" i="5"/>
  <c r="AP80" i="5"/>
  <c r="AI80" i="5"/>
  <c r="AH80" i="5"/>
  <c r="AP290" i="5"/>
  <c r="AH290" i="5"/>
  <c r="AI290" i="5"/>
  <c r="AH332" i="5"/>
  <c r="AP332" i="5"/>
  <c r="AI332" i="5"/>
  <c r="AI223" i="5"/>
  <c r="AH223" i="5"/>
  <c r="AP223" i="5"/>
  <c r="AH134" i="5"/>
  <c r="AP134" i="5"/>
  <c r="AI134" i="5"/>
  <c r="AI26" i="5"/>
  <c r="AH26" i="5"/>
  <c r="AP26" i="5"/>
  <c r="AQ9" i="10"/>
  <c r="AR9" i="10"/>
  <c r="AQ279" i="10"/>
  <c r="AR279" i="10"/>
  <c r="AQ490" i="10"/>
  <c r="AR490" i="10"/>
  <c r="AR143" i="10"/>
  <c r="AQ143" i="10"/>
  <c r="AQ340" i="10"/>
  <c r="AR340" i="10"/>
  <c r="AR348" i="10"/>
  <c r="AQ348" i="10"/>
  <c r="AQ51" i="10"/>
  <c r="AR51" i="10"/>
  <c r="AR211" i="10"/>
  <c r="AQ211" i="10"/>
  <c r="AQ548" i="10"/>
  <c r="AR548" i="10"/>
  <c r="AQ33" i="10"/>
  <c r="AR33" i="10"/>
  <c r="AR478" i="10"/>
  <c r="AQ478" i="10"/>
  <c r="AR97" i="10"/>
  <c r="AQ97" i="10"/>
  <c r="AR130" i="10"/>
  <c r="AQ130" i="10"/>
  <c r="AQ393" i="10"/>
  <c r="AR393" i="10"/>
  <c r="AR187" i="10"/>
  <c r="AQ187" i="10"/>
  <c r="AQ325" i="10"/>
  <c r="AR325" i="10"/>
  <c r="AQ73" i="10"/>
  <c r="AR73" i="10"/>
  <c r="AR304" i="10"/>
  <c r="AQ304" i="10"/>
  <c r="AQ555" i="10"/>
  <c r="AR555" i="10"/>
  <c r="AR323" i="10"/>
  <c r="AQ323" i="10"/>
  <c r="AR184" i="10"/>
  <c r="AQ184" i="10"/>
  <c r="AR265" i="10"/>
  <c r="AQ265" i="10"/>
  <c r="AR543" i="10"/>
  <c r="AQ543" i="10"/>
  <c r="AQ525" i="10"/>
  <c r="AR525" i="10"/>
  <c r="AQ183" i="10"/>
  <c r="AR183" i="10"/>
  <c r="AQ476" i="10"/>
  <c r="AR476" i="10"/>
  <c r="AR66" i="10"/>
  <c r="AQ66" i="10"/>
  <c r="AR445" i="10"/>
  <c r="AQ445" i="10"/>
  <c r="AR133" i="10"/>
  <c r="AQ133" i="10"/>
  <c r="AQ220" i="10"/>
  <c r="AR220" i="10"/>
  <c r="AQ306" i="10"/>
  <c r="AR306" i="10"/>
  <c r="AR155" i="10"/>
  <c r="AQ155" i="10"/>
  <c r="AQ309" i="10"/>
  <c r="AR309" i="10"/>
  <c r="AQ55" i="10"/>
  <c r="AR55" i="10"/>
  <c r="AR343" i="10"/>
  <c r="AQ343" i="10"/>
  <c r="AQ536" i="10"/>
  <c r="AR536" i="10"/>
  <c r="AR219" i="10"/>
  <c r="AQ219" i="10"/>
  <c r="AR192" i="10"/>
  <c r="AQ192" i="10"/>
  <c r="AR273" i="10"/>
  <c r="AQ273" i="10"/>
  <c r="AQ544" i="10"/>
  <c r="AR544" i="10"/>
  <c r="AR497" i="10"/>
  <c r="AQ497" i="10"/>
  <c r="AR159" i="10"/>
  <c r="AQ159" i="10"/>
  <c r="AR483" i="10"/>
  <c r="AQ483" i="10"/>
  <c r="AR137" i="10"/>
  <c r="AQ137" i="10"/>
  <c r="AR414" i="10"/>
  <c r="AQ414" i="10"/>
  <c r="AR101" i="10"/>
  <c r="AQ101" i="10"/>
  <c r="AQ228" i="10"/>
  <c r="AR228" i="10"/>
  <c r="AQ383" i="10"/>
  <c r="AR383" i="10"/>
  <c r="AR152" i="10"/>
  <c r="AQ152" i="10"/>
  <c r="AR206" i="10"/>
  <c r="AQ206" i="10"/>
  <c r="AQ281" i="10"/>
  <c r="AR281" i="10"/>
  <c r="AQ560" i="10"/>
  <c r="AR560" i="10"/>
  <c r="AR470" i="10"/>
  <c r="AQ470" i="10"/>
  <c r="AR119" i="10"/>
  <c r="AQ119" i="10"/>
  <c r="AR502" i="10"/>
  <c r="AQ502" i="10"/>
  <c r="AQ105" i="10"/>
  <c r="AR105" i="10"/>
  <c r="AQ382" i="10"/>
  <c r="AR382" i="10"/>
  <c r="AR70" i="10"/>
  <c r="AQ70" i="10"/>
  <c r="AQ236" i="10"/>
  <c r="AR236" i="10"/>
  <c r="AR367" i="10"/>
  <c r="AQ367" i="10"/>
  <c r="AR107" i="10"/>
  <c r="AQ107" i="10"/>
  <c r="AR352" i="10"/>
  <c r="AQ352" i="10"/>
  <c r="AQ547" i="10"/>
  <c r="AR547" i="10"/>
  <c r="AQ239" i="10"/>
  <c r="AR239" i="10"/>
  <c r="AQ528" i="10"/>
  <c r="AR528" i="10"/>
  <c r="AQ136" i="10"/>
  <c r="AR136" i="10"/>
  <c r="AR134" i="10"/>
  <c r="AQ134" i="10"/>
  <c r="AR289" i="10"/>
  <c r="AQ289" i="10"/>
  <c r="AR7" i="10"/>
  <c r="AQ7" i="10"/>
  <c r="AN541" i="5"/>
  <c r="AO541" i="5"/>
  <c r="AO329" i="5"/>
  <c r="AN329" i="5"/>
  <c r="AN517" i="5"/>
  <c r="AO517" i="5"/>
  <c r="AN291" i="5"/>
  <c r="AO291" i="5"/>
  <c r="AN507" i="5"/>
  <c r="AO507" i="5"/>
  <c r="AN151" i="5"/>
  <c r="AO151" i="5"/>
  <c r="AN470" i="5"/>
  <c r="AO470" i="5"/>
  <c r="AO99" i="5"/>
  <c r="AN99" i="5"/>
  <c r="AN468" i="5"/>
  <c r="AO468" i="5"/>
  <c r="AN102" i="5"/>
  <c r="AO102" i="5"/>
  <c r="AN439" i="5"/>
  <c r="AO439" i="5"/>
  <c r="AO90" i="5"/>
  <c r="AN90" i="5"/>
  <c r="AO429" i="5"/>
  <c r="AN429" i="5"/>
  <c r="AN77" i="5"/>
  <c r="AO77" i="5"/>
  <c r="AN202" i="5"/>
  <c r="AO202" i="5"/>
  <c r="AN166" i="5"/>
  <c r="AO166" i="5"/>
  <c r="AO74" i="5"/>
  <c r="AN74" i="5"/>
  <c r="AN31" i="5"/>
  <c r="AO31" i="5"/>
  <c r="AO485" i="5"/>
  <c r="AN485" i="5"/>
  <c r="AN506" i="5"/>
  <c r="AO506" i="5"/>
  <c r="AO355" i="5"/>
  <c r="AN355" i="5"/>
  <c r="AO369" i="5"/>
  <c r="AN369" i="5"/>
  <c r="AN262" i="5"/>
  <c r="AO262" i="5"/>
  <c r="AO243" i="5"/>
  <c r="AN243" i="5"/>
  <c r="AN113" i="5"/>
  <c r="AO113" i="5"/>
  <c r="AN71" i="5"/>
  <c r="AO71" i="5"/>
  <c r="AN438" i="5"/>
  <c r="AO438" i="5"/>
  <c r="AN499" i="5"/>
  <c r="AO499" i="5"/>
  <c r="AN270" i="5"/>
  <c r="AO270" i="5"/>
  <c r="AO390" i="5"/>
  <c r="AN390" i="5"/>
  <c r="AO322" i="5"/>
  <c r="AN322" i="5"/>
  <c r="AO261" i="5"/>
  <c r="AN261" i="5"/>
  <c r="AO168" i="5"/>
  <c r="AN168" i="5"/>
  <c r="AO131" i="5"/>
  <c r="AN131" i="5"/>
  <c r="AO56" i="5"/>
  <c r="AN56" i="5"/>
  <c r="AN449" i="5"/>
  <c r="AO449" i="5"/>
  <c r="AO484" i="5"/>
  <c r="AN484" i="5"/>
  <c r="AO348" i="5"/>
  <c r="AN348" i="5"/>
  <c r="AN360" i="5"/>
  <c r="AO360" i="5"/>
  <c r="AN253" i="5"/>
  <c r="AO253" i="5"/>
  <c r="AN233" i="5"/>
  <c r="AO233" i="5"/>
  <c r="AN155" i="5"/>
  <c r="AO155" i="5"/>
  <c r="AO49" i="5"/>
  <c r="AN49" i="5"/>
  <c r="AO425" i="5"/>
  <c r="AN425" i="5"/>
  <c r="AN480" i="5"/>
  <c r="AO480" i="5"/>
  <c r="AN342" i="5"/>
  <c r="AO342" i="5"/>
  <c r="AN352" i="5"/>
  <c r="AO352" i="5"/>
  <c r="AN247" i="5"/>
  <c r="AO247" i="5"/>
  <c r="AN230" i="5"/>
  <c r="AO230" i="5"/>
  <c r="AO154" i="5"/>
  <c r="AN154" i="5"/>
  <c r="AN78" i="5"/>
  <c r="AO78" i="5"/>
  <c r="AN491" i="5"/>
  <c r="AO491" i="5"/>
  <c r="AN476" i="5"/>
  <c r="AO476" i="5"/>
  <c r="AO475" i="5"/>
  <c r="AN475" i="5"/>
  <c r="AO359" i="5"/>
  <c r="AN359" i="5"/>
  <c r="AO287" i="5"/>
  <c r="AN287" i="5"/>
  <c r="AN234" i="5"/>
  <c r="AO234" i="5"/>
  <c r="AO176" i="5"/>
  <c r="AN176" i="5"/>
  <c r="AO108" i="5"/>
  <c r="AN108" i="5"/>
  <c r="AO20" i="5"/>
  <c r="AN20" i="5"/>
  <c r="AN328" i="5"/>
  <c r="AO328" i="5"/>
  <c r="AO474" i="5"/>
  <c r="AN474" i="5"/>
  <c r="AO340" i="5"/>
  <c r="AN340" i="5"/>
  <c r="AO335" i="5"/>
  <c r="AN335" i="5"/>
  <c r="AN157" i="5"/>
  <c r="AO157" i="5"/>
  <c r="AO221" i="5"/>
  <c r="AN221" i="5"/>
  <c r="AO147" i="5"/>
  <c r="AN147" i="5"/>
  <c r="AO70" i="5"/>
  <c r="AN70" i="5"/>
  <c r="AK9" i="5"/>
  <c r="AL9" i="5"/>
  <c r="AL298" i="5"/>
  <c r="AK298" i="5"/>
  <c r="AK522" i="5"/>
  <c r="AL522" i="5"/>
  <c r="AL520" i="5"/>
  <c r="AK520" i="5"/>
  <c r="AL410" i="5"/>
  <c r="AK410" i="5"/>
  <c r="AK370" i="5"/>
  <c r="AL370" i="5"/>
  <c r="AK280" i="5"/>
  <c r="AL280" i="5"/>
  <c r="AK231" i="5"/>
  <c r="AL231" i="5"/>
  <c r="AK131" i="5"/>
  <c r="AL131" i="5"/>
  <c r="AK70" i="5"/>
  <c r="AL70" i="5"/>
  <c r="AK486" i="5"/>
  <c r="AL486" i="5"/>
  <c r="AK191" i="5"/>
  <c r="AL191" i="5"/>
  <c r="AL279" i="5"/>
  <c r="AK279" i="5"/>
  <c r="AK466" i="5"/>
  <c r="AL466" i="5"/>
  <c r="AL343" i="5"/>
  <c r="AK343" i="5"/>
  <c r="AK212" i="5"/>
  <c r="AL212" i="5"/>
  <c r="AK326" i="5"/>
  <c r="AL326" i="5"/>
  <c r="AL210" i="5"/>
  <c r="AK210" i="5"/>
  <c r="AL136" i="5"/>
  <c r="AK136" i="5"/>
  <c r="AL62" i="5"/>
  <c r="AK62" i="5"/>
  <c r="AK449" i="5"/>
  <c r="AL449" i="5"/>
  <c r="AL551" i="5"/>
  <c r="AK551" i="5"/>
  <c r="AK536" i="5"/>
  <c r="AL536" i="5"/>
  <c r="AL438" i="5"/>
  <c r="AK438" i="5"/>
  <c r="AK400" i="5"/>
  <c r="AL400" i="5"/>
  <c r="AL319" i="5"/>
  <c r="AK319" i="5"/>
  <c r="AK284" i="5"/>
  <c r="AL284" i="5"/>
  <c r="AK124" i="5"/>
  <c r="AL124" i="5"/>
  <c r="AK161" i="5"/>
  <c r="AL161" i="5"/>
  <c r="AK66" i="5"/>
  <c r="AL66" i="5"/>
  <c r="AK367" i="5"/>
  <c r="AL367" i="5"/>
  <c r="AK35" i="5"/>
  <c r="AL35" i="5"/>
  <c r="AK534" i="5"/>
  <c r="AL534" i="5"/>
  <c r="AK436" i="5"/>
  <c r="AL436" i="5"/>
  <c r="AL398" i="5"/>
  <c r="AK398" i="5"/>
  <c r="AK316" i="5"/>
  <c r="AL316" i="5"/>
  <c r="AK278" i="5"/>
  <c r="AL278" i="5"/>
  <c r="AK207" i="5"/>
  <c r="AL207" i="5"/>
  <c r="AK158" i="5"/>
  <c r="AL158" i="5"/>
  <c r="AK61" i="5"/>
  <c r="AL61" i="5"/>
  <c r="AL338" i="5"/>
  <c r="AK338" i="5"/>
  <c r="AK507" i="5"/>
  <c r="AL507" i="5"/>
  <c r="AL485" i="5"/>
  <c r="AK485" i="5"/>
  <c r="AK519" i="5"/>
  <c r="AL519" i="5"/>
  <c r="AK354" i="5"/>
  <c r="AL354" i="5"/>
  <c r="AL282" i="5"/>
  <c r="AK282" i="5"/>
  <c r="AK233" i="5"/>
  <c r="AL233" i="5"/>
  <c r="AL170" i="5"/>
  <c r="AK170" i="5"/>
  <c r="AK120" i="5"/>
  <c r="AL120" i="5"/>
  <c r="AK45" i="5"/>
  <c r="AL45" i="5"/>
  <c r="AK333" i="5"/>
  <c r="AL333" i="5"/>
  <c r="AK383" i="5"/>
  <c r="AL383" i="5"/>
  <c r="AK417" i="5"/>
  <c r="AL417" i="5"/>
  <c r="AK461" i="5"/>
  <c r="AL461" i="5"/>
  <c r="AK412" i="5"/>
  <c r="AL412" i="5"/>
  <c r="AL320" i="5"/>
  <c r="AK320" i="5"/>
  <c r="AK193" i="5"/>
  <c r="AL193" i="5"/>
  <c r="AK159" i="5"/>
  <c r="AL159" i="5"/>
  <c r="AL109" i="5"/>
  <c r="AK109" i="5"/>
  <c r="AL43" i="5"/>
  <c r="AK43" i="5"/>
  <c r="AL560" i="5"/>
  <c r="AK560" i="5"/>
  <c r="AL414" i="5"/>
  <c r="AK414" i="5"/>
  <c r="AK453" i="5"/>
  <c r="AL453" i="5"/>
  <c r="AL408" i="5"/>
  <c r="AK408" i="5"/>
  <c r="AK315" i="5"/>
  <c r="AL315" i="5"/>
  <c r="AK192" i="5"/>
  <c r="AL192" i="5"/>
  <c r="AL139" i="5"/>
  <c r="AK139" i="5"/>
  <c r="AK104" i="5"/>
  <c r="AL104" i="5"/>
  <c r="AL37" i="5"/>
  <c r="AK37" i="5"/>
  <c r="AS335" i="10"/>
  <c r="AS366" i="10"/>
  <c r="AS412" i="10"/>
  <c r="AS398" i="10"/>
  <c r="AS430" i="10"/>
  <c r="AS378" i="10"/>
  <c r="AS270" i="10"/>
  <c r="AS37" i="10"/>
  <c r="AS223" i="10"/>
  <c r="AS152" i="10"/>
  <c r="AS182" i="10"/>
  <c r="AS309" i="10"/>
  <c r="AS402" i="10"/>
  <c r="AS555" i="10"/>
  <c r="AS42" i="10"/>
  <c r="AS227" i="10"/>
  <c r="AS156" i="10"/>
  <c r="AS186" i="10"/>
  <c r="AS313" i="10"/>
  <c r="AS406" i="10"/>
  <c r="AS24" i="10"/>
  <c r="AS41" i="10"/>
  <c r="AS119" i="10"/>
  <c r="AS192" i="10"/>
  <c r="AS222" i="10"/>
  <c r="AS349" i="10"/>
  <c r="AS395" i="10"/>
  <c r="AS49" i="10"/>
  <c r="AS79" i="10"/>
  <c r="AS155" i="10"/>
  <c r="AS225" i="10"/>
  <c r="AS257" i="10"/>
  <c r="AS254" i="10"/>
  <c r="AS433" i="10"/>
  <c r="AS89" i="10"/>
  <c r="AS177" i="10"/>
  <c r="AS191" i="10"/>
  <c r="AS263" i="10"/>
  <c r="AS293" i="10"/>
  <c r="AS290" i="10"/>
  <c r="AS468" i="10"/>
  <c r="AS28" i="10"/>
  <c r="AS82" i="10"/>
  <c r="AS280" i="10"/>
  <c r="AS299" i="10"/>
  <c r="AS327" i="10"/>
  <c r="AS326" i="10"/>
  <c r="AS474" i="10"/>
  <c r="AS113" i="10"/>
  <c r="AS118" i="10"/>
  <c r="AS80" i="10"/>
  <c r="AS196" i="10"/>
  <c r="AS371" i="10"/>
  <c r="AS362" i="10"/>
  <c r="AS469" i="10"/>
  <c r="AS467" i="10"/>
  <c r="AS534" i="10"/>
  <c r="AS442" i="10"/>
  <c r="AS527" i="10"/>
  <c r="AS453" i="10"/>
  <c r="AS511" i="10"/>
  <c r="AS452" i="10"/>
  <c r="AS517" i="10"/>
  <c r="AS438" i="10"/>
  <c r="AS513" i="10"/>
  <c r="AS413" i="10"/>
  <c r="AS508" i="10"/>
  <c r="AS9" i="10"/>
  <c r="AK11" i="10"/>
  <c r="AL11" i="10"/>
  <c r="AK218" i="10"/>
  <c r="AL218" i="10"/>
  <c r="AL110" i="10"/>
  <c r="AK110" i="10"/>
  <c r="AK356" i="10"/>
  <c r="AL356" i="10"/>
  <c r="AK343" i="10"/>
  <c r="AL343" i="10"/>
  <c r="AK424" i="10"/>
  <c r="AL424" i="10"/>
  <c r="AL421" i="10"/>
  <c r="AK421" i="10"/>
  <c r="AL23" i="10"/>
  <c r="AK23" i="10"/>
  <c r="AK44" i="10"/>
  <c r="AL44" i="10"/>
  <c r="AK85" i="10"/>
  <c r="AL85" i="10"/>
  <c r="AK447" i="10"/>
  <c r="AL447" i="10"/>
  <c r="AL227" i="10"/>
  <c r="AK227" i="10"/>
  <c r="AL502" i="10"/>
  <c r="AK502" i="10"/>
  <c r="AK27" i="10"/>
  <c r="AL27" i="10"/>
  <c r="AL190" i="10"/>
  <c r="AK190" i="10"/>
  <c r="AL271" i="10"/>
  <c r="AK271" i="10"/>
  <c r="AK168" i="10"/>
  <c r="AL168" i="10"/>
  <c r="AK209" i="10"/>
  <c r="AL209" i="10"/>
  <c r="AK512" i="10"/>
  <c r="AL512" i="10"/>
  <c r="AL505" i="10"/>
  <c r="AK505" i="10"/>
  <c r="AL194" i="10"/>
  <c r="AK194" i="10"/>
  <c r="AK274" i="10"/>
  <c r="AL274" i="10"/>
  <c r="AK371" i="10"/>
  <c r="AL371" i="10"/>
  <c r="AK381" i="10"/>
  <c r="AL381" i="10"/>
  <c r="AL260" i="10"/>
  <c r="AK260" i="10"/>
  <c r="AK301" i="10"/>
  <c r="AL301" i="10"/>
  <c r="AL45" i="10"/>
  <c r="AK45" i="10"/>
  <c r="AK162" i="10"/>
  <c r="AL162" i="10"/>
  <c r="AK556" i="10"/>
  <c r="AL556" i="10"/>
  <c r="AK455" i="10"/>
  <c r="AL455" i="10"/>
  <c r="AL523" i="10"/>
  <c r="AK523" i="10"/>
  <c r="AL83" i="10"/>
  <c r="AK83" i="10"/>
  <c r="AL191" i="10"/>
  <c r="AK191" i="10"/>
  <c r="AL128" i="10"/>
  <c r="AK128" i="10"/>
  <c r="AK169" i="10"/>
  <c r="AL169" i="10"/>
  <c r="AL479" i="10"/>
  <c r="AK479" i="10"/>
  <c r="AL489" i="10"/>
  <c r="AK489" i="10"/>
  <c r="AL150" i="10"/>
  <c r="AK150" i="10"/>
  <c r="AL251" i="10"/>
  <c r="AK251" i="10"/>
  <c r="AL360" i="10"/>
  <c r="AK360" i="10"/>
  <c r="AL373" i="10"/>
  <c r="AK373" i="10"/>
  <c r="AL252" i="10"/>
  <c r="AK252" i="10"/>
  <c r="AK293" i="10"/>
  <c r="AL293" i="10"/>
  <c r="AL37" i="10"/>
  <c r="AK37" i="10"/>
  <c r="AK75" i="10"/>
  <c r="AL75" i="10"/>
  <c r="AK540" i="10"/>
  <c r="AL540" i="10"/>
  <c r="AK444" i="10"/>
  <c r="AL444" i="10"/>
  <c r="AK515" i="10"/>
  <c r="AL515" i="10"/>
  <c r="AL62" i="10"/>
  <c r="AK62" i="10"/>
  <c r="AL175" i="10"/>
  <c r="AK175" i="10"/>
  <c r="AK120" i="10"/>
  <c r="AL120" i="10"/>
  <c r="AK161" i="10"/>
  <c r="AL161" i="10"/>
  <c r="AK436" i="10"/>
  <c r="AL436" i="10"/>
  <c r="AK470" i="10"/>
  <c r="AL470" i="10"/>
  <c r="AK107" i="10"/>
  <c r="AL107" i="10"/>
  <c r="AK230" i="10"/>
  <c r="AL230" i="10"/>
  <c r="AK350" i="10"/>
  <c r="AL350" i="10"/>
  <c r="AK365" i="10"/>
  <c r="AL365" i="10"/>
  <c r="AL244" i="10"/>
  <c r="AK244" i="10"/>
  <c r="AL285" i="10"/>
  <c r="AK285" i="10"/>
  <c r="AL29" i="10"/>
  <c r="AK29" i="10"/>
  <c r="AL549" i="10"/>
  <c r="AK549" i="10"/>
  <c r="AL524" i="10"/>
  <c r="AK524" i="10"/>
  <c r="AL434" i="10"/>
  <c r="AK434" i="10"/>
  <c r="AL507" i="10"/>
  <c r="AK507" i="10"/>
  <c r="AK42" i="10"/>
  <c r="AL42" i="10"/>
  <c r="AK159" i="10"/>
  <c r="AL159" i="10"/>
  <c r="AK112" i="10"/>
  <c r="AL112" i="10"/>
  <c r="AL153" i="10"/>
  <c r="AK153" i="10"/>
  <c r="U13" i="10"/>
  <c r="V13" i="10"/>
  <c r="AC13" i="10"/>
  <c r="AL166" i="10"/>
  <c r="AK166" i="10"/>
  <c r="AK318" i="10"/>
  <c r="AL318" i="10"/>
  <c r="AK341" i="10"/>
  <c r="AL341" i="10"/>
  <c r="AL220" i="10"/>
  <c r="AK220" i="10"/>
  <c r="AL261" i="10"/>
  <c r="AK261" i="10"/>
  <c r="AL259" i="10"/>
  <c r="AK259" i="10"/>
  <c r="AL443" i="10"/>
  <c r="AK443" i="10"/>
  <c r="AK474" i="10"/>
  <c r="AL474" i="10"/>
  <c r="AK402" i="10"/>
  <c r="AL402" i="10"/>
  <c r="AK483" i="10"/>
  <c r="AL483" i="10"/>
  <c r="AK465" i="10"/>
  <c r="AL465" i="10"/>
  <c r="AK111" i="10"/>
  <c r="AL111" i="10"/>
  <c r="AK88" i="10"/>
  <c r="AL88" i="10"/>
  <c r="AK129" i="10"/>
  <c r="AL129" i="10"/>
  <c r="AL226" i="10"/>
  <c r="AK226" i="10"/>
  <c r="AK384" i="10"/>
  <c r="AL384" i="10"/>
  <c r="AK546" i="10"/>
  <c r="AL546" i="10"/>
  <c r="AL146" i="10"/>
  <c r="AK146" i="10"/>
  <c r="AL304" i="10"/>
  <c r="AK304" i="10"/>
  <c r="AL333" i="10"/>
  <c r="AK333" i="10"/>
  <c r="AL212" i="10"/>
  <c r="AK212" i="10"/>
  <c r="AL253" i="10"/>
  <c r="AK253" i="10"/>
  <c r="AL90" i="10"/>
  <c r="AK90" i="10"/>
  <c r="AL400" i="10"/>
  <c r="AK400" i="10"/>
  <c r="AL452" i="10"/>
  <c r="AK452" i="10"/>
  <c r="AL391" i="10"/>
  <c r="AK391" i="10"/>
  <c r="AK472" i="10"/>
  <c r="AL472" i="10"/>
  <c r="AL457" i="10"/>
  <c r="AK457" i="10"/>
  <c r="AK95" i="10"/>
  <c r="AL95" i="10"/>
  <c r="AK80" i="10"/>
  <c r="AL80" i="10"/>
  <c r="AL121" i="10"/>
  <c r="AK121" i="10"/>
  <c r="AR13" i="10"/>
  <c r="AQ13" i="10"/>
  <c r="AN395" i="10"/>
  <c r="AO395" i="10"/>
  <c r="AO418" i="10"/>
  <c r="AN418" i="10"/>
  <c r="AN447" i="10"/>
  <c r="AO447" i="10"/>
  <c r="AO109" i="10"/>
  <c r="AN109" i="10"/>
  <c r="AN247" i="10"/>
  <c r="AO247" i="10"/>
  <c r="AN490" i="10"/>
  <c r="AO490" i="10"/>
  <c r="AO540" i="10"/>
  <c r="AN540" i="10"/>
  <c r="AO190" i="10"/>
  <c r="AN190" i="10"/>
  <c r="AO83" i="10"/>
  <c r="AN83" i="10"/>
  <c r="AO524" i="10"/>
  <c r="AN524" i="10"/>
  <c r="AO341" i="10"/>
  <c r="AN341" i="10"/>
  <c r="AO365" i="10"/>
  <c r="AN365" i="10"/>
  <c r="AO37" i="10"/>
  <c r="AN37" i="10"/>
  <c r="AH331" i="5"/>
  <c r="AP331" i="5"/>
  <c r="AI331" i="5"/>
  <c r="AH189" i="5"/>
  <c r="AI189" i="5"/>
  <c r="AP189" i="5"/>
  <c r="AI333" i="5"/>
  <c r="AH333" i="5"/>
  <c r="AP333" i="5"/>
  <c r="AI345" i="5"/>
  <c r="AH345" i="5"/>
  <c r="AP345" i="5"/>
  <c r="AI433" i="5"/>
  <c r="AH433" i="5"/>
  <c r="AP433" i="5"/>
  <c r="AI347" i="5"/>
  <c r="AP347" i="5"/>
  <c r="AH347" i="5"/>
  <c r="AI541" i="5"/>
  <c r="AH541" i="5"/>
  <c r="AP541" i="5"/>
  <c r="AP241" i="5"/>
  <c r="AH241" i="5"/>
  <c r="AI241" i="5"/>
  <c r="AH28" i="5"/>
  <c r="AP28" i="5"/>
  <c r="AI28" i="5"/>
  <c r="AH349" i="5"/>
  <c r="AI349" i="5"/>
  <c r="AP349" i="5"/>
  <c r="AI348" i="5"/>
  <c r="AH348" i="5"/>
  <c r="AP348" i="5"/>
  <c r="AR538" i="10"/>
  <c r="AQ538" i="10"/>
  <c r="AR517" i="10"/>
  <c r="AQ517" i="10"/>
  <c r="AQ200" i="10"/>
  <c r="AR200" i="10"/>
  <c r="AR320" i="10"/>
  <c r="AQ320" i="10"/>
  <c r="AR297" i="10"/>
  <c r="AQ297" i="10"/>
  <c r="AQ69" i="10"/>
  <c r="AR69" i="10"/>
  <c r="AQ434" i="10"/>
  <c r="AR434" i="10"/>
  <c r="AQ510" i="10"/>
  <c r="AR510" i="10"/>
  <c r="AR472" i="10"/>
  <c r="AQ472" i="10"/>
  <c r="AQ365" i="10"/>
  <c r="AR365" i="10"/>
  <c r="AR191" i="10"/>
  <c r="AQ191" i="10"/>
  <c r="AR392" i="10"/>
  <c r="AQ392" i="10"/>
  <c r="AR345" i="10"/>
  <c r="AQ345" i="10"/>
  <c r="AR161" i="10"/>
  <c r="AQ161" i="10"/>
  <c r="AQ485" i="10"/>
  <c r="AR485" i="10"/>
  <c r="AR8" i="10"/>
  <c r="AQ8" i="10"/>
  <c r="AN504" i="5"/>
  <c r="AO504" i="5"/>
  <c r="AO37" i="5"/>
  <c r="AN37" i="5"/>
  <c r="AN177" i="5"/>
  <c r="AO177" i="5"/>
  <c r="AO292" i="5"/>
  <c r="AN292" i="5"/>
  <c r="AO66" i="5"/>
  <c r="AN66" i="5"/>
  <c r="AN365" i="5"/>
  <c r="AO365" i="5"/>
  <c r="AO103" i="5"/>
  <c r="AN103" i="5"/>
  <c r="AO224" i="5"/>
  <c r="AN224" i="5"/>
  <c r="AO280" i="5"/>
  <c r="AN280" i="5"/>
  <c r="AO55" i="5"/>
  <c r="AN55" i="5"/>
  <c r="AO251" i="5"/>
  <c r="AN251" i="5"/>
  <c r="AO267" i="5"/>
  <c r="AN267" i="5"/>
  <c r="AN24" i="5"/>
  <c r="AO24" i="5"/>
  <c r="AK391" i="5"/>
  <c r="AL391" i="5"/>
  <c r="AL58" i="5"/>
  <c r="AK58" i="5"/>
  <c r="AL406" i="5"/>
  <c r="AK406" i="5"/>
  <c r="AK87" i="5"/>
  <c r="AL87" i="5"/>
  <c r="AL537" i="5"/>
  <c r="AK537" i="5"/>
  <c r="AK243" i="5"/>
  <c r="AL243" i="5"/>
  <c r="AK396" i="5"/>
  <c r="AL396" i="5"/>
  <c r="AL523" i="5"/>
  <c r="AK523" i="5"/>
  <c r="AL236" i="5"/>
  <c r="AK236" i="5"/>
  <c r="AL52" i="5"/>
  <c r="AK52" i="5"/>
  <c r="AL445" i="5"/>
  <c r="AK445" i="5"/>
  <c r="AK224" i="5"/>
  <c r="AL224" i="5"/>
  <c r="AK46" i="5"/>
  <c r="AL46" i="5"/>
  <c r="AK385" i="5"/>
  <c r="AL385" i="5"/>
  <c r="AL144" i="5"/>
  <c r="AK144" i="5"/>
  <c r="AL266" i="5"/>
  <c r="AK266" i="5"/>
  <c r="AL287" i="5"/>
  <c r="AK287" i="5"/>
  <c r="AK82" i="5"/>
  <c r="AL82" i="5"/>
  <c r="AS214" i="10"/>
  <c r="AS345" i="10"/>
  <c r="AS151" i="10"/>
  <c r="AS427" i="10"/>
  <c r="AS173" i="10"/>
  <c r="AS259" i="10"/>
  <c r="AS323" i="10"/>
  <c r="AS408" i="10"/>
  <c r="AU471" i="10"/>
  <c r="AT471" i="10"/>
  <c r="AV471" i="10"/>
  <c r="AS541" i="10"/>
  <c r="AV454" i="10"/>
  <c r="AS10" i="10"/>
  <c r="AK544" i="10"/>
  <c r="AL544" i="10"/>
  <c r="AL235" i="10"/>
  <c r="AK235" i="10"/>
  <c r="AL382" i="10"/>
  <c r="AK382" i="10"/>
  <c r="AL268" i="10"/>
  <c r="AK268" i="10"/>
  <c r="AL53" i="10"/>
  <c r="AK53" i="10"/>
  <c r="AK58" i="10"/>
  <c r="AL58" i="10"/>
  <c r="AK531" i="10"/>
  <c r="AL531" i="10"/>
  <c r="AL207" i="10"/>
  <c r="AK207" i="10"/>
  <c r="AK177" i="10"/>
  <c r="AL177" i="10"/>
  <c r="AK427" i="10"/>
  <c r="AL427" i="10"/>
  <c r="AL187" i="10"/>
  <c r="AK187" i="10"/>
  <c r="AL328" i="10"/>
  <c r="AK328" i="10"/>
  <c r="AL228" i="10"/>
  <c r="AK228" i="10"/>
  <c r="AL269" i="10"/>
  <c r="AK269" i="10"/>
  <c r="AK368" i="10"/>
  <c r="AL368" i="10"/>
  <c r="AL485" i="10"/>
  <c r="AK485" i="10"/>
  <c r="AL492" i="10"/>
  <c r="AK492" i="10"/>
  <c r="AL412" i="10"/>
  <c r="AK412" i="10"/>
  <c r="AL491" i="10"/>
  <c r="AK491" i="10"/>
  <c r="AK127" i="10"/>
  <c r="AL127" i="10"/>
  <c r="AL96" i="10"/>
  <c r="AK96" i="10"/>
  <c r="AL137" i="10"/>
  <c r="AK137" i="10"/>
  <c r="AK306" i="10"/>
  <c r="AL306" i="10"/>
  <c r="AK406" i="10"/>
  <c r="AL406" i="10"/>
  <c r="AK554" i="10"/>
  <c r="AL554" i="10"/>
  <c r="AO9" i="10"/>
  <c r="AN9" i="10"/>
  <c r="AO199" i="10"/>
  <c r="AN199" i="10"/>
  <c r="AO64" i="10"/>
  <c r="AN64" i="10"/>
  <c r="AN124" i="10"/>
  <c r="AO124" i="10"/>
  <c r="AN158" i="10"/>
  <c r="AO158" i="10"/>
  <c r="AO552" i="10"/>
  <c r="AN552" i="10"/>
  <c r="AN157" i="10"/>
  <c r="AO157" i="10"/>
  <c r="AN421" i="10"/>
  <c r="AO421" i="10"/>
  <c r="AO503" i="10"/>
  <c r="AN503" i="10"/>
  <c r="AO364" i="10"/>
  <c r="AN364" i="10"/>
  <c r="AO351" i="10"/>
  <c r="AN351" i="10"/>
  <c r="AO87" i="10"/>
  <c r="AN87" i="10"/>
  <c r="AN392" i="10"/>
  <c r="AO392" i="10"/>
  <c r="AN541" i="10"/>
  <c r="AO541" i="10"/>
  <c r="AO149" i="10"/>
  <c r="AN149" i="10"/>
  <c r="AN415" i="10"/>
  <c r="AO415" i="10"/>
  <c r="AN499" i="10"/>
  <c r="AO499" i="10"/>
  <c r="AO356" i="10"/>
  <c r="AN356" i="10"/>
  <c r="AN347" i="10"/>
  <c r="AO347" i="10"/>
  <c r="AO78" i="10"/>
  <c r="AN78" i="10"/>
  <c r="AN441" i="10"/>
  <c r="AO441" i="10"/>
  <c r="AN506" i="10"/>
  <c r="AO506" i="10"/>
  <c r="AO204" i="10"/>
  <c r="AN204" i="10"/>
  <c r="AO206" i="10"/>
  <c r="AN206" i="10"/>
  <c r="AO210" i="10"/>
  <c r="AN210" i="10"/>
  <c r="AN549" i="10"/>
  <c r="AO549" i="10"/>
  <c r="AN486" i="10"/>
  <c r="AO486" i="10"/>
  <c r="AN385" i="10"/>
  <c r="AO385" i="10"/>
  <c r="AO504" i="10"/>
  <c r="AN504" i="10"/>
  <c r="AO342" i="10"/>
  <c r="AN342" i="10"/>
  <c r="AN135" i="10"/>
  <c r="AO135" i="10"/>
  <c r="AN156" i="10"/>
  <c r="AO156" i="10"/>
  <c r="AN174" i="10"/>
  <c r="AO174" i="10"/>
  <c r="AO419" i="10"/>
  <c r="AN419" i="10"/>
  <c r="AN474" i="10"/>
  <c r="AO474" i="10"/>
  <c r="AO382" i="10"/>
  <c r="AN382" i="10"/>
  <c r="AO500" i="10"/>
  <c r="AN500" i="10"/>
  <c r="AN318" i="10"/>
  <c r="AO318" i="10"/>
  <c r="AO127" i="10"/>
  <c r="AN127" i="10"/>
  <c r="AO148" i="10"/>
  <c r="AN148" i="10"/>
  <c r="AN169" i="10"/>
  <c r="AO169" i="10"/>
  <c r="AN453" i="10"/>
  <c r="AO453" i="10"/>
  <c r="AN550" i="10"/>
  <c r="AO550" i="10"/>
  <c r="AN401" i="10"/>
  <c r="AO401" i="10"/>
  <c r="AO528" i="10"/>
  <c r="AN528" i="10"/>
  <c r="AN470" i="10"/>
  <c r="AO470" i="10"/>
  <c r="AO183" i="10"/>
  <c r="AN183" i="10"/>
  <c r="AN191" i="10"/>
  <c r="AO191" i="10"/>
  <c r="AO200" i="10"/>
  <c r="AN200" i="10"/>
  <c r="AN377" i="10"/>
  <c r="AO377" i="10"/>
  <c r="AO492" i="10"/>
  <c r="AN492" i="10"/>
  <c r="AO238" i="10"/>
  <c r="AN238" i="10"/>
  <c r="AO97" i="10"/>
  <c r="AN97" i="10"/>
  <c r="AN132" i="10"/>
  <c r="AO132" i="10"/>
  <c r="AO161" i="10"/>
  <c r="AN161" i="10"/>
  <c r="AO309" i="10"/>
  <c r="AN309" i="10"/>
  <c r="AN112" i="10"/>
  <c r="AO112" i="10"/>
  <c r="AN337" i="10"/>
  <c r="AO337" i="10"/>
  <c r="AO59" i="10"/>
  <c r="AN59" i="10"/>
  <c r="AN333" i="10"/>
  <c r="AO333" i="10"/>
  <c r="AN48" i="10"/>
  <c r="AO48" i="10"/>
  <c r="AN26" i="10"/>
  <c r="AO26" i="10"/>
  <c r="AO230" i="10"/>
  <c r="AN230" i="10"/>
  <c r="AN52" i="10"/>
  <c r="AO52" i="10"/>
  <c r="AO228" i="10"/>
  <c r="AN228" i="10"/>
  <c r="AN42" i="10"/>
  <c r="AO42" i="10"/>
  <c r="AO226" i="10"/>
  <c r="AN226" i="10"/>
  <c r="AN33" i="10"/>
  <c r="AO33" i="10"/>
  <c r="AO29" i="10"/>
  <c r="AN29" i="10"/>
  <c r="AH411" i="5"/>
  <c r="AI411" i="5"/>
  <c r="AP411" i="5"/>
  <c r="AI461" i="5"/>
  <c r="AH461" i="5"/>
  <c r="AP461" i="5"/>
  <c r="AI498" i="5"/>
  <c r="AP498" i="5"/>
  <c r="AH498" i="5"/>
  <c r="AI466" i="5"/>
  <c r="AH466" i="5"/>
  <c r="AP466" i="5"/>
  <c r="AH267" i="5"/>
  <c r="AP267" i="5"/>
  <c r="AI267" i="5"/>
  <c r="AP217" i="5"/>
  <c r="AI217" i="5"/>
  <c r="AH217" i="5"/>
  <c r="AH54" i="5"/>
  <c r="AI54" i="5"/>
  <c r="AP54" i="5"/>
  <c r="AH88" i="5"/>
  <c r="AI88" i="5"/>
  <c r="AP88" i="5"/>
  <c r="AI473" i="5"/>
  <c r="AH473" i="5"/>
  <c r="AP473" i="5"/>
  <c r="AI425" i="5"/>
  <c r="AP425" i="5"/>
  <c r="AH425" i="5"/>
  <c r="AP410" i="5"/>
  <c r="AI410" i="5"/>
  <c r="AH410" i="5"/>
  <c r="AH278" i="5"/>
  <c r="AI278" i="5"/>
  <c r="AP278" i="5"/>
  <c r="AH71" i="5"/>
  <c r="AI71" i="5"/>
  <c r="AP71" i="5"/>
  <c r="AI432" i="5"/>
  <c r="AH432" i="5"/>
  <c r="AP432" i="5"/>
  <c r="AH480" i="5"/>
  <c r="AP480" i="5"/>
  <c r="AI480" i="5"/>
  <c r="AI450" i="5"/>
  <c r="AH450" i="5"/>
  <c r="AP450" i="5"/>
  <c r="AI437" i="5"/>
  <c r="AH437" i="5"/>
  <c r="AP437" i="5"/>
  <c r="AP191" i="5"/>
  <c r="AI191" i="5"/>
  <c r="AH191" i="5"/>
  <c r="AI51" i="5"/>
  <c r="AP51" i="5"/>
  <c r="AH51" i="5"/>
  <c r="AH230" i="5"/>
  <c r="AI230" i="5"/>
  <c r="AP230" i="5"/>
  <c r="AH554" i="5"/>
  <c r="AP554" i="5"/>
  <c r="AI554" i="5"/>
  <c r="AI490" i="5"/>
  <c r="AP490" i="5"/>
  <c r="AH490" i="5"/>
  <c r="AI385" i="5"/>
  <c r="AP385" i="5"/>
  <c r="AH385" i="5"/>
  <c r="AI281" i="5"/>
  <c r="AH281" i="5"/>
  <c r="AP281" i="5"/>
  <c r="AH173" i="5"/>
  <c r="AI173" i="5"/>
  <c r="AP173" i="5"/>
  <c r="AH559" i="5"/>
  <c r="AP559" i="5"/>
  <c r="AI559" i="5"/>
  <c r="AI540" i="5"/>
  <c r="AH540" i="5"/>
  <c r="AP540" i="5"/>
  <c r="AH452" i="5"/>
  <c r="AP452" i="5"/>
  <c r="AI452" i="5"/>
  <c r="AH350" i="5"/>
  <c r="AP350" i="5"/>
  <c r="AI350" i="5"/>
  <c r="AP374" i="5"/>
  <c r="AI374" i="5"/>
  <c r="AH374" i="5"/>
  <c r="AH154" i="5"/>
  <c r="AP154" i="5"/>
  <c r="AI154" i="5"/>
  <c r="AI534" i="5"/>
  <c r="AP534" i="5"/>
  <c r="AH534" i="5"/>
  <c r="AI544" i="5"/>
  <c r="AP544" i="5"/>
  <c r="AH544" i="5"/>
  <c r="AI380" i="5"/>
  <c r="AP380" i="5"/>
  <c r="AH380" i="5"/>
  <c r="AH370" i="5"/>
  <c r="AI370" i="5"/>
  <c r="AP370" i="5"/>
  <c r="AH396" i="5"/>
  <c r="AI396" i="5"/>
  <c r="AP396" i="5"/>
  <c r="AH219" i="5"/>
  <c r="AI219" i="5"/>
  <c r="AP219" i="5"/>
  <c r="AP83" i="5"/>
  <c r="AH83" i="5"/>
  <c r="AI83" i="5"/>
  <c r="AI324" i="5"/>
  <c r="AP324" i="5"/>
  <c r="AH324" i="5"/>
  <c r="AI482" i="5"/>
  <c r="AP482" i="5"/>
  <c r="AH482" i="5"/>
  <c r="AP442" i="5"/>
  <c r="AI442" i="5"/>
  <c r="AH442" i="5"/>
  <c r="AP339" i="5"/>
  <c r="AI339" i="5"/>
  <c r="AH339" i="5"/>
  <c r="AI297" i="5"/>
  <c r="AH297" i="5"/>
  <c r="AP297" i="5"/>
  <c r="AI156" i="5"/>
  <c r="AP156" i="5"/>
  <c r="AH156" i="5"/>
  <c r="AH174" i="5"/>
  <c r="AI174" i="5"/>
  <c r="AP174" i="5"/>
  <c r="AH320" i="5"/>
  <c r="AP320" i="5"/>
  <c r="AI320" i="5"/>
  <c r="AI208" i="5"/>
  <c r="AP208" i="5"/>
  <c r="AH208" i="5"/>
  <c r="AH120" i="5"/>
  <c r="AP120" i="5"/>
  <c r="AI120" i="5"/>
  <c r="AH59" i="5"/>
  <c r="AP59" i="5"/>
  <c r="AI59" i="5"/>
  <c r="AI166" i="5"/>
  <c r="AH166" i="5"/>
  <c r="AP166" i="5"/>
  <c r="AP178" i="5"/>
  <c r="AH178" i="5"/>
  <c r="AI178" i="5"/>
  <c r="AH97" i="5"/>
  <c r="AI97" i="5"/>
  <c r="AP97" i="5"/>
  <c r="AI30" i="5"/>
  <c r="AH30" i="5"/>
  <c r="AP30" i="5"/>
  <c r="AI261" i="5"/>
  <c r="AP261" i="5"/>
  <c r="AH261" i="5"/>
  <c r="AH240" i="5"/>
  <c r="AP240" i="5"/>
  <c r="AI240" i="5"/>
  <c r="AH182" i="5"/>
  <c r="AP182" i="5"/>
  <c r="AI182" i="5"/>
  <c r="AP100" i="5"/>
  <c r="AH100" i="5"/>
  <c r="AI100" i="5"/>
  <c r="AP34" i="5"/>
  <c r="AH34" i="5"/>
  <c r="AI34" i="5"/>
  <c r="AI323" i="5"/>
  <c r="AH323" i="5"/>
  <c r="AP323" i="5"/>
  <c r="AI277" i="5"/>
  <c r="AH277" i="5"/>
  <c r="AP277" i="5"/>
  <c r="AH186" i="5"/>
  <c r="AI186" i="5"/>
  <c r="AP186" i="5"/>
  <c r="AH124" i="5"/>
  <c r="AI124" i="5"/>
  <c r="AP124" i="5"/>
  <c r="AH61" i="5"/>
  <c r="AI61" i="5"/>
  <c r="AP61" i="5"/>
  <c r="AP318" i="5"/>
  <c r="AI318" i="5"/>
  <c r="AH318" i="5"/>
  <c r="AH274" i="5"/>
  <c r="AP274" i="5"/>
  <c r="AI274" i="5"/>
  <c r="AH185" i="5"/>
  <c r="AI185" i="5"/>
  <c r="AP185" i="5"/>
  <c r="AI104" i="5"/>
  <c r="AH104" i="5"/>
  <c r="AP104" i="5"/>
  <c r="AH57" i="5"/>
  <c r="AP57" i="5"/>
  <c r="AI57" i="5"/>
  <c r="AR62" i="10"/>
  <c r="AQ62" i="10"/>
  <c r="AR268" i="10"/>
  <c r="AQ268" i="10"/>
  <c r="AQ124" i="10"/>
  <c r="AR124" i="10"/>
  <c r="AQ121" i="10"/>
  <c r="AR121" i="10"/>
  <c r="AR22" i="10"/>
  <c r="AQ22" i="10"/>
  <c r="AR530" i="10"/>
  <c r="AQ530" i="10"/>
  <c r="AR454" i="10"/>
  <c r="AQ454" i="10"/>
  <c r="AQ84" i="10"/>
  <c r="AR84" i="10"/>
  <c r="AR482" i="10"/>
  <c r="AQ482" i="10"/>
  <c r="AQ74" i="10"/>
  <c r="AR74" i="10"/>
  <c r="AQ438" i="10"/>
  <c r="AR438" i="10"/>
  <c r="AR45" i="10"/>
  <c r="AQ45" i="10"/>
  <c r="AR165" i="10"/>
  <c r="AQ165" i="10"/>
  <c r="AR431" i="10"/>
  <c r="AQ431" i="10"/>
  <c r="AR129" i="10"/>
  <c r="AQ129" i="10"/>
  <c r="AR247" i="10"/>
  <c r="AQ247" i="10"/>
  <c r="AQ366" i="10"/>
  <c r="AR366" i="10"/>
  <c r="AQ179" i="10"/>
  <c r="AR179" i="10"/>
  <c r="AQ477" i="10"/>
  <c r="AR477" i="10"/>
  <c r="AR127" i="10"/>
  <c r="AQ127" i="10"/>
  <c r="AQ294" i="10"/>
  <c r="AR294" i="10"/>
  <c r="AR237" i="10"/>
  <c r="AQ237" i="10"/>
  <c r="AQ330" i="10"/>
  <c r="AR330" i="10"/>
  <c r="AR391" i="10"/>
  <c r="AQ391" i="10"/>
  <c r="AQ79" i="10"/>
  <c r="AR79" i="10"/>
  <c r="AQ386" i="10"/>
  <c r="AR386" i="10"/>
  <c r="AQ503" i="10"/>
  <c r="AR503" i="10"/>
  <c r="AR313" i="10"/>
  <c r="AQ313" i="10"/>
  <c r="AR21" i="10"/>
  <c r="AQ21" i="10"/>
  <c r="AR205" i="10"/>
  <c r="AQ205" i="10"/>
  <c r="AR467" i="10"/>
  <c r="AQ467" i="10"/>
  <c r="AR98" i="10"/>
  <c r="AQ98" i="10"/>
  <c r="AQ347" i="10"/>
  <c r="AR347" i="10"/>
  <c r="AR451" i="10"/>
  <c r="AQ451" i="10"/>
  <c r="AR147" i="10"/>
  <c r="AQ147" i="10"/>
  <c r="AR501" i="10"/>
  <c r="AQ501" i="10"/>
  <c r="AQ92" i="10"/>
  <c r="AR92" i="10"/>
  <c r="AR110" i="10"/>
  <c r="AQ110" i="10"/>
  <c r="AQ371" i="10"/>
  <c r="AR371" i="10"/>
  <c r="AQ356" i="10"/>
  <c r="AR356" i="10"/>
  <c r="AQ437" i="10"/>
  <c r="AR437" i="10"/>
  <c r="AR60" i="10"/>
  <c r="AQ60" i="10"/>
  <c r="AQ358" i="10"/>
  <c r="AR358" i="10"/>
  <c r="AQ496" i="10"/>
  <c r="AR496" i="10"/>
  <c r="AR364" i="10"/>
  <c r="AQ364" i="10"/>
  <c r="AR40" i="10"/>
  <c r="AQ40" i="10"/>
  <c r="AQ214" i="10"/>
  <c r="AR214" i="10"/>
  <c r="AR475" i="10"/>
  <c r="AQ475" i="10"/>
  <c r="AR68" i="10"/>
  <c r="AQ68" i="10"/>
  <c r="AQ118" i="10"/>
  <c r="AR118" i="10"/>
  <c r="AQ301" i="10"/>
  <c r="AR301" i="10"/>
  <c r="AR308" i="10"/>
  <c r="AQ308" i="10"/>
  <c r="AR406" i="10"/>
  <c r="AQ406" i="10"/>
  <c r="AR89" i="10"/>
  <c r="AQ89" i="10"/>
  <c r="AQ342" i="10"/>
  <c r="AR342" i="10"/>
  <c r="AR411" i="10"/>
  <c r="AQ411" i="10"/>
  <c r="AQ328" i="10"/>
  <c r="AR328" i="10"/>
  <c r="AQ162" i="10"/>
  <c r="AR162" i="10"/>
  <c r="AQ222" i="10"/>
  <c r="AR222" i="10"/>
  <c r="AR514" i="10"/>
  <c r="AQ514" i="10"/>
  <c r="AQ59" i="10"/>
  <c r="AR59" i="10"/>
  <c r="AR227" i="10"/>
  <c r="AQ227" i="10"/>
  <c r="AQ231" i="10"/>
  <c r="AR231" i="10"/>
  <c r="AR80" i="10"/>
  <c r="AQ80" i="10"/>
  <c r="AR458" i="10"/>
  <c r="AQ458" i="10"/>
  <c r="AR28" i="10"/>
  <c r="AQ28" i="10"/>
  <c r="AR126" i="10"/>
  <c r="AQ126" i="10"/>
  <c r="AQ389" i="10"/>
  <c r="AR389" i="10"/>
  <c r="AR19" i="10"/>
  <c r="AQ19" i="10"/>
  <c r="AN502" i="5"/>
  <c r="AO502" i="5"/>
  <c r="AO216" i="5"/>
  <c r="AN216" i="5"/>
  <c r="AN511" i="5"/>
  <c r="AO511" i="5"/>
  <c r="AO120" i="5"/>
  <c r="AN120" i="5"/>
  <c r="AO364" i="5"/>
  <c r="AN364" i="5"/>
  <c r="AO400" i="5"/>
  <c r="AN400" i="5"/>
  <c r="AN336" i="5"/>
  <c r="AO336" i="5"/>
  <c r="AO553" i="5"/>
  <c r="AN553" i="5"/>
  <c r="AN333" i="5"/>
  <c r="AO333" i="5"/>
  <c r="AO381" i="5"/>
  <c r="AN381" i="5"/>
  <c r="AN254" i="5"/>
  <c r="AO254" i="5"/>
  <c r="AN542" i="5"/>
  <c r="AO542" i="5"/>
  <c r="AO245" i="5"/>
  <c r="AN245" i="5"/>
  <c r="AN317" i="5"/>
  <c r="AO317" i="5"/>
  <c r="AN214" i="5"/>
  <c r="AO214" i="5"/>
  <c r="AO101" i="5"/>
  <c r="AN101" i="5"/>
  <c r="AO76" i="5"/>
  <c r="AN76" i="5"/>
  <c r="AO8" i="5"/>
  <c r="AN8" i="5"/>
  <c r="AN520" i="5"/>
  <c r="AO520" i="5"/>
  <c r="AN427" i="5"/>
  <c r="AO427" i="5"/>
  <c r="AN209" i="5"/>
  <c r="AO209" i="5"/>
  <c r="AN346" i="5"/>
  <c r="AO346" i="5"/>
  <c r="AO285" i="5"/>
  <c r="AN285" i="5"/>
  <c r="AO130" i="5"/>
  <c r="AN130" i="5"/>
  <c r="AO112" i="5"/>
  <c r="AN112" i="5"/>
  <c r="AO48" i="5"/>
  <c r="AN48" i="5"/>
  <c r="AO550" i="5"/>
  <c r="AN550" i="5"/>
  <c r="AO455" i="5"/>
  <c r="AN455" i="5"/>
  <c r="AO458" i="5"/>
  <c r="AN458" i="5"/>
  <c r="AN304" i="5"/>
  <c r="AO304" i="5"/>
  <c r="AO263" i="5"/>
  <c r="AN263" i="5"/>
  <c r="AN199" i="5"/>
  <c r="AO199" i="5"/>
  <c r="AO159" i="5"/>
  <c r="AN159" i="5"/>
  <c r="AO97" i="5"/>
  <c r="AN97" i="5"/>
  <c r="AO26" i="5"/>
  <c r="AN26" i="5"/>
  <c r="AN510" i="5"/>
  <c r="AO510" i="5"/>
  <c r="AO412" i="5"/>
  <c r="AN412" i="5"/>
  <c r="AO418" i="5"/>
  <c r="AN418" i="5"/>
  <c r="AO343" i="5"/>
  <c r="AN343" i="5"/>
  <c r="AN281" i="5"/>
  <c r="AO281" i="5"/>
  <c r="AN203" i="5"/>
  <c r="AO203" i="5"/>
  <c r="AO106" i="5"/>
  <c r="AN106" i="5"/>
  <c r="AO28" i="5"/>
  <c r="AN28" i="5"/>
  <c r="AO509" i="5"/>
  <c r="AN509" i="5"/>
  <c r="AO403" i="5"/>
  <c r="AN403" i="5"/>
  <c r="AN417" i="5"/>
  <c r="AO417" i="5"/>
  <c r="AO339" i="5"/>
  <c r="AN339" i="5"/>
  <c r="AN279" i="5"/>
  <c r="AO279" i="5"/>
  <c r="AN201" i="5"/>
  <c r="AO201" i="5"/>
  <c r="AO100" i="5"/>
  <c r="AN100" i="5"/>
  <c r="AN21" i="5"/>
  <c r="AO21" i="5"/>
  <c r="AO560" i="5"/>
  <c r="AN560" i="5"/>
  <c r="AO396" i="5"/>
  <c r="AN396" i="5"/>
  <c r="AO415" i="5"/>
  <c r="AN415" i="5"/>
  <c r="AN423" i="5"/>
  <c r="AO423" i="5"/>
  <c r="AO331" i="5"/>
  <c r="AN331" i="5"/>
  <c r="AO222" i="5"/>
  <c r="AN222" i="5"/>
  <c r="AO160" i="5"/>
  <c r="AN160" i="5"/>
  <c r="AO82" i="5"/>
  <c r="AN82" i="5"/>
  <c r="AO537" i="5"/>
  <c r="AN537" i="5"/>
  <c r="AO505" i="5"/>
  <c r="AN505" i="5"/>
  <c r="AO394" i="5"/>
  <c r="AN394" i="5"/>
  <c r="AN408" i="5"/>
  <c r="AO408" i="5"/>
  <c r="AN332" i="5"/>
  <c r="AO332" i="5"/>
  <c r="AO274" i="5"/>
  <c r="AN274" i="5"/>
  <c r="AO197" i="5"/>
  <c r="AN197" i="5"/>
  <c r="AN81" i="5"/>
  <c r="AO81" i="5"/>
  <c r="AO68" i="5"/>
  <c r="AN68" i="5"/>
  <c r="AK550" i="5"/>
  <c r="AL550" i="5"/>
  <c r="AL105" i="5"/>
  <c r="AK105" i="5"/>
  <c r="AL285" i="5"/>
  <c r="AK285" i="5"/>
  <c r="AK469" i="5"/>
  <c r="AL469" i="5"/>
  <c r="AK362" i="5"/>
  <c r="AL362" i="5"/>
  <c r="AK246" i="5"/>
  <c r="AL246" i="5"/>
  <c r="AK329" i="5"/>
  <c r="AL329" i="5"/>
  <c r="AK214" i="5"/>
  <c r="AL214" i="5"/>
  <c r="AL141" i="5"/>
  <c r="AK141" i="5"/>
  <c r="AL65" i="5"/>
  <c r="AK65" i="5"/>
  <c r="AK521" i="5"/>
  <c r="AL521" i="5"/>
  <c r="AK72" i="5"/>
  <c r="AL72" i="5"/>
  <c r="AL496" i="5"/>
  <c r="AK496" i="5"/>
  <c r="AL288" i="5"/>
  <c r="AK288" i="5"/>
  <c r="AK366" i="5"/>
  <c r="AL366" i="5"/>
  <c r="AL292" i="5"/>
  <c r="AK292" i="5"/>
  <c r="AL247" i="5"/>
  <c r="AK247" i="5"/>
  <c r="AK184" i="5"/>
  <c r="AL184" i="5"/>
  <c r="AK128" i="5"/>
  <c r="AL128" i="5"/>
  <c r="AK69" i="5"/>
  <c r="AL69" i="5"/>
  <c r="AK346" i="5"/>
  <c r="AL346" i="5"/>
  <c r="AK531" i="5"/>
  <c r="AL531" i="5"/>
  <c r="AL456" i="5"/>
  <c r="AK456" i="5"/>
  <c r="AK495" i="5"/>
  <c r="AL495" i="5"/>
  <c r="AL318" i="5"/>
  <c r="AK318" i="5"/>
  <c r="AK260" i="5"/>
  <c r="AL260" i="5"/>
  <c r="AK229" i="5"/>
  <c r="AL229" i="5"/>
  <c r="AL178" i="5"/>
  <c r="AK178" i="5"/>
  <c r="AK103" i="5"/>
  <c r="AL103" i="5"/>
  <c r="AL24" i="5"/>
  <c r="AK24" i="5"/>
  <c r="AK371" i="5"/>
  <c r="AL371" i="5"/>
  <c r="AK525" i="5"/>
  <c r="AL525" i="5"/>
  <c r="AK448" i="5"/>
  <c r="AL448" i="5"/>
  <c r="AK492" i="5"/>
  <c r="AL492" i="5"/>
  <c r="AK274" i="5"/>
  <c r="AL274" i="5"/>
  <c r="AL258" i="5"/>
  <c r="AK258" i="5"/>
  <c r="AK227" i="5"/>
  <c r="AL227" i="5"/>
  <c r="AK173" i="5"/>
  <c r="AL173" i="5"/>
  <c r="AL97" i="5"/>
  <c r="AK97" i="5"/>
  <c r="AL21" i="5"/>
  <c r="AK21" i="5"/>
  <c r="AL299" i="5"/>
  <c r="AK299" i="5"/>
  <c r="AK447" i="5"/>
  <c r="AL447" i="5"/>
  <c r="AL421" i="5"/>
  <c r="AK421" i="5"/>
  <c r="AK465" i="5"/>
  <c r="AL465" i="5"/>
  <c r="AL413" i="5"/>
  <c r="AK413" i="5"/>
  <c r="AK322" i="5"/>
  <c r="AL322" i="5"/>
  <c r="AK198" i="5"/>
  <c r="AL198" i="5"/>
  <c r="AL164" i="5"/>
  <c r="AK164" i="5"/>
  <c r="AK84" i="5"/>
  <c r="AL84" i="5"/>
  <c r="AK48" i="5"/>
  <c r="AL48" i="5"/>
  <c r="AL218" i="5"/>
  <c r="AK218" i="5"/>
  <c r="AL556" i="5"/>
  <c r="AK556" i="5"/>
  <c r="AK508" i="5"/>
  <c r="AL508" i="5"/>
  <c r="AK401" i="5"/>
  <c r="AL401" i="5"/>
  <c r="AK356" i="5"/>
  <c r="AL356" i="5"/>
  <c r="AL257" i="5"/>
  <c r="AK257" i="5"/>
  <c r="AK167" i="5"/>
  <c r="AL167" i="5"/>
  <c r="AK110" i="5"/>
  <c r="AL110" i="5"/>
  <c r="AL74" i="5"/>
  <c r="AK74" i="5"/>
  <c r="AK113" i="5"/>
  <c r="AL113" i="5"/>
  <c r="AL559" i="5"/>
  <c r="AK559" i="5"/>
  <c r="AK503" i="5"/>
  <c r="AL503" i="5"/>
  <c r="AL397" i="5"/>
  <c r="AK397" i="5"/>
  <c r="AK350" i="5"/>
  <c r="AL350" i="5"/>
  <c r="AK255" i="5"/>
  <c r="AL255" i="5"/>
  <c r="AL244" i="5"/>
  <c r="AK244" i="5"/>
  <c r="AL108" i="5"/>
  <c r="AK108" i="5"/>
  <c r="AK73" i="5"/>
  <c r="AL73" i="5"/>
  <c r="AK7" i="5"/>
  <c r="AL7" i="5"/>
  <c r="AS458" i="10"/>
  <c r="AS373" i="10"/>
  <c r="AS256" i="10"/>
  <c r="AS275" i="10"/>
  <c r="AS305" i="10"/>
  <c r="AS189" i="10"/>
  <c r="AS21" i="10"/>
  <c r="AS65" i="10"/>
  <c r="AS143" i="10"/>
  <c r="AS213" i="10"/>
  <c r="AS245" i="10"/>
  <c r="AS382" i="10"/>
  <c r="AS419" i="10"/>
  <c r="AS27" i="10"/>
  <c r="AS67" i="10"/>
  <c r="AS147" i="10"/>
  <c r="AS217" i="10"/>
  <c r="AS249" i="10"/>
  <c r="AS246" i="10"/>
  <c r="AS423" i="10"/>
  <c r="AS81" i="10"/>
  <c r="AS169" i="10"/>
  <c r="AS183" i="10"/>
  <c r="AS255" i="10"/>
  <c r="AS285" i="10"/>
  <c r="AS282" i="10"/>
  <c r="AS460" i="10"/>
  <c r="AS30" i="10"/>
  <c r="AS74" i="10"/>
  <c r="AS272" i="10"/>
  <c r="AS291" i="10"/>
  <c r="AS319" i="10"/>
  <c r="AS318" i="10"/>
  <c r="AS435" i="10"/>
  <c r="AS105" i="10"/>
  <c r="AS110" i="10"/>
  <c r="AS72" i="10"/>
  <c r="AS372" i="10"/>
  <c r="AS355" i="10"/>
  <c r="AS354" i="10"/>
  <c r="AS501" i="10"/>
  <c r="AS141" i="10"/>
  <c r="AS146" i="10"/>
  <c r="AS108" i="10"/>
  <c r="AS224" i="10"/>
  <c r="AS320" i="10"/>
  <c r="AS404" i="10"/>
  <c r="AS521" i="10"/>
  <c r="AS32" i="10"/>
  <c r="AS215" i="10"/>
  <c r="AS144" i="10"/>
  <c r="AS174" i="10"/>
  <c r="AS356" i="10"/>
  <c r="AS394" i="10"/>
  <c r="AS540" i="10"/>
  <c r="AS465" i="10"/>
  <c r="AS553" i="10"/>
  <c r="AS472" i="10"/>
  <c r="AS539" i="10"/>
  <c r="AS475" i="10"/>
  <c r="AS545" i="10"/>
  <c r="AS450" i="10"/>
  <c r="AS516" i="10"/>
  <c r="AS462" i="10"/>
  <c r="AS522" i="10"/>
  <c r="AS482" i="10"/>
  <c r="AS495" i="10"/>
  <c r="AL10" i="10"/>
  <c r="AK10" i="10"/>
  <c r="AL394" i="10"/>
  <c r="AK394" i="10"/>
  <c r="AL448" i="10"/>
  <c r="AK448" i="10"/>
  <c r="AK66" i="10"/>
  <c r="AL66" i="10"/>
  <c r="AL210" i="10"/>
  <c r="AK210" i="10"/>
  <c r="AL339" i="10"/>
  <c r="AK339" i="10"/>
  <c r="AL357" i="10"/>
  <c r="AK357" i="10"/>
  <c r="AK236" i="10"/>
  <c r="AL236" i="10"/>
  <c r="AK277" i="10"/>
  <c r="AL277" i="10"/>
  <c r="AL21" i="10"/>
  <c r="AK21" i="10"/>
  <c r="AL517" i="10"/>
  <c r="AK517" i="10"/>
  <c r="AL508" i="10"/>
  <c r="AK508" i="10"/>
  <c r="AK423" i="10"/>
  <c r="AL423" i="10"/>
  <c r="AL499" i="10"/>
  <c r="AK499" i="10"/>
  <c r="AL481" i="10"/>
  <c r="AK481" i="10"/>
  <c r="AK143" i="10"/>
  <c r="AL143" i="10"/>
  <c r="AK104" i="10"/>
  <c r="AL104" i="10"/>
  <c r="AK145" i="10"/>
  <c r="AL145" i="10"/>
  <c r="AK54" i="10"/>
  <c r="AL54" i="10"/>
  <c r="AL342" i="10"/>
  <c r="AK342" i="10"/>
  <c r="AK530" i="10"/>
  <c r="AL530" i="10"/>
  <c r="AK102" i="10"/>
  <c r="AL102" i="10"/>
  <c r="AK266" i="10"/>
  <c r="AL266" i="10"/>
  <c r="AL317" i="10"/>
  <c r="AK317" i="10"/>
  <c r="AK196" i="10"/>
  <c r="AL196" i="10"/>
  <c r="AL237" i="10"/>
  <c r="AK237" i="10"/>
  <c r="AL300" i="10"/>
  <c r="AK300" i="10"/>
  <c r="AL315" i="10"/>
  <c r="AK315" i="10"/>
  <c r="AK410" i="10"/>
  <c r="AL410" i="10"/>
  <c r="AK370" i="10"/>
  <c r="AL370" i="10"/>
  <c r="AL451" i="10"/>
  <c r="AK451" i="10"/>
  <c r="AK441" i="10"/>
  <c r="AL441" i="10"/>
  <c r="AK63" i="10"/>
  <c r="AL63" i="10"/>
  <c r="AL64" i="10"/>
  <c r="AK64" i="10"/>
  <c r="AL105" i="10"/>
  <c r="AK105" i="10"/>
  <c r="AK536" i="10"/>
  <c r="AL536" i="10"/>
  <c r="AK320" i="10"/>
  <c r="AL320" i="10"/>
  <c r="AK522" i="10"/>
  <c r="AL522" i="10"/>
  <c r="AK82" i="10"/>
  <c r="AL82" i="10"/>
  <c r="AK243" i="10"/>
  <c r="AL243" i="10"/>
  <c r="AK307" i="10"/>
  <c r="AL307" i="10"/>
  <c r="AL188" i="10"/>
  <c r="AK188" i="10"/>
  <c r="AL229" i="10"/>
  <c r="AK229" i="10"/>
  <c r="AL509" i="10"/>
  <c r="AK509" i="10"/>
  <c r="AK238" i="10"/>
  <c r="AL238" i="10"/>
  <c r="AK388" i="10"/>
  <c r="AL388" i="10"/>
  <c r="AK359" i="10"/>
  <c r="AL359" i="10"/>
  <c r="AL440" i="10"/>
  <c r="AK440" i="10"/>
  <c r="AK433" i="10"/>
  <c r="AL433" i="10"/>
  <c r="AL47" i="10"/>
  <c r="AK47" i="10"/>
  <c r="AK56" i="10"/>
  <c r="AL56" i="10"/>
  <c r="AK97" i="10"/>
  <c r="AL97" i="10"/>
  <c r="AL504" i="10"/>
  <c r="AK504" i="10"/>
  <c r="AK291" i="10"/>
  <c r="AL291" i="10"/>
  <c r="AL514" i="10"/>
  <c r="AK514" i="10"/>
  <c r="AL59" i="10"/>
  <c r="AK59" i="10"/>
  <c r="AK222" i="10"/>
  <c r="AL222" i="10"/>
  <c r="AK295" i="10"/>
  <c r="AL295" i="10"/>
  <c r="AL180" i="10"/>
  <c r="AK180" i="10"/>
  <c r="AK221" i="10"/>
  <c r="AL221" i="10"/>
  <c r="AL347" i="10"/>
  <c r="AK347" i="10"/>
  <c r="AL154" i="10"/>
  <c r="AK154" i="10"/>
  <c r="AL367" i="10"/>
  <c r="AK367" i="10"/>
  <c r="AK348" i="10"/>
  <c r="AL348" i="10"/>
  <c r="AL430" i="10"/>
  <c r="AK430" i="10"/>
  <c r="AL425" i="10"/>
  <c r="AK425" i="10"/>
  <c r="AK31" i="10"/>
  <c r="AL31" i="10"/>
  <c r="AL48" i="10"/>
  <c r="AK48" i="10"/>
  <c r="AK89" i="10"/>
  <c r="AL89" i="10"/>
  <c r="AO13" i="10"/>
  <c r="AN13" i="10"/>
  <c r="AO488" i="10"/>
  <c r="AN488" i="10"/>
  <c r="AN535" i="10"/>
  <c r="AO535" i="10"/>
  <c r="AO259" i="10"/>
  <c r="AN259" i="10"/>
  <c r="AO121" i="10"/>
  <c r="AN121" i="10"/>
  <c r="AN406" i="10"/>
  <c r="AO406" i="10"/>
  <c r="AN526" i="10"/>
  <c r="AO526" i="10"/>
  <c r="AN205" i="10"/>
  <c r="AO205" i="10"/>
  <c r="AO252" i="10"/>
  <c r="AN252" i="10"/>
  <c r="AN189" i="10"/>
  <c r="AO189" i="10"/>
  <c r="AO46" i="10"/>
  <c r="AN46" i="10"/>
  <c r="AN257" i="10"/>
  <c r="AO257" i="10"/>
  <c r="AI531" i="5"/>
  <c r="AH531" i="5"/>
  <c r="AP531" i="5"/>
  <c r="AI460" i="5"/>
  <c r="AP460" i="5"/>
  <c r="AH460" i="5"/>
  <c r="AI493" i="5"/>
  <c r="AH493" i="5"/>
  <c r="AP493" i="5"/>
  <c r="AH168" i="5"/>
  <c r="AI168" i="5"/>
  <c r="AP168" i="5"/>
  <c r="AP443" i="5"/>
  <c r="AH443" i="5"/>
  <c r="AI443" i="5"/>
  <c r="AI55" i="5"/>
  <c r="AH55" i="5"/>
  <c r="AP55" i="5"/>
  <c r="AI369" i="5"/>
  <c r="AH369" i="5"/>
  <c r="AP369" i="5"/>
  <c r="AP366" i="5"/>
  <c r="AI366" i="5"/>
  <c r="AH366" i="5"/>
  <c r="AH222" i="5"/>
  <c r="AI222" i="5"/>
  <c r="AP222" i="5"/>
  <c r="AP296" i="5"/>
  <c r="AI296" i="5"/>
  <c r="AH296" i="5"/>
  <c r="AI25" i="5"/>
  <c r="AH25" i="5"/>
  <c r="AP25" i="5"/>
  <c r="AH309" i="5"/>
  <c r="AP309" i="5"/>
  <c r="AI309" i="5"/>
  <c r="AH306" i="5"/>
  <c r="AP306" i="5"/>
  <c r="AI306" i="5"/>
  <c r="AH201" i="5"/>
  <c r="AP201" i="5"/>
  <c r="AI201" i="5"/>
  <c r="AH67" i="5"/>
  <c r="AI67" i="5"/>
  <c r="AP67" i="5"/>
  <c r="AR422" i="10"/>
  <c r="AQ422" i="10"/>
  <c r="AR43" i="10"/>
  <c r="AQ43" i="10"/>
  <c r="AQ72" i="10"/>
  <c r="AR72" i="10"/>
  <c r="AQ298" i="10"/>
  <c r="AR298" i="10"/>
  <c r="AQ457" i="10"/>
  <c r="AR457" i="10"/>
  <c r="AQ173" i="10"/>
  <c r="AR173" i="10"/>
  <c r="AR284" i="10"/>
  <c r="AQ284" i="10"/>
  <c r="AQ213" i="10"/>
  <c r="AR213" i="10"/>
  <c r="AR24" i="10"/>
  <c r="AQ24" i="10"/>
  <c r="AR444" i="10"/>
  <c r="AQ444" i="10"/>
  <c r="AQ441" i="10"/>
  <c r="AR441" i="10"/>
  <c r="AQ511" i="10"/>
  <c r="AR511" i="10"/>
  <c r="AR452" i="10"/>
  <c r="AQ452" i="10"/>
  <c r="AR426" i="10"/>
  <c r="AQ426" i="10"/>
  <c r="AQ278" i="10"/>
  <c r="AR278" i="10"/>
  <c r="AN165" i="5"/>
  <c r="AO165" i="5"/>
  <c r="AO46" i="5"/>
  <c r="AN46" i="5"/>
  <c r="AO241" i="5"/>
  <c r="AN241" i="5"/>
  <c r="AN34" i="5"/>
  <c r="AO34" i="5"/>
  <c r="AO299" i="5"/>
  <c r="AN299" i="5"/>
  <c r="AN135" i="5"/>
  <c r="AO135" i="5"/>
  <c r="AO486" i="5"/>
  <c r="AN486" i="5"/>
  <c r="AO240" i="5"/>
  <c r="AN240" i="5"/>
  <c r="AN38" i="5"/>
  <c r="AO38" i="5"/>
  <c r="AO307" i="5"/>
  <c r="AN307" i="5"/>
  <c r="AO461" i="5"/>
  <c r="AN461" i="5"/>
  <c r="AN126" i="5"/>
  <c r="AO126" i="5"/>
  <c r="AO260" i="5"/>
  <c r="AN260" i="5"/>
  <c r="AO530" i="5"/>
  <c r="AN530" i="5"/>
  <c r="AN171" i="5"/>
  <c r="AO171" i="5"/>
  <c r="AK242" i="5"/>
  <c r="AL242" i="5"/>
  <c r="AL251" i="5"/>
  <c r="AK251" i="5"/>
  <c r="AK538" i="5"/>
  <c r="AL538" i="5"/>
  <c r="AK142" i="5"/>
  <c r="AL142" i="5"/>
  <c r="AK491" i="5"/>
  <c r="AL491" i="5"/>
  <c r="AK289" i="5"/>
  <c r="AL289" i="5"/>
  <c r="AK63" i="5"/>
  <c r="AL63" i="5"/>
  <c r="AL490" i="5"/>
  <c r="AK490" i="5"/>
  <c r="AK286" i="5"/>
  <c r="AL286" i="5"/>
  <c r="AK125" i="5"/>
  <c r="AL125" i="5"/>
  <c r="AL515" i="5"/>
  <c r="AK515" i="5"/>
  <c r="AK252" i="5"/>
  <c r="AL252" i="5"/>
  <c r="AK107" i="5"/>
  <c r="AL107" i="5"/>
  <c r="AK535" i="5"/>
  <c r="AL535" i="5"/>
  <c r="AK239" i="5"/>
  <c r="AL239" i="5"/>
  <c r="AK530" i="5"/>
  <c r="AL530" i="5"/>
  <c r="AK377" i="5"/>
  <c r="AL377" i="5"/>
  <c r="AK140" i="5"/>
  <c r="AL140" i="5"/>
  <c r="AL8" i="5"/>
  <c r="AK8" i="5"/>
  <c r="AS485" i="10"/>
  <c r="AU300" i="10"/>
  <c r="AT300" i="10"/>
  <c r="AV300" i="10"/>
  <c r="AS447" i="10"/>
  <c r="AS341" i="10"/>
  <c r="AS221" i="10"/>
  <c r="AT85" i="10"/>
  <c r="AU85" i="10"/>
  <c r="AV85" i="10"/>
  <c r="AS187" i="10"/>
  <c r="AU114" i="10"/>
  <c r="AV114" i="10"/>
  <c r="AS532" i="10"/>
  <c r="AK9" i="10"/>
  <c r="AL9" i="10"/>
  <c r="AL294" i="10"/>
  <c r="AK294" i="10"/>
  <c r="AL389" i="10"/>
  <c r="AK389" i="10"/>
  <c r="AK309" i="10"/>
  <c r="AL309" i="10"/>
  <c r="AK246" i="10"/>
  <c r="AL246" i="10"/>
  <c r="AK466" i="10"/>
  <c r="AL466" i="10"/>
  <c r="AK136" i="10"/>
  <c r="AL136" i="10"/>
  <c r="AK351" i="10"/>
  <c r="AL351" i="10"/>
  <c r="AL22" i="10"/>
  <c r="AK22" i="10"/>
  <c r="AL349" i="10"/>
  <c r="AK349" i="10"/>
  <c r="AK473" i="10"/>
  <c r="AL473" i="10"/>
  <c r="AN10" i="10"/>
  <c r="AO10" i="10"/>
  <c r="AN539" i="10"/>
  <c r="AO539" i="10"/>
  <c r="AN422" i="10"/>
  <c r="AO422" i="10"/>
  <c r="AO90" i="10"/>
  <c r="AN90" i="10"/>
  <c r="AO126" i="10"/>
  <c r="AN126" i="10"/>
  <c r="AO546" i="10"/>
  <c r="AN546" i="10"/>
  <c r="AO73" i="10"/>
  <c r="AN73" i="10"/>
  <c r="AN394" i="10"/>
  <c r="AO394" i="10"/>
  <c r="AO471" i="10"/>
  <c r="AN471" i="10"/>
  <c r="AN312" i="10"/>
  <c r="AO312" i="10"/>
  <c r="AO319" i="10"/>
  <c r="AN319" i="10"/>
  <c r="AN297" i="10"/>
  <c r="AO297" i="10"/>
  <c r="AN545" i="10"/>
  <c r="AO545" i="10"/>
  <c r="AN509" i="10"/>
  <c r="AO509" i="10"/>
  <c r="AN554" i="10"/>
  <c r="AO554" i="10"/>
  <c r="AN391" i="10"/>
  <c r="AO391" i="10"/>
  <c r="AN467" i="10"/>
  <c r="AO467" i="10"/>
  <c r="AN308" i="10"/>
  <c r="AO308" i="10"/>
  <c r="AN315" i="10"/>
  <c r="AO315" i="10"/>
  <c r="AO283" i="10"/>
  <c r="AN283" i="10"/>
  <c r="AN249" i="10"/>
  <c r="AO249" i="10"/>
  <c r="AO366" i="10"/>
  <c r="AN366" i="10"/>
  <c r="AO143" i="10"/>
  <c r="AN143" i="10"/>
  <c r="AN164" i="10"/>
  <c r="AO164" i="10"/>
  <c r="AO177" i="10"/>
  <c r="AN177" i="10"/>
  <c r="AO286" i="10"/>
  <c r="AN286" i="10"/>
  <c r="AO326" i="10"/>
  <c r="AN326" i="10"/>
  <c r="AN352" i="10"/>
  <c r="AO352" i="10"/>
  <c r="AO472" i="10"/>
  <c r="AN472" i="10"/>
  <c r="AN559" i="10"/>
  <c r="AO559" i="10"/>
  <c r="AN438" i="10"/>
  <c r="AO438" i="10"/>
  <c r="AO108" i="10"/>
  <c r="AN108" i="10"/>
  <c r="AO142" i="10"/>
  <c r="AN142" i="10"/>
  <c r="AN478" i="10"/>
  <c r="AO478" i="10"/>
  <c r="AN302" i="10"/>
  <c r="AO302" i="10"/>
  <c r="AO344" i="10"/>
  <c r="AN344" i="10"/>
  <c r="AN468" i="10"/>
  <c r="AO468" i="10"/>
  <c r="AN551" i="10"/>
  <c r="AO551" i="10"/>
  <c r="AO434" i="10"/>
  <c r="AN434" i="10"/>
  <c r="AO105" i="10"/>
  <c r="AN105" i="10"/>
  <c r="AO137" i="10"/>
  <c r="AN137" i="10"/>
  <c r="AN334" i="10"/>
  <c r="AO334" i="10"/>
  <c r="AN462" i="10"/>
  <c r="AO462" i="10"/>
  <c r="AN379" i="10"/>
  <c r="AO379" i="10"/>
  <c r="AO496" i="10"/>
  <c r="AN496" i="10"/>
  <c r="AO284" i="10"/>
  <c r="AN284" i="10"/>
  <c r="AO107" i="10"/>
  <c r="AN107" i="10"/>
  <c r="AN140" i="10"/>
  <c r="AO140" i="10"/>
  <c r="AO166" i="10"/>
  <c r="AN166" i="10"/>
  <c r="AO328" i="10"/>
  <c r="AN328" i="10"/>
  <c r="AO460" i="10"/>
  <c r="AN460" i="10"/>
  <c r="AN543" i="10"/>
  <c r="AO543" i="10"/>
  <c r="AN426" i="10"/>
  <c r="AO426" i="10"/>
  <c r="AN100" i="10"/>
  <c r="AO100" i="10"/>
  <c r="AO129" i="10"/>
  <c r="AN129" i="10"/>
  <c r="AO278" i="10"/>
  <c r="AN278" i="10"/>
  <c r="AN68" i="10"/>
  <c r="AO68" i="10"/>
  <c r="AO305" i="10"/>
  <c r="AN305" i="10"/>
  <c r="AN98" i="10"/>
  <c r="AO98" i="10"/>
  <c r="AO301" i="10"/>
  <c r="AN301" i="10"/>
  <c r="AO95" i="10"/>
  <c r="AN95" i="10"/>
  <c r="AN77" i="10"/>
  <c r="AO77" i="10"/>
  <c r="AO203" i="10"/>
  <c r="AN203" i="10"/>
  <c r="AO72" i="10"/>
  <c r="AN72" i="10"/>
  <c r="AN201" i="10"/>
  <c r="AO201" i="10"/>
  <c r="AN66" i="10"/>
  <c r="AO66" i="10"/>
  <c r="AO198" i="10"/>
  <c r="AN198" i="10"/>
  <c r="AO63" i="10"/>
  <c r="AN63" i="10"/>
  <c r="AO19" i="10"/>
  <c r="AN19" i="10"/>
  <c r="AP403" i="5"/>
  <c r="AI403" i="5"/>
  <c r="AH403" i="5"/>
  <c r="AI389" i="5"/>
  <c r="AH389" i="5"/>
  <c r="AP389" i="5"/>
  <c r="AI462" i="5"/>
  <c r="AP462" i="5"/>
  <c r="AH462" i="5"/>
  <c r="AI419" i="5"/>
  <c r="AH419" i="5"/>
  <c r="AP419" i="5"/>
  <c r="AI401" i="5"/>
  <c r="AH401" i="5"/>
  <c r="AP401" i="5"/>
  <c r="AH248" i="5"/>
  <c r="AI248" i="5"/>
  <c r="AP248" i="5"/>
  <c r="AP21" i="5"/>
  <c r="AI21" i="5"/>
  <c r="AH21" i="5"/>
  <c r="AI521" i="5"/>
  <c r="AH521" i="5"/>
  <c r="AP521" i="5"/>
  <c r="AP553" i="5"/>
  <c r="AH553" i="5"/>
  <c r="AI553" i="5"/>
  <c r="AI530" i="5"/>
  <c r="AH530" i="5"/>
  <c r="AP530" i="5"/>
  <c r="AP386" i="5"/>
  <c r="AI386" i="5"/>
  <c r="AH386" i="5"/>
  <c r="AH315" i="5"/>
  <c r="AP315" i="5"/>
  <c r="AI315" i="5"/>
  <c r="AH103" i="5"/>
  <c r="AI103" i="5"/>
  <c r="AP103" i="5"/>
  <c r="AH365" i="5"/>
  <c r="AP365" i="5"/>
  <c r="AI365" i="5"/>
  <c r="AI457" i="5"/>
  <c r="AP457" i="5"/>
  <c r="AH457" i="5"/>
  <c r="AI379" i="5"/>
  <c r="AP379" i="5"/>
  <c r="AH379" i="5"/>
  <c r="AI394" i="5"/>
  <c r="AP394" i="5"/>
  <c r="AH394" i="5"/>
  <c r="AH218" i="5"/>
  <c r="AI218" i="5"/>
  <c r="AP218" i="5"/>
  <c r="AP35" i="5"/>
  <c r="AH35" i="5"/>
  <c r="AI35" i="5"/>
  <c r="AH110" i="5"/>
  <c r="AI110" i="5"/>
  <c r="AP110" i="5"/>
  <c r="AH509" i="5"/>
  <c r="AP509" i="5"/>
  <c r="AI509" i="5"/>
  <c r="AH456" i="5"/>
  <c r="AP456" i="5"/>
  <c r="AI456" i="5"/>
  <c r="AH352" i="5"/>
  <c r="AP352" i="5"/>
  <c r="AI352" i="5"/>
  <c r="AH316" i="5"/>
  <c r="AI316" i="5"/>
  <c r="AP316" i="5"/>
  <c r="AI122" i="5"/>
  <c r="AH122" i="5"/>
  <c r="AP122" i="5"/>
  <c r="AI435" i="5"/>
  <c r="AP435" i="5"/>
  <c r="AH435" i="5"/>
  <c r="AH519" i="5"/>
  <c r="AP519" i="5"/>
  <c r="AI519" i="5"/>
  <c r="AH517" i="5"/>
  <c r="AP517" i="5"/>
  <c r="AI517" i="5"/>
  <c r="AI418" i="5"/>
  <c r="AP418" i="5"/>
  <c r="AH418" i="5"/>
  <c r="AI343" i="5"/>
  <c r="AH343" i="5"/>
  <c r="AP343" i="5"/>
  <c r="AI111" i="5"/>
  <c r="AH111" i="5"/>
  <c r="AP111" i="5"/>
  <c r="AP539" i="5"/>
  <c r="AI539" i="5"/>
  <c r="AH539" i="5"/>
  <c r="AP449" i="5"/>
  <c r="AI449" i="5"/>
  <c r="AH449" i="5"/>
  <c r="AI548" i="5"/>
  <c r="AH548" i="5"/>
  <c r="AP548" i="5"/>
  <c r="AI510" i="5"/>
  <c r="AP510" i="5"/>
  <c r="AH510" i="5"/>
  <c r="AH368" i="5"/>
  <c r="AP368" i="5"/>
  <c r="AI368" i="5"/>
  <c r="AH287" i="5"/>
  <c r="AP287" i="5"/>
  <c r="AI287" i="5"/>
  <c r="AH90" i="5"/>
  <c r="AI90" i="5"/>
  <c r="AP90" i="5"/>
  <c r="AI538" i="5"/>
  <c r="AP538" i="5"/>
  <c r="AH538" i="5"/>
  <c r="AH204" i="5"/>
  <c r="AI204" i="5"/>
  <c r="AP204" i="5"/>
  <c r="AH357" i="5"/>
  <c r="AP357" i="5"/>
  <c r="AI357" i="5"/>
  <c r="AI393" i="5"/>
  <c r="AH393" i="5"/>
  <c r="AP393" i="5"/>
  <c r="AI205" i="5"/>
  <c r="AP205" i="5"/>
  <c r="AH205" i="5"/>
  <c r="AI91" i="5"/>
  <c r="AH91" i="5"/>
  <c r="AP91" i="5"/>
  <c r="AI342" i="5"/>
  <c r="AH342" i="5"/>
  <c r="AP342" i="5"/>
  <c r="AH293" i="5"/>
  <c r="AP293" i="5"/>
  <c r="AI293" i="5"/>
  <c r="AI197" i="5"/>
  <c r="AH197" i="5"/>
  <c r="AP197" i="5"/>
  <c r="AI151" i="5"/>
  <c r="AH151" i="5"/>
  <c r="AP151" i="5"/>
  <c r="AH60" i="5"/>
  <c r="AI60" i="5"/>
  <c r="AP60" i="5"/>
  <c r="AI216" i="5"/>
  <c r="AH216" i="5"/>
  <c r="AP216" i="5"/>
  <c r="AH144" i="5"/>
  <c r="AP144" i="5"/>
  <c r="AI144" i="5"/>
  <c r="AI81" i="5"/>
  <c r="AH81" i="5"/>
  <c r="AP81" i="5"/>
  <c r="AH262" i="5"/>
  <c r="AI262" i="5"/>
  <c r="AP262" i="5"/>
  <c r="AI328" i="5"/>
  <c r="AP328" i="5"/>
  <c r="AH328" i="5"/>
  <c r="AI221" i="5"/>
  <c r="AH221" i="5"/>
  <c r="AP221" i="5"/>
  <c r="AH131" i="5"/>
  <c r="AI131" i="5"/>
  <c r="AP131" i="5"/>
  <c r="AI79" i="5"/>
  <c r="AH79" i="5"/>
  <c r="AP79" i="5"/>
  <c r="AI24" i="5"/>
  <c r="AH24" i="5"/>
  <c r="AP24" i="5"/>
  <c r="AH288" i="5"/>
  <c r="AP288" i="5"/>
  <c r="AI288" i="5"/>
  <c r="AI254" i="5"/>
  <c r="AP254" i="5"/>
  <c r="AH254" i="5"/>
  <c r="AI155" i="5"/>
  <c r="AP155" i="5"/>
  <c r="AH155" i="5"/>
  <c r="AH132" i="5"/>
  <c r="AI132" i="5"/>
  <c r="AP132" i="5"/>
  <c r="AI49" i="5"/>
  <c r="AP49" i="5"/>
  <c r="AH49" i="5"/>
  <c r="AI285" i="5"/>
  <c r="AP285" i="5"/>
  <c r="AH285" i="5"/>
  <c r="AH252" i="5"/>
  <c r="AP252" i="5"/>
  <c r="AI252" i="5"/>
  <c r="AH140" i="5"/>
  <c r="AI140" i="5"/>
  <c r="AP140" i="5"/>
  <c r="AP127" i="5"/>
  <c r="AH127" i="5"/>
  <c r="AI127" i="5"/>
  <c r="AH48" i="5"/>
  <c r="AP48" i="5"/>
  <c r="AI48" i="5"/>
  <c r="AR368" i="10"/>
  <c r="AQ368" i="10"/>
  <c r="AQ491" i="10"/>
  <c r="AR491" i="10"/>
  <c r="AQ532" i="10"/>
  <c r="AR532" i="10"/>
  <c r="AR460" i="10"/>
  <c r="AQ460" i="10"/>
  <c r="AQ350" i="10"/>
  <c r="AR350" i="10"/>
  <c r="AQ465" i="10"/>
  <c r="AR465" i="10"/>
  <c r="AQ423" i="10"/>
  <c r="AR423" i="10"/>
  <c r="AQ170" i="10"/>
  <c r="AR170" i="10"/>
  <c r="AR418" i="10"/>
  <c r="AQ418" i="10"/>
  <c r="AQ529" i="10"/>
  <c r="AR529" i="10"/>
  <c r="AQ329" i="10"/>
  <c r="AR329" i="10"/>
  <c r="AR32" i="10"/>
  <c r="AQ32" i="10"/>
  <c r="AQ197" i="10"/>
  <c r="AR197" i="10"/>
  <c r="AQ459" i="10"/>
  <c r="AR459" i="10"/>
  <c r="AR29" i="10"/>
  <c r="AQ29" i="10"/>
  <c r="AQ156" i="10"/>
  <c r="AR156" i="10"/>
  <c r="AR553" i="10"/>
  <c r="AQ553" i="10"/>
  <c r="AQ23" i="10"/>
  <c r="AR23" i="10"/>
  <c r="AR464" i="10"/>
  <c r="AQ464" i="10"/>
  <c r="AQ190" i="10"/>
  <c r="AR190" i="10"/>
  <c r="AR138" i="10"/>
  <c r="AQ138" i="10"/>
  <c r="AQ397" i="10"/>
  <c r="AR397" i="10"/>
  <c r="AR288" i="10"/>
  <c r="AQ288" i="10"/>
  <c r="AR372" i="10"/>
  <c r="AQ372" i="10"/>
  <c r="AR109" i="10"/>
  <c r="AQ109" i="10"/>
  <c r="AQ310" i="10"/>
  <c r="AR310" i="10"/>
  <c r="AQ322" i="10"/>
  <c r="AR322" i="10"/>
  <c r="AQ283" i="10"/>
  <c r="AR283" i="10"/>
  <c r="AQ290" i="10"/>
  <c r="AR290" i="10"/>
  <c r="AR238" i="10"/>
  <c r="AQ238" i="10"/>
  <c r="AQ518" i="10"/>
  <c r="AR518" i="10"/>
  <c r="AR542" i="10"/>
  <c r="AQ542" i="10"/>
  <c r="AQ140" i="10"/>
  <c r="AR140" i="10"/>
  <c r="AR533" i="10"/>
  <c r="AQ533" i="10"/>
  <c r="AQ196" i="10"/>
  <c r="AR196" i="10"/>
  <c r="AQ412" i="10"/>
  <c r="AR412" i="10"/>
  <c r="AR174" i="10"/>
  <c r="AQ174" i="10"/>
  <c r="AQ146" i="10"/>
  <c r="AR146" i="10"/>
  <c r="AR405" i="10"/>
  <c r="AQ405" i="10"/>
  <c r="AR272" i="10"/>
  <c r="AQ272" i="10"/>
  <c r="AQ447" i="10"/>
  <c r="AR447" i="10"/>
  <c r="AR78" i="10"/>
  <c r="AQ78" i="10"/>
  <c r="AR361" i="10"/>
  <c r="AQ361" i="10"/>
  <c r="AQ373" i="10"/>
  <c r="AR373" i="10"/>
  <c r="AQ267" i="10"/>
  <c r="AR267" i="10"/>
  <c r="AR164" i="10"/>
  <c r="AQ164" i="10"/>
  <c r="AR245" i="10"/>
  <c r="AQ245" i="10"/>
  <c r="AQ499" i="10"/>
  <c r="AR499" i="10"/>
  <c r="AR87" i="10"/>
  <c r="AQ87" i="10"/>
  <c r="AQ258" i="10"/>
  <c r="AR258" i="10"/>
  <c r="AQ413" i="10"/>
  <c r="AR413" i="10"/>
  <c r="AQ256" i="10"/>
  <c r="AR256" i="10"/>
  <c r="AR349" i="10"/>
  <c r="AQ349" i="10"/>
  <c r="AR54" i="10"/>
  <c r="AQ54" i="10"/>
  <c r="AR332" i="10"/>
  <c r="AQ332" i="10"/>
  <c r="AR215" i="10"/>
  <c r="AQ215" i="10"/>
  <c r="AQ251" i="10"/>
  <c r="AR251" i="10"/>
  <c r="AR172" i="10"/>
  <c r="AQ172" i="10"/>
  <c r="AR253" i="10"/>
  <c r="AQ253" i="10"/>
  <c r="AR515" i="10"/>
  <c r="AQ515" i="10"/>
  <c r="AR523" i="10"/>
  <c r="AQ523" i="10"/>
  <c r="AQ108" i="10"/>
  <c r="AR108" i="10"/>
  <c r="AR500" i="10"/>
  <c r="AQ500" i="10"/>
  <c r="AQ58" i="10"/>
  <c r="AR58" i="10"/>
  <c r="AQ415" i="10"/>
  <c r="AR415" i="10"/>
  <c r="AR63" i="10"/>
  <c r="AQ63" i="10"/>
  <c r="AQ202" i="10"/>
  <c r="AR202" i="10"/>
  <c r="AQ421" i="10"/>
  <c r="AR421" i="10"/>
  <c r="AO11" i="5"/>
  <c r="AN11" i="5"/>
  <c r="AO353" i="5"/>
  <c r="AN353" i="5"/>
  <c r="AO146" i="5"/>
  <c r="AN146" i="5"/>
  <c r="AN515" i="5"/>
  <c r="AO515" i="5"/>
  <c r="AO63" i="5"/>
  <c r="AN63" i="5"/>
  <c r="AN375" i="5"/>
  <c r="AO375" i="5"/>
  <c r="AN124" i="5"/>
  <c r="AO124" i="5"/>
  <c r="AN350" i="5"/>
  <c r="AO350" i="5"/>
  <c r="AO402" i="5"/>
  <c r="AN402" i="5"/>
  <c r="AN345" i="5"/>
  <c r="AO345" i="5"/>
  <c r="AO79" i="5"/>
  <c r="AN79" i="5"/>
  <c r="AN250" i="5"/>
  <c r="AO250" i="5"/>
  <c r="AO414" i="5"/>
  <c r="AN414" i="5"/>
  <c r="AN440" i="5"/>
  <c r="AO440" i="5"/>
  <c r="AN269" i="5"/>
  <c r="AO269" i="5"/>
  <c r="AO179" i="5"/>
  <c r="AN179" i="5"/>
  <c r="AO119" i="5"/>
  <c r="AN119" i="5"/>
  <c r="AO75" i="5"/>
  <c r="AN75" i="5"/>
  <c r="AO450" i="5"/>
  <c r="AN450" i="5"/>
  <c r="AN500" i="5"/>
  <c r="AO500" i="5"/>
  <c r="AO325" i="5"/>
  <c r="AN325" i="5"/>
  <c r="AO392" i="5"/>
  <c r="AN392" i="5"/>
  <c r="AN324" i="5"/>
  <c r="AO324" i="5"/>
  <c r="AN264" i="5"/>
  <c r="AO264" i="5"/>
  <c r="AO173" i="5"/>
  <c r="AN173" i="5"/>
  <c r="AN140" i="5"/>
  <c r="AO140" i="5"/>
  <c r="AN60" i="5"/>
  <c r="AO60" i="5"/>
  <c r="AN437" i="5"/>
  <c r="AO437" i="5"/>
  <c r="AO432" i="5"/>
  <c r="AN432" i="5"/>
  <c r="AN354" i="5"/>
  <c r="AO354" i="5"/>
  <c r="AN435" i="5"/>
  <c r="AO435" i="5"/>
  <c r="AO227" i="5"/>
  <c r="AN227" i="5"/>
  <c r="AN235" i="5"/>
  <c r="AO235" i="5"/>
  <c r="AN169" i="5"/>
  <c r="AO169" i="5"/>
  <c r="AO83" i="5"/>
  <c r="AN83" i="5"/>
  <c r="AN372" i="5"/>
  <c r="AO372" i="5"/>
  <c r="AN495" i="5"/>
  <c r="AO495" i="5"/>
  <c r="AO532" i="5"/>
  <c r="AN532" i="5"/>
  <c r="AN389" i="5"/>
  <c r="AO389" i="5"/>
  <c r="AN320" i="5"/>
  <c r="AO320" i="5"/>
  <c r="AO259" i="5"/>
  <c r="AN259" i="5"/>
  <c r="AO162" i="5"/>
  <c r="AN162" i="5"/>
  <c r="AO129" i="5"/>
  <c r="AN129" i="5"/>
  <c r="AO42" i="5"/>
  <c r="AN42" i="5"/>
  <c r="AO494" i="5"/>
  <c r="AN494" i="5"/>
  <c r="AO531" i="5"/>
  <c r="AN531" i="5"/>
  <c r="AN386" i="5"/>
  <c r="AO386" i="5"/>
  <c r="AN315" i="5"/>
  <c r="AO315" i="5"/>
  <c r="AO246" i="5"/>
  <c r="AN246" i="5"/>
  <c r="AN158" i="5"/>
  <c r="AO158" i="5"/>
  <c r="AN121" i="5"/>
  <c r="AO121" i="5"/>
  <c r="AO35" i="5"/>
  <c r="AN35" i="5"/>
  <c r="AN527" i="5"/>
  <c r="AO527" i="5"/>
  <c r="AO514" i="5"/>
  <c r="AN514" i="5"/>
  <c r="AO374" i="5"/>
  <c r="AN374" i="5"/>
  <c r="AN385" i="5"/>
  <c r="AO385" i="5"/>
  <c r="AN284" i="5"/>
  <c r="AO284" i="5"/>
  <c r="AO195" i="5"/>
  <c r="AN195" i="5"/>
  <c r="AO137" i="5"/>
  <c r="AN137" i="5"/>
  <c r="AO47" i="5"/>
  <c r="AN47" i="5"/>
  <c r="AN547" i="5"/>
  <c r="AO547" i="5"/>
  <c r="AN492" i="5"/>
  <c r="AO492" i="5"/>
  <c r="AO525" i="5"/>
  <c r="AN525" i="5"/>
  <c r="AO380" i="5"/>
  <c r="AN380" i="5"/>
  <c r="AO312" i="5"/>
  <c r="AN312" i="5"/>
  <c r="AO220" i="5"/>
  <c r="AN220" i="5"/>
  <c r="AO152" i="5"/>
  <c r="AN152" i="5"/>
  <c r="AN110" i="5"/>
  <c r="AO110" i="5"/>
  <c r="AO50" i="5"/>
  <c r="AN50" i="5"/>
  <c r="AK411" i="5"/>
  <c r="AL411" i="5"/>
  <c r="AL101" i="5"/>
  <c r="AK101" i="5"/>
  <c r="AL540" i="5"/>
  <c r="AK540" i="5"/>
  <c r="AK443" i="5"/>
  <c r="AL443" i="5"/>
  <c r="AK415" i="5"/>
  <c r="AL415" i="5"/>
  <c r="AL328" i="5"/>
  <c r="AK328" i="5"/>
  <c r="AL294" i="5"/>
  <c r="AK294" i="5"/>
  <c r="AK148" i="5"/>
  <c r="AL148" i="5"/>
  <c r="AL115" i="5"/>
  <c r="AK115" i="5"/>
  <c r="AK36" i="5"/>
  <c r="AL36" i="5"/>
  <c r="AK479" i="5"/>
  <c r="AL479" i="5"/>
  <c r="AK31" i="5"/>
  <c r="AL31" i="5"/>
  <c r="AK458" i="5"/>
  <c r="AL458" i="5"/>
  <c r="AL500" i="5"/>
  <c r="AK500" i="5"/>
  <c r="AL336" i="5"/>
  <c r="AK336" i="5"/>
  <c r="AL267" i="5"/>
  <c r="AK267" i="5"/>
  <c r="AL232" i="5"/>
  <c r="AK232" i="5"/>
  <c r="AK179" i="5"/>
  <c r="AL179" i="5"/>
  <c r="AL106" i="5"/>
  <c r="AK106" i="5"/>
  <c r="AK28" i="5"/>
  <c r="AL28" i="5"/>
  <c r="AL283" i="5"/>
  <c r="AK283" i="5"/>
  <c r="AK471" i="5"/>
  <c r="AL471" i="5"/>
  <c r="AL424" i="5"/>
  <c r="AK424" i="5"/>
  <c r="AL470" i="5"/>
  <c r="AK470" i="5"/>
  <c r="AK419" i="5"/>
  <c r="AL419" i="5"/>
  <c r="AK332" i="5"/>
  <c r="AL332" i="5"/>
  <c r="AK206" i="5"/>
  <c r="AL206" i="5"/>
  <c r="AK168" i="5"/>
  <c r="AL168" i="5"/>
  <c r="AK90" i="5"/>
  <c r="AL90" i="5"/>
  <c r="AK29" i="5"/>
  <c r="AL29" i="5"/>
  <c r="AK221" i="5"/>
  <c r="AL221" i="5"/>
  <c r="AL457" i="5"/>
  <c r="AK457" i="5"/>
  <c r="AL422" i="5"/>
  <c r="AK422" i="5"/>
  <c r="AL467" i="5"/>
  <c r="AK467" i="5"/>
  <c r="AL416" i="5"/>
  <c r="AK416" i="5"/>
  <c r="AK324" i="5"/>
  <c r="AL324" i="5"/>
  <c r="AK201" i="5"/>
  <c r="AL201" i="5"/>
  <c r="AK166" i="5"/>
  <c r="AL166" i="5"/>
  <c r="AL89" i="5"/>
  <c r="AK89" i="5"/>
  <c r="AK20" i="5"/>
  <c r="AL20" i="5"/>
  <c r="AK330" i="5"/>
  <c r="AL330" i="5"/>
  <c r="AK539" i="5"/>
  <c r="AL539" i="5"/>
  <c r="AL339" i="5"/>
  <c r="AK339" i="5"/>
  <c r="AK428" i="5"/>
  <c r="AL428" i="5"/>
  <c r="AL380" i="5"/>
  <c r="AK380" i="5"/>
  <c r="AK295" i="5"/>
  <c r="AL295" i="5"/>
  <c r="AK169" i="5"/>
  <c r="AL169" i="5"/>
  <c r="AK147" i="5"/>
  <c r="AL147" i="5"/>
  <c r="AK81" i="5"/>
  <c r="AL81" i="5"/>
  <c r="AL553" i="5"/>
  <c r="AK553" i="5"/>
  <c r="AL119" i="5"/>
  <c r="AK119" i="5"/>
  <c r="AK423" i="5"/>
  <c r="AL423" i="5"/>
  <c r="AK487" i="5"/>
  <c r="AL487" i="5"/>
  <c r="AK376" i="5"/>
  <c r="AL376" i="5"/>
  <c r="AL307" i="5"/>
  <c r="AK307" i="5"/>
  <c r="AK177" i="5"/>
  <c r="AL177" i="5"/>
  <c r="AK222" i="5"/>
  <c r="AL222" i="5"/>
  <c r="AK153" i="5"/>
  <c r="AL153" i="5"/>
  <c r="AK79" i="5"/>
  <c r="AL79" i="5"/>
  <c r="AK112" i="5"/>
  <c r="AL112" i="5"/>
  <c r="AK404" i="5"/>
  <c r="AL404" i="5"/>
  <c r="AK481" i="5"/>
  <c r="AL481" i="5"/>
  <c r="AK372" i="5"/>
  <c r="AL372" i="5"/>
  <c r="AL296" i="5"/>
  <c r="AK296" i="5"/>
  <c r="AK331" i="5"/>
  <c r="AL331" i="5"/>
  <c r="AK219" i="5"/>
  <c r="AL219" i="5"/>
  <c r="AK145" i="5"/>
  <c r="AL145" i="5"/>
  <c r="AK75" i="5"/>
  <c r="AL75" i="5"/>
  <c r="AS302" i="10"/>
  <c r="AS117" i="10"/>
  <c r="AS149" i="10"/>
  <c r="AS34" i="10"/>
  <c r="AS31" i="10"/>
  <c r="AS55" i="10"/>
  <c r="AS66" i="10"/>
  <c r="AS73" i="10"/>
  <c r="AS99" i="10"/>
  <c r="AS175" i="10"/>
  <c r="AS247" i="10"/>
  <c r="AS277" i="10"/>
  <c r="AS274" i="10"/>
  <c r="AS451" i="10"/>
  <c r="AS77" i="10"/>
  <c r="AS165" i="10"/>
  <c r="AS179" i="10"/>
  <c r="AS251" i="10"/>
  <c r="AS281" i="10"/>
  <c r="AS278" i="10"/>
  <c r="AS456" i="10"/>
  <c r="AS59" i="10"/>
  <c r="AS71" i="10"/>
  <c r="AS268" i="10"/>
  <c r="AS287" i="10"/>
  <c r="AS315" i="10"/>
  <c r="AS314" i="10"/>
  <c r="AS421" i="10"/>
  <c r="AS101" i="10"/>
  <c r="AS106" i="10"/>
  <c r="AS70" i="10"/>
  <c r="AS368" i="10"/>
  <c r="AS351" i="10"/>
  <c r="AS350" i="10"/>
  <c r="AS483" i="10"/>
  <c r="AS137" i="10"/>
  <c r="AS142" i="10"/>
  <c r="AS104" i="10"/>
  <c r="AS220" i="10"/>
  <c r="AS316" i="10"/>
  <c r="AS400" i="10"/>
  <c r="AS506" i="10"/>
  <c r="AS61" i="10"/>
  <c r="AS211" i="10"/>
  <c r="AS140" i="10"/>
  <c r="AS170" i="10"/>
  <c r="AS352" i="10"/>
  <c r="AS390" i="10"/>
  <c r="AS552" i="10"/>
  <c r="AS23" i="10"/>
  <c r="AS103" i="10"/>
  <c r="AS176" i="10"/>
  <c r="AS206" i="10"/>
  <c r="AS333" i="10"/>
  <c r="AS426" i="10"/>
  <c r="AS385" i="10"/>
  <c r="AS493" i="10"/>
  <c r="AS551" i="10"/>
  <c r="AS473" i="10"/>
  <c r="AS544" i="10"/>
  <c r="AS476" i="10"/>
  <c r="AS543" i="10"/>
  <c r="AS479" i="10"/>
  <c r="AS549" i="10"/>
  <c r="AS459" i="10"/>
  <c r="AS524" i="10"/>
  <c r="AS466" i="10"/>
  <c r="AS526" i="10"/>
  <c r="AS11" i="10"/>
  <c r="AJ12" i="10"/>
  <c r="AL139" i="10"/>
  <c r="AK139" i="10"/>
  <c r="AK363" i="10"/>
  <c r="AL363" i="10"/>
  <c r="AL538" i="10"/>
  <c r="AK538" i="10"/>
  <c r="AK123" i="10"/>
  <c r="AL123" i="10"/>
  <c r="AK286" i="10"/>
  <c r="AL286" i="10"/>
  <c r="AL325" i="10"/>
  <c r="AK325" i="10"/>
  <c r="AK204" i="10"/>
  <c r="AL204" i="10"/>
  <c r="AK245" i="10"/>
  <c r="AL245" i="10"/>
  <c r="AL475" i="10"/>
  <c r="AK475" i="10"/>
  <c r="AK358" i="10"/>
  <c r="AL358" i="10"/>
  <c r="AL431" i="10"/>
  <c r="AK431" i="10"/>
  <c r="AL380" i="10"/>
  <c r="AK380" i="10"/>
  <c r="AL462" i="10"/>
  <c r="AK462" i="10"/>
  <c r="AL449" i="10"/>
  <c r="AK449" i="10"/>
  <c r="AK79" i="10"/>
  <c r="AL79" i="10"/>
  <c r="AK72" i="10"/>
  <c r="AL72" i="10"/>
  <c r="AK113" i="10"/>
  <c r="AL113" i="10"/>
  <c r="AK426" i="10"/>
  <c r="AL426" i="10"/>
  <c r="AK206" i="10"/>
  <c r="AL206" i="10"/>
  <c r="AK498" i="10"/>
  <c r="AL498" i="10"/>
  <c r="AL559" i="10"/>
  <c r="AK559" i="10"/>
  <c r="AL179" i="10"/>
  <c r="AK179" i="10"/>
  <c r="AK263" i="10"/>
  <c r="AL263" i="10"/>
  <c r="AK164" i="10"/>
  <c r="AL164" i="10"/>
  <c r="AK205" i="10"/>
  <c r="AL205" i="10"/>
  <c r="AL493" i="10"/>
  <c r="AK493" i="10"/>
  <c r="AS19" i="10"/>
  <c r="AL19" i="10"/>
  <c r="AK19" i="10"/>
  <c r="AK324" i="10"/>
  <c r="AL324" i="10"/>
  <c r="AL327" i="10"/>
  <c r="AK327" i="10"/>
  <c r="AL408" i="10"/>
  <c r="AK408" i="10"/>
  <c r="AK409" i="10"/>
  <c r="AL409" i="10"/>
  <c r="AK288" i="10"/>
  <c r="AL288" i="10"/>
  <c r="AK32" i="10"/>
  <c r="AL32" i="10"/>
  <c r="AK73" i="10"/>
  <c r="AL73" i="10"/>
  <c r="AL383" i="10"/>
  <c r="AK383" i="10"/>
  <c r="AL163" i="10"/>
  <c r="AK163" i="10"/>
  <c r="AL490" i="10"/>
  <c r="AK490" i="10"/>
  <c r="AL551" i="10"/>
  <c r="AK551" i="10"/>
  <c r="AK158" i="10"/>
  <c r="AL158" i="10"/>
  <c r="AK247" i="10"/>
  <c r="AL247" i="10"/>
  <c r="AL156" i="10"/>
  <c r="AK156" i="10"/>
  <c r="AK197" i="10"/>
  <c r="AL197" i="10"/>
  <c r="AL326" i="10"/>
  <c r="AK326" i="10"/>
  <c r="AL545" i="10"/>
  <c r="AK545" i="10"/>
  <c r="AK299" i="10"/>
  <c r="AL299" i="10"/>
  <c r="AL316" i="10"/>
  <c r="AK316" i="10"/>
  <c r="AL398" i="10"/>
  <c r="AK398" i="10"/>
  <c r="AK401" i="10"/>
  <c r="AL401" i="10"/>
  <c r="AL280" i="10"/>
  <c r="AK280" i="10"/>
  <c r="AL24" i="10"/>
  <c r="AK24" i="10"/>
  <c r="AL65" i="10"/>
  <c r="AK65" i="10"/>
  <c r="AL340" i="10"/>
  <c r="AK340" i="10"/>
  <c r="AK122" i="10"/>
  <c r="AL122" i="10"/>
  <c r="AK482" i="10"/>
  <c r="AL482" i="10"/>
  <c r="AK543" i="10"/>
  <c r="AL543" i="10"/>
  <c r="AK138" i="10"/>
  <c r="AL138" i="10"/>
  <c r="AK231" i="10"/>
  <c r="AL231" i="10"/>
  <c r="AK148" i="10"/>
  <c r="AL148" i="10"/>
  <c r="AK189" i="10"/>
  <c r="AL189" i="10"/>
  <c r="AL560" i="10"/>
  <c r="AK560" i="10"/>
  <c r="AL529" i="10"/>
  <c r="AK529" i="10"/>
  <c r="AK258" i="10"/>
  <c r="AL258" i="10"/>
  <c r="AK303" i="10"/>
  <c r="AL303" i="10"/>
  <c r="AK387" i="10"/>
  <c r="AL387" i="10"/>
  <c r="AL393" i="10"/>
  <c r="AK393" i="10"/>
  <c r="AL272" i="10"/>
  <c r="AK272" i="10"/>
  <c r="AL313" i="10"/>
  <c r="AK313" i="10"/>
  <c r="AL57" i="10"/>
  <c r="AK57" i="10"/>
  <c r="AH13" i="10"/>
  <c r="AI13" i="10"/>
  <c r="AV76" i="10" l="1"/>
  <c r="AV525" i="10"/>
  <c r="AU525" i="10"/>
  <c r="AT76" i="10"/>
  <c r="AV184" i="10"/>
  <c r="AU184" i="10"/>
  <c r="AV115" i="10"/>
  <c r="AT115" i="10"/>
  <c r="AT39" i="10"/>
  <c r="AU47" i="10"/>
  <c r="AT47" i="10"/>
  <c r="AV228" i="10"/>
  <c r="AX228" i="10" s="1"/>
  <c r="AU228" i="10"/>
  <c r="AV484" i="10"/>
  <c r="AX484" i="10" s="1"/>
  <c r="AT250" i="10"/>
  <c r="AU145" i="10"/>
  <c r="AT145" i="10"/>
  <c r="AV78" i="10"/>
  <c r="AW78" i="10" s="1"/>
  <c r="AT78" i="10"/>
  <c r="AV387" i="10"/>
  <c r="AW387" i="10" s="1"/>
  <c r="AT387" i="10"/>
  <c r="AV75" i="10"/>
  <c r="AX75" i="10" s="1"/>
  <c r="AU75" i="10"/>
  <c r="AV334" i="10"/>
  <c r="AW334" i="10" s="1"/>
  <c r="AT334" i="10"/>
  <c r="AV518" i="10"/>
  <c r="AX518" i="10" s="1"/>
  <c r="AU518" i="10"/>
  <c r="AT188" i="10"/>
  <c r="AV40" i="10"/>
  <c r="AW40" i="10" s="1"/>
  <c r="AT40" i="10"/>
  <c r="AV503" i="10"/>
  <c r="AW503" i="10" s="1"/>
  <c r="AV188" i="10"/>
  <c r="AW188" i="10" s="1"/>
  <c r="AU415" i="10"/>
  <c r="AV478" i="10"/>
  <c r="AW478" i="10" s="1"/>
  <c r="AV324" i="10"/>
  <c r="AW324" i="10" s="1"/>
  <c r="AU478" i="10"/>
  <c r="AT324" i="10"/>
  <c r="AV415" i="10"/>
  <c r="AX415" i="10" s="1"/>
  <c r="AV446" i="10"/>
  <c r="AX446" i="10" s="1"/>
  <c r="AT446" i="10"/>
  <c r="AU150" i="10"/>
  <c r="AU289" i="10"/>
  <c r="AU484" i="10"/>
  <c r="AV523" i="10"/>
  <c r="AX523" i="10" s="1"/>
  <c r="AT523" i="10"/>
  <c r="AV286" i="10"/>
  <c r="AX286" i="10" s="1"/>
  <c r="AV359" i="10"/>
  <c r="AX359" i="10" s="1"/>
  <c r="AT286" i="10"/>
  <c r="AT359" i="10"/>
  <c r="AV358" i="10"/>
  <c r="AX358" i="10" s="1"/>
  <c r="AU497" i="10"/>
  <c r="AT358" i="10"/>
  <c r="AV391" i="10"/>
  <c r="AW391" i="10" s="1"/>
  <c r="AV111" i="10"/>
  <c r="AX111" i="10" s="1"/>
  <c r="AT432" i="10"/>
  <c r="AV112" i="10"/>
  <c r="AW112" i="10" s="1"/>
  <c r="AU250" i="10"/>
  <c r="AV497" i="10"/>
  <c r="AW497" i="10" s="1"/>
  <c r="AT464" i="10"/>
  <c r="AT391" i="10"/>
  <c r="AU111" i="10"/>
  <c r="AV39" i="10"/>
  <c r="AX39" i="10" s="1"/>
  <c r="AT112" i="10"/>
  <c r="AV464" i="10"/>
  <c r="AW464" i="10" s="1"/>
  <c r="AU454" i="10"/>
  <c r="AV560" i="10"/>
  <c r="AW560" i="10" s="1"/>
  <c r="AU560" i="10"/>
  <c r="AU432" i="10"/>
  <c r="AU537" i="10"/>
  <c r="AU253" i="10"/>
  <c r="AV533" i="10"/>
  <c r="AW533" i="10" s="1"/>
  <c r="AT537" i="10"/>
  <c r="AU533" i="10"/>
  <c r="AV276" i="10"/>
  <c r="AW276" i="10" s="1"/>
  <c r="AV20" i="10"/>
  <c r="AX20" i="10" s="1"/>
  <c r="AT276" i="10"/>
  <c r="AV150" i="10"/>
  <c r="AX150" i="10" s="1"/>
  <c r="AU20" i="10"/>
  <c r="AV253" i="10"/>
  <c r="AX253" i="10" s="1"/>
  <c r="AT380" i="10"/>
  <c r="AU380" i="10"/>
  <c r="AV289" i="10"/>
  <c r="AX289" i="10" s="1"/>
  <c r="AT503" i="10"/>
  <c r="AV33" i="10"/>
  <c r="AX33" i="10" s="1"/>
  <c r="AT33" i="10"/>
  <c r="AV218" i="10"/>
  <c r="AW218" i="10" s="1"/>
  <c r="AT218" i="10"/>
  <c r="AT211" i="10"/>
  <c r="AU211" i="10"/>
  <c r="AV211" i="10"/>
  <c r="AQ132" i="5"/>
  <c r="AR132" i="5"/>
  <c r="AS132" i="5"/>
  <c r="AT447" i="10"/>
  <c r="AU447" i="10"/>
  <c r="AV447" i="10"/>
  <c r="AT141" i="10"/>
  <c r="AU141" i="10"/>
  <c r="AV141" i="10"/>
  <c r="AQ124" i="5"/>
  <c r="AR124" i="5"/>
  <c r="AS124" i="5"/>
  <c r="AU270" i="10"/>
  <c r="AT270" i="10"/>
  <c r="AV270" i="10"/>
  <c r="AR264" i="5"/>
  <c r="AQ264" i="5"/>
  <c r="AS264" i="5"/>
  <c r="AQ62" i="5"/>
  <c r="AR62" i="5"/>
  <c r="AS62" i="5"/>
  <c r="AT157" i="10"/>
  <c r="AU157" i="10"/>
  <c r="AV157" i="10"/>
  <c r="AR143" i="5"/>
  <c r="AQ143" i="5"/>
  <c r="AS143" i="5"/>
  <c r="AT298" i="10"/>
  <c r="AU298" i="10"/>
  <c r="AV298" i="10"/>
  <c r="AQ406" i="5"/>
  <c r="AR406" i="5"/>
  <c r="AS406" i="5"/>
  <c r="AT325" i="10"/>
  <c r="AU325" i="10"/>
  <c r="AV325" i="10"/>
  <c r="AL12" i="10"/>
  <c r="AK12" i="10"/>
  <c r="AT11" i="10"/>
  <c r="AU11" i="10"/>
  <c r="AV11" i="10"/>
  <c r="AU476" i="10"/>
  <c r="AT476" i="10"/>
  <c r="AV476" i="10"/>
  <c r="AU206" i="10"/>
  <c r="AT206" i="10"/>
  <c r="AV206" i="10"/>
  <c r="AU140" i="10"/>
  <c r="AT140" i="10"/>
  <c r="AV140" i="10"/>
  <c r="AU142" i="10"/>
  <c r="AT142" i="10"/>
  <c r="AV142" i="10"/>
  <c r="AT101" i="10"/>
  <c r="AU101" i="10"/>
  <c r="AV101" i="10"/>
  <c r="AU456" i="10"/>
  <c r="AT456" i="10"/>
  <c r="AV456" i="10"/>
  <c r="AU274" i="10"/>
  <c r="AT274" i="10"/>
  <c r="AV274" i="10"/>
  <c r="AU31" i="10"/>
  <c r="AT31" i="10"/>
  <c r="AV31" i="10"/>
  <c r="AR48" i="5"/>
  <c r="AQ48" i="5"/>
  <c r="AS48" i="5"/>
  <c r="AR254" i="5"/>
  <c r="AQ254" i="5"/>
  <c r="AS254" i="5"/>
  <c r="AR79" i="5"/>
  <c r="AQ79" i="5"/>
  <c r="AS79" i="5"/>
  <c r="AR60" i="5"/>
  <c r="AQ60" i="5"/>
  <c r="AS60" i="5"/>
  <c r="AQ368" i="5"/>
  <c r="AR368" i="5"/>
  <c r="AS368" i="5"/>
  <c r="AR517" i="5"/>
  <c r="AQ517" i="5"/>
  <c r="AS517" i="5"/>
  <c r="AQ122" i="5"/>
  <c r="AR122" i="5"/>
  <c r="AS122" i="5"/>
  <c r="AR315" i="5"/>
  <c r="AQ315" i="5"/>
  <c r="AS315" i="5"/>
  <c r="AR21" i="5"/>
  <c r="AQ21" i="5"/>
  <c r="AS21" i="5"/>
  <c r="AQ67" i="5"/>
  <c r="AR67" i="5"/>
  <c r="AS67" i="5"/>
  <c r="AR369" i="5"/>
  <c r="AQ369" i="5"/>
  <c r="AS369" i="5"/>
  <c r="AR443" i="5"/>
  <c r="AQ443" i="5"/>
  <c r="AS443" i="5"/>
  <c r="AQ460" i="5"/>
  <c r="AR460" i="5"/>
  <c r="AS460" i="5"/>
  <c r="AU495" i="10"/>
  <c r="AT495" i="10"/>
  <c r="AV495" i="10"/>
  <c r="AT539" i="10"/>
  <c r="AU539" i="10"/>
  <c r="AV539" i="10"/>
  <c r="AT144" i="10"/>
  <c r="AU144" i="10"/>
  <c r="AV144" i="10"/>
  <c r="AU146" i="10"/>
  <c r="AT146" i="10"/>
  <c r="AV146" i="10"/>
  <c r="AT105" i="10"/>
  <c r="AU105" i="10"/>
  <c r="AV105" i="10"/>
  <c r="AU460" i="10"/>
  <c r="AT460" i="10"/>
  <c r="AV460" i="10"/>
  <c r="AU246" i="10"/>
  <c r="AT246" i="10"/>
  <c r="AV246" i="10"/>
  <c r="AT245" i="10"/>
  <c r="AU245" i="10"/>
  <c r="AV245" i="10"/>
  <c r="AU256" i="10"/>
  <c r="AT256" i="10"/>
  <c r="AV256" i="10"/>
  <c r="AR57" i="5"/>
  <c r="AQ57" i="5"/>
  <c r="AS57" i="5"/>
  <c r="AR156" i="5"/>
  <c r="AQ156" i="5"/>
  <c r="AS156" i="5"/>
  <c r="AR452" i="5"/>
  <c r="AQ452" i="5"/>
  <c r="AS452" i="5"/>
  <c r="AQ173" i="5"/>
  <c r="AR173" i="5"/>
  <c r="AS173" i="5"/>
  <c r="AR437" i="5"/>
  <c r="AQ437" i="5"/>
  <c r="AS437" i="5"/>
  <c r="AQ473" i="5"/>
  <c r="AR473" i="5"/>
  <c r="AS473" i="5"/>
  <c r="AQ411" i="5"/>
  <c r="AR411" i="5"/>
  <c r="AS411" i="5"/>
  <c r="AU427" i="10"/>
  <c r="AT427" i="10"/>
  <c r="AV427" i="10"/>
  <c r="AU345" i="10"/>
  <c r="AT345" i="10"/>
  <c r="AV345" i="10"/>
  <c r="AR541" i="5"/>
  <c r="AQ541" i="5"/>
  <c r="AS541" i="5"/>
  <c r="AU438" i="10"/>
  <c r="AT438" i="10"/>
  <c r="AV438" i="10"/>
  <c r="AT467" i="10"/>
  <c r="AU467" i="10"/>
  <c r="AV467" i="10"/>
  <c r="AT474" i="10"/>
  <c r="AU474" i="10"/>
  <c r="AV474" i="10"/>
  <c r="AU290" i="10"/>
  <c r="AT290" i="10"/>
  <c r="AV290" i="10"/>
  <c r="AT257" i="10"/>
  <c r="AU257" i="10"/>
  <c r="AV257" i="10"/>
  <c r="AT192" i="10"/>
  <c r="AU192" i="10"/>
  <c r="AV192" i="10"/>
  <c r="AT227" i="10"/>
  <c r="AU227" i="10"/>
  <c r="AV227" i="10"/>
  <c r="AU37" i="10"/>
  <c r="AT37" i="10"/>
  <c r="AV37" i="10"/>
  <c r="AR134" i="5"/>
  <c r="AQ134" i="5"/>
  <c r="AS134" i="5"/>
  <c r="AQ190" i="5"/>
  <c r="AR190" i="5"/>
  <c r="AS190" i="5"/>
  <c r="AQ484" i="5"/>
  <c r="AR484" i="5"/>
  <c r="AS484" i="5"/>
  <c r="AR483" i="5"/>
  <c r="AQ483" i="5"/>
  <c r="AS483" i="5"/>
  <c r="AQ20" i="5"/>
  <c r="AR20" i="5"/>
  <c r="AS20" i="5"/>
  <c r="AQ378" i="5"/>
  <c r="AR378" i="5"/>
  <c r="AS378" i="5"/>
  <c r="AQ102" i="5"/>
  <c r="AR102" i="5"/>
  <c r="AS102" i="5"/>
  <c r="AR522" i="5"/>
  <c r="AQ522" i="5"/>
  <c r="AS522" i="5"/>
  <c r="AQ402" i="5"/>
  <c r="AR402" i="5"/>
  <c r="AS402" i="5"/>
  <c r="AR105" i="5"/>
  <c r="AQ105" i="5"/>
  <c r="AS105" i="5"/>
  <c r="AQ351" i="5"/>
  <c r="AR351" i="5"/>
  <c r="AS351" i="5"/>
  <c r="AQ500" i="5"/>
  <c r="AR500" i="5"/>
  <c r="AS500" i="5"/>
  <c r="AQ128" i="5"/>
  <c r="AR128" i="5"/>
  <c r="AS128" i="5"/>
  <c r="AQ66" i="5"/>
  <c r="AR66" i="5"/>
  <c r="AS66" i="5"/>
  <c r="AU409" i="10"/>
  <c r="AT409" i="10"/>
  <c r="AV409" i="10"/>
  <c r="AT470" i="10"/>
  <c r="AU470" i="10"/>
  <c r="AV470" i="10"/>
  <c r="AU361" i="10"/>
  <c r="AT361" i="10"/>
  <c r="AV361" i="10"/>
  <c r="AT258" i="10"/>
  <c r="AU258" i="10"/>
  <c r="AV258" i="10"/>
  <c r="AU226" i="10"/>
  <c r="AT226" i="10"/>
  <c r="AV226" i="10"/>
  <c r="AU160" i="10"/>
  <c r="AT160" i="10"/>
  <c r="AV160" i="10"/>
  <c r="AU162" i="10"/>
  <c r="AT162" i="10"/>
  <c r="AV162" i="10"/>
  <c r="AT153" i="10"/>
  <c r="AU153" i="10"/>
  <c r="AV153" i="10"/>
  <c r="AK12" i="5"/>
  <c r="AL12" i="5"/>
  <c r="AR76" i="5"/>
  <c r="AQ76" i="5"/>
  <c r="AS76" i="5"/>
  <c r="AQ314" i="5"/>
  <c r="AR314" i="5"/>
  <c r="AS314" i="5"/>
  <c r="AQ188" i="5"/>
  <c r="AR188" i="5"/>
  <c r="AS188" i="5"/>
  <c r="AQ479" i="5"/>
  <c r="AR479" i="5"/>
  <c r="AS479" i="5"/>
  <c r="AR295" i="5"/>
  <c r="AQ295" i="5"/>
  <c r="AS295" i="5"/>
  <c r="AR430" i="5"/>
  <c r="AQ430" i="5"/>
  <c r="AS430" i="5"/>
  <c r="AQ463" i="5"/>
  <c r="AR463" i="5"/>
  <c r="AS463" i="5"/>
  <c r="AR172" i="5"/>
  <c r="AQ172" i="5"/>
  <c r="AS172" i="5"/>
  <c r="AQ89" i="5"/>
  <c r="AR89" i="5"/>
  <c r="AS89" i="5"/>
  <c r="AR212" i="5"/>
  <c r="AQ212" i="5"/>
  <c r="AS212" i="5"/>
  <c r="AR276" i="5"/>
  <c r="AQ276" i="5"/>
  <c r="AS276" i="5"/>
  <c r="AR301" i="5"/>
  <c r="AQ301" i="5"/>
  <c r="AS301" i="5"/>
  <c r="AR229" i="5"/>
  <c r="AQ229" i="5"/>
  <c r="AS229" i="5"/>
  <c r="AQ255" i="5"/>
  <c r="AR255" i="5"/>
  <c r="AS255" i="5"/>
  <c r="AR560" i="5"/>
  <c r="AQ560" i="5"/>
  <c r="AS560" i="5"/>
  <c r="AU498" i="10"/>
  <c r="AT498" i="10"/>
  <c r="AV498" i="10"/>
  <c r="AU365" i="10"/>
  <c r="AT365" i="10"/>
  <c r="AV365" i="10"/>
  <c r="AU262" i="10"/>
  <c r="AT262" i="10"/>
  <c r="AV262" i="10"/>
  <c r="AU230" i="10"/>
  <c r="AT230" i="10"/>
  <c r="AV230" i="10"/>
  <c r="AT164" i="10"/>
  <c r="AU164" i="10"/>
  <c r="AV164" i="10"/>
  <c r="AT197" i="10"/>
  <c r="AU197" i="10"/>
  <c r="AV197" i="10"/>
  <c r="AT125" i="10"/>
  <c r="AU125" i="10"/>
  <c r="AV125" i="10"/>
  <c r="AU241" i="10"/>
  <c r="AT241" i="10"/>
  <c r="AV241" i="10"/>
  <c r="AR158" i="5"/>
  <c r="AQ158" i="5"/>
  <c r="AS158" i="5"/>
  <c r="AQ415" i="5"/>
  <c r="AR415" i="5"/>
  <c r="AS415" i="5"/>
  <c r="AQ341" i="5"/>
  <c r="AR341" i="5"/>
  <c r="AS341" i="5"/>
  <c r="AQ420" i="5"/>
  <c r="AR420" i="5"/>
  <c r="AS420" i="5"/>
  <c r="AQ413" i="5"/>
  <c r="AR413" i="5"/>
  <c r="AS413" i="5"/>
  <c r="AQ405" i="5"/>
  <c r="AR405" i="5"/>
  <c r="AS405" i="5"/>
  <c r="AR514" i="5"/>
  <c r="AQ514" i="5"/>
  <c r="AS514" i="5"/>
  <c r="AR38" i="5"/>
  <c r="AQ38" i="5"/>
  <c r="AS38" i="5"/>
  <c r="AR469" i="5"/>
  <c r="AQ469" i="5"/>
  <c r="AS469" i="5"/>
  <c r="AN12" i="10"/>
  <c r="AO12" i="10"/>
  <c r="AR107" i="5"/>
  <c r="AQ107" i="5"/>
  <c r="AS107" i="5"/>
  <c r="AR550" i="5"/>
  <c r="AQ550" i="5"/>
  <c r="AS550" i="5"/>
  <c r="AQ195" i="5"/>
  <c r="AR195" i="5"/>
  <c r="AS195" i="5"/>
  <c r="AR307" i="5"/>
  <c r="AQ307" i="5"/>
  <c r="AS307" i="5"/>
  <c r="AQ526" i="5"/>
  <c r="AR526" i="5"/>
  <c r="AS526" i="5"/>
  <c r="AU457" i="10"/>
  <c r="AT457" i="10"/>
  <c r="AV457" i="10"/>
  <c r="AT529" i="10"/>
  <c r="AU529" i="10"/>
  <c r="AV529" i="10"/>
  <c r="AU64" i="10"/>
  <c r="AT64" i="10"/>
  <c r="AV64" i="10"/>
  <c r="AT418" i="10"/>
  <c r="AU418" i="10"/>
  <c r="AV418" i="10"/>
  <c r="AU344" i="10"/>
  <c r="AT344" i="10"/>
  <c r="AV344" i="10"/>
  <c r="AT212" i="10"/>
  <c r="AU212" i="10"/>
  <c r="AV212" i="10"/>
  <c r="AU296" i="10"/>
  <c r="AT296" i="10"/>
  <c r="AV296" i="10"/>
  <c r="AU94" i="10"/>
  <c r="AT94" i="10"/>
  <c r="AV94" i="10"/>
  <c r="AU90" i="10"/>
  <c r="AT90" i="10"/>
  <c r="AV90" i="10"/>
  <c r="AI13" i="5"/>
  <c r="AP13" i="5"/>
  <c r="AH13" i="5"/>
  <c r="AU463" i="10"/>
  <c r="AT463" i="10"/>
  <c r="AV463" i="10"/>
  <c r="AU491" i="10"/>
  <c r="AT491" i="10"/>
  <c r="AV491" i="10"/>
  <c r="AU135" i="10"/>
  <c r="AT135" i="10"/>
  <c r="AV135" i="10"/>
  <c r="AU38" i="10"/>
  <c r="AT38" i="10"/>
  <c r="AV38" i="10"/>
  <c r="AU509" i="10"/>
  <c r="AT509" i="10"/>
  <c r="AV509" i="10"/>
  <c r="AU346" i="10"/>
  <c r="AT346" i="10"/>
  <c r="AV346" i="10"/>
  <c r="AT311" i="10"/>
  <c r="AU311" i="10"/>
  <c r="AV311" i="10"/>
  <c r="AT279" i="10"/>
  <c r="AU279" i="10"/>
  <c r="AV279" i="10"/>
  <c r="AU154" i="10"/>
  <c r="AT154" i="10"/>
  <c r="AV154" i="10"/>
  <c r="AR101" i="5"/>
  <c r="AQ101" i="5"/>
  <c r="AS101" i="5"/>
  <c r="AR235" i="5"/>
  <c r="AQ235" i="5"/>
  <c r="AS235" i="5"/>
  <c r="AR108" i="5"/>
  <c r="AQ108" i="5"/>
  <c r="AS108" i="5"/>
  <c r="AQ299" i="5"/>
  <c r="AR299" i="5"/>
  <c r="AS299" i="5"/>
  <c r="AR146" i="5"/>
  <c r="AQ146" i="5"/>
  <c r="AS146" i="5"/>
  <c r="AR50" i="5"/>
  <c r="AQ50" i="5"/>
  <c r="AS50" i="5"/>
  <c r="AR280" i="5"/>
  <c r="AQ280" i="5"/>
  <c r="AS280" i="5"/>
  <c r="AR65" i="5"/>
  <c r="AQ65" i="5"/>
  <c r="AS65" i="5"/>
  <c r="AR487" i="5"/>
  <c r="AQ487" i="5"/>
  <c r="AS487" i="5"/>
  <c r="AR395" i="5"/>
  <c r="AQ395" i="5"/>
  <c r="AS395" i="5"/>
  <c r="AQ533" i="5"/>
  <c r="AR533" i="5"/>
  <c r="AS533" i="5"/>
  <c r="AW432" i="10"/>
  <c r="AX432" i="10"/>
  <c r="AT295" i="10"/>
  <c r="AU295" i="10"/>
  <c r="AV295" i="10"/>
  <c r="AR43" i="5"/>
  <c r="AQ43" i="5"/>
  <c r="AS43" i="5"/>
  <c r="AQ141" i="5"/>
  <c r="AR141" i="5"/>
  <c r="AS141" i="5"/>
  <c r="AR556" i="5"/>
  <c r="AQ556" i="5"/>
  <c r="AS556" i="5"/>
  <c r="AQ265" i="5"/>
  <c r="AR265" i="5"/>
  <c r="AS265" i="5"/>
  <c r="AT544" i="10"/>
  <c r="AU544" i="10"/>
  <c r="AV544" i="10"/>
  <c r="AU421" i="10"/>
  <c r="AT421" i="10"/>
  <c r="AV421" i="10"/>
  <c r="AR357" i="5"/>
  <c r="AQ357" i="5"/>
  <c r="AS357" i="5"/>
  <c r="AU472" i="10"/>
  <c r="AT472" i="10"/>
  <c r="AV472" i="10"/>
  <c r="AT435" i="10"/>
  <c r="AU435" i="10"/>
  <c r="AV435" i="10"/>
  <c r="AQ432" i="5"/>
  <c r="AR432" i="5"/>
  <c r="AS432" i="5"/>
  <c r="AT517" i="10"/>
  <c r="AU517" i="10"/>
  <c r="AV517" i="10"/>
  <c r="AT293" i="10"/>
  <c r="AU293" i="10"/>
  <c r="AV293" i="10"/>
  <c r="AQ36" i="5"/>
  <c r="AR36" i="5"/>
  <c r="AS36" i="5"/>
  <c r="AQ438" i="5"/>
  <c r="AR438" i="5"/>
  <c r="AS438" i="5"/>
  <c r="AT500" i="10"/>
  <c r="AU500" i="10"/>
  <c r="AV500" i="10"/>
  <c r="AT273" i="10"/>
  <c r="AU273" i="10"/>
  <c r="AV273" i="10"/>
  <c r="AQ72" i="5"/>
  <c r="AR72" i="5"/>
  <c r="AS72" i="5"/>
  <c r="AR198" i="5"/>
  <c r="AQ198" i="5"/>
  <c r="AS198" i="5"/>
  <c r="AU401" i="10"/>
  <c r="AT401" i="10"/>
  <c r="AV401" i="10"/>
  <c r="AT161" i="10"/>
  <c r="AU161" i="10"/>
  <c r="AV161" i="10"/>
  <c r="AR242" i="5"/>
  <c r="AQ242" i="5"/>
  <c r="AS242" i="5"/>
  <c r="AR42" i="5"/>
  <c r="AQ42" i="5"/>
  <c r="AS42" i="5"/>
  <c r="AQ269" i="5"/>
  <c r="AR269" i="5"/>
  <c r="AS269" i="5"/>
  <c r="AQ447" i="5"/>
  <c r="AR447" i="5"/>
  <c r="AS447" i="5"/>
  <c r="AT556" i="10"/>
  <c r="AU556" i="10"/>
  <c r="AV556" i="10"/>
  <c r="AU407" i="10"/>
  <c r="AT407" i="10"/>
  <c r="AV407" i="10"/>
  <c r="AU304" i="10"/>
  <c r="AT304" i="10"/>
  <c r="AV304" i="10"/>
  <c r="AU96" i="10"/>
  <c r="AT96" i="10"/>
  <c r="AV96" i="10"/>
  <c r="AU98" i="10"/>
  <c r="AT98" i="10"/>
  <c r="AV98" i="10"/>
  <c r="AU52" i="10"/>
  <c r="AT52" i="10"/>
  <c r="AV52" i="10"/>
  <c r="AL13" i="5"/>
  <c r="AK13" i="5"/>
  <c r="AU535" i="10"/>
  <c r="AT535" i="10"/>
  <c r="AV535" i="10"/>
  <c r="AU393" i="10"/>
  <c r="AT393" i="10"/>
  <c r="AV393" i="10"/>
  <c r="AT60" i="10"/>
  <c r="AU60" i="10"/>
  <c r="AV60" i="10"/>
  <c r="AU536" i="10"/>
  <c r="AT536" i="10"/>
  <c r="AV536" i="10"/>
  <c r="AT396" i="10"/>
  <c r="AU396" i="10"/>
  <c r="AV396" i="10"/>
  <c r="AT347" i="10"/>
  <c r="AU347" i="10"/>
  <c r="AV347" i="10"/>
  <c r="AT283" i="10"/>
  <c r="AU283" i="10"/>
  <c r="AV283" i="10"/>
  <c r="AU260" i="10"/>
  <c r="AT260" i="10"/>
  <c r="AV260" i="10"/>
  <c r="AU122" i="10"/>
  <c r="AT122" i="10"/>
  <c r="AV122" i="10"/>
  <c r="AR244" i="5"/>
  <c r="AQ244" i="5"/>
  <c r="AS244" i="5"/>
  <c r="AQ253" i="5"/>
  <c r="AR253" i="5"/>
  <c r="AS253" i="5"/>
  <c r="AR177" i="5"/>
  <c r="AQ177" i="5"/>
  <c r="AS177" i="5"/>
  <c r="AQ547" i="5"/>
  <c r="AR547" i="5"/>
  <c r="AS547" i="5"/>
  <c r="AQ250" i="5"/>
  <c r="AR250" i="5"/>
  <c r="AS250" i="5"/>
  <c r="AQ256" i="5"/>
  <c r="AR256" i="5"/>
  <c r="AS256" i="5"/>
  <c r="AQ340" i="5"/>
  <c r="AR340" i="5"/>
  <c r="AS340" i="5"/>
  <c r="AQ558" i="5"/>
  <c r="AR558" i="5"/>
  <c r="AS558" i="5"/>
  <c r="AQ175" i="5"/>
  <c r="AR175" i="5"/>
  <c r="AS175" i="5"/>
  <c r="AR11" i="5"/>
  <c r="AQ11" i="5"/>
  <c r="AS11" i="5"/>
  <c r="AU19" i="10"/>
  <c r="AT19" i="10"/>
  <c r="AV19" i="10"/>
  <c r="AT466" i="10"/>
  <c r="AU466" i="10"/>
  <c r="AV466" i="10"/>
  <c r="AU473" i="10"/>
  <c r="AT473" i="10"/>
  <c r="AV473" i="10"/>
  <c r="AU103" i="10"/>
  <c r="AT103" i="10"/>
  <c r="AV103" i="10"/>
  <c r="AU61" i="10"/>
  <c r="AT61" i="10"/>
  <c r="AV61" i="10"/>
  <c r="AU483" i="10"/>
  <c r="AT483" i="10"/>
  <c r="AV483" i="10"/>
  <c r="AU314" i="10"/>
  <c r="AT314" i="10"/>
  <c r="AV314" i="10"/>
  <c r="AT281" i="10"/>
  <c r="AU281" i="10"/>
  <c r="AV281" i="10"/>
  <c r="AT247" i="10"/>
  <c r="AU247" i="10"/>
  <c r="AV247" i="10"/>
  <c r="AT149" i="10"/>
  <c r="AU149" i="10"/>
  <c r="AV149" i="10"/>
  <c r="AQ328" i="5"/>
  <c r="AR328" i="5"/>
  <c r="AS328" i="5"/>
  <c r="AR293" i="5"/>
  <c r="AQ293" i="5"/>
  <c r="AS293" i="5"/>
  <c r="AR449" i="5"/>
  <c r="AQ449" i="5"/>
  <c r="AS449" i="5"/>
  <c r="AR456" i="5"/>
  <c r="AQ456" i="5"/>
  <c r="AS456" i="5"/>
  <c r="AQ365" i="5"/>
  <c r="AR365" i="5"/>
  <c r="AS365" i="5"/>
  <c r="AR553" i="5"/>
  <c r="AQ553" i="5"/>
  <c r="AS553" i="5"/>
  <c r="AR403" i="5"/>
  <c r="AQ403" i="5"/>
  <c r="AS403" i="5"/>
  <c r="AT187" i="10"/>
  <c r="AU187" i="10"/>
  <c r="AV187" i="10"/>
  <c r="AX300" i="10"/>
  <c r="AW300" i="10"/>
  <c r="AQ309" i="5"/>
  <c r="AR309" i="5"/>
  <c r="AS309" i="5"/>
  <c r="AQ222" i="5"/>
  <c r="AR222" i="5"/>
  <c r="AS222" i="5"/>
  <c r="AR531" i="5"/>
  <c r="AQ531" i="5"/>
  <c r="AS531" i="5"/>
  <c r="AU522" i="10"/>
  <c r="AT522" i="10"/>
  <c r="AV522" i="10"/>
  <c r="AT553" i="10"/>
  <c r="AU553" i="10"/>
  <c r="AV553" i="10"/>
  <c r="AU32" i="10"/>
  <c r="AT32" i="10"/>
  <c r="AV32" i="10"/>
  <c r="AU501" i="10"/>
  <c r="AT501" i="10"/>
  <c r="AV501" i="10"/>
  <c r="AU318" i="10"/>
  <c r="AT318" i="10"/>
  <c r="AV318" i="10"/>
  <c r="AT285" i="10"/>
  <c r="AU285" i="10"/>
  <c r="AV285" i="10"/>
  <c r="AU217" i="10"/>
  <c r="AT217" i="10"/>
  <c r="AV217" i="10"/>
  <c r="AU143" i="10"/>
  <c r="AT143" i="10"/>
  <c r="AV143" i="10"/>
  <c r="AT458" i="10"/>
  <c r="AU458" i="10"/>
  <c r="AV458" i="10"/>
  <c r="AR104" i="5"/>
  <c r="AQ104" i="5"/>
  <c r="AS104" i="5"/>
  <c r="AQ323" i="5"/>
  <c r="AR323" i="5"/>
  <c r="AS323" i="5"/>
  <c r="AQ100" i="5"/>
  <c r="AR100" i="5"/>
  <c r="AS100" i="5"/>
  <c r="AQ261" i="5"/>
  <c r="AR261" i="5"/>
  <c r="AS261" i="5"/>
  <c r="AR320" i="5"/>
  <c r="AQ320" i="5"/>
  <c r="AS320" i="5"/>
  <c r="AQ297" i="5"/>
  <c r="AR297" i="5"/>
  <c r="AS297" i="5"/>
  <c r="AQ442" i="5"/>
  <c r="AR442" i="5"/>
  <c r="AS442" i="5"/>
  <c r="AR370" i="5"/>
  <c r="AQ370" i="5"/>
  <c r="AS370" i="5"/>
  <c r="AR540" i="5"/>
  <c r="AQ540" i="5"/>
  <c r="AS540" i="5"/>
  <c r="AQ490" i="5"/>
  <c r="AR490" i="5"/>
  <c r="AS490" i="5"/>
  <c r="AT408" i="10"/>
  <c r="AU408" i="10"/>
  <c r="AV408" i="10"/>
  <c r="AU452" i="10"/>
  <c r="AT452" i="10"/>
  <c r="AV452" i="10"/>
  <c r="AT362" i="10"/>
  <c r="AU362" i="10"/>
  <c r="AV362" i="10"/>
  <c r="AT327" i="10"/>
  <c r="AU327" i="10"/>
  <c r="AV327" i="10"/>
  <c r="AU263" i="10"/>
  <c r="AT263" i="10"/>
  <c r="AV263" i="10"/>
  <c r="AU155" i="10"/>
  <c r="AT155" i="10"/>
  <c r="AV155" i="10"/>
  <c r="AU41" i="10"/>
  <c r="AT41" i="10"/>
  <c r="AV41" i="10"/>
  <c r="AU555" i="10"/>
  <c r="AT555" i="10"/>
  <c r="AV555" i="10"/>
  <c r="AT378" i="10"/>
  <c r="AU378" i="10"/>
  <c r="AV378" i="10"/>
  <c r="AR223" i="5"/>
  <c r="AQ223" i="5"/>
  <c r="AS223" i="5"/>
  <c r="AR290" i="5"/>
  <c r="AQ290" i="5"/>
  <c r="AS290" i="5"/>
  <c r="AQ227" i="5"/>
  <c r="AR227" i="5"/>
  <c r="AS227" i="5"/>
  <c r="AR41" i="5"/>
  <c r="AQ41" i="5"/>
  <c r="AS41" i="5"/>
  <c r="AR147" i="5"/>
  <c r="AQ147" i="5"/>
  <c r="AS147" i="5"/>
  <c r="AQ400" i="5"/>
  <c r="AR400" i="5"/>
  <c r="AS400" i="5"/>
  <c r="AR8" i="5"/>
  <c r="AQ8" i="5"/>
  <c r="AS8" i="5"/>
  <c r="AQ312" i="5"/>
  <c r="AR312" i="5"/>
  <c r="AS312" i="5"/>
  <c r="AR313" i="5"/>
  <c r="AQ313" i="5"/>
  <c r="AS313" i="5"/>
  <c r="AQ387" i="5"/>
  <c r="AR387" i="5"/>
  <c r="AS387" i="5"/>
  <c r="AR180" i="5"/>
  <c r="AQ180" i="5"/>
  <c r="AS180" i="5"/>
  <c r="AQ226" i="5"/>
  <c r="AR226" i="5"/>
  <c r="AS226" i="5"/>
  <c r="AQ497" i="5"/>
  <c r="AR497" i="5"/>
  <c r="AS497" i="5"/>
  <c r="AT431" i="10"/>
  <c r="AU431" i="10"/>
  <c r="AV431" i="10"/>
  <c r="AU330" i="10"/>
  <c r="AT330" i="10"/>
  <c r="AV330" i="10"/>
  <c r="AT297" i="10"/>
  <c r="AU297" i="10"/>
  <c r="AV297" i="10"/>
  <c r="AT229" i="10"/>
  <c r="AU229" i="10"/>
  <c r="AV229" i="10"/>
  <c r="AU123" i="10"/>
  <c r="AT123" i="10"/>
  <c r="AV123" i="10"/>
  <c r="AU22" i="10"/>
  <c r="AT22" i="10"/>
  <c r="AV22" i="10"/>
  <c r="AT531" i="10"/>
  <c r="AU531" i="10"/>
  <c r="AV531" i="10"/>
  <c r="AU242" i="10"/>
  <c r="AT242" i="10"/>
  <c r="AV242" i="10"/>
  <c r="AO12" i="5"/>
  <c r="AN12" i="5"/>
  <c r="AQ266" i="5"/>
  <c r="AR266" i="5"/>
  <c r="AS266" i="5"/>
  <c r="AQ118" i="5"/>
  <c r="AR118" i="5"/>
  <c r="AS118" i="5"/>
  <c r="AQ98" i="5"/>
  <c r="AR98" i="5"/>
  <c r="AS98" i="5"/>
  <c r="AR417" i="5"/>
  <c r="AQ417" i="5"/>
  <c r="AS417" i="5"/>
  <c r="AQ286" i="5"/>
  <c r="AR286" i="5"/>
  <c r="AS286" i="5"/>
  <c r="AQ549" i="5"/>
  <c r="AR549" i="5"/>
  <c r="AS549" i="5"/>
  <c r="AR243" i="5"/>
  <c r="AQ243" i="5"/>
  <c r="AS243" i="5"/>
  <c r="AQ409" i="5"/>
  <c r="AR409" i="5"/>
  <c r="AS409" i="5"/>
  <c r="AQ125" i="5"/>
  <c r="AR125" i="5"/>
  <c r="AS125" i="5"/>
  <c r="AR109" i="5"/>
  <c r="AQ109" i="5"/>
  <c r="AS109" i="5"/>
  <c r="AQ518" i="5"/>
  <c r="AR518" i="5"/>
  <c r="AS518" i="5"/>
  <c r="AR53" i="5"/>
  <c r="AQ53" i="5"/>
  <c r="AS53" i="5"/>
  <c r="AR82" i="5"/>
  <c r="AQ82" i="5"/>
  <c r="AS82" i="5"/>
  <c r="AR133" i="5"/>
  <c r="AQ133" i="5"/>
  <c r="AS133" i="5"/>
  <c r="AQ138" i="5"/>
  <c r="AR138" i="5"/>
  <c r="AS138" i="5"/>
  <c r="AT496" i="10"/>
  <c r="AU496" i="10"/>
  <c r="AV496" i="10"/>
  <c r="AT301" i="10"/>
  <c r="AU301" i="10"/>
  <c r="AV301" i="10"/>
  <c r="AT233" i="10"/>
  <c r="AU233" i="10"/>
  <c r="AV233" i="10"/>
  <c r="AU127" i="10"/>
  <c r="AT127" i="10"/>
  <c r="AV127" i="10"/>
  <c r="AU25" i="10"/>
  <c r="AT25" i="10"/>
  <c r="AV25" i="10"/>
  <c r="AU502" i="10"/>
  <c r="AT502" i="10"/>
  <c r="AV502" i="10"/>
  <c r="AT386" i="10"/>
  <c r="AU386" i="10"/>
  <c r="AV386" i="10"/>
  <c r="AU210" i="10"/>
  <c r="AT210" i="10"/>
  <c r="AV210" i="10"/>
  <c r="AR431" i="5"/>
  <c r="AQ431" i="5"/>
  <c r="AS431" i="5"/>
  <c r="AQ364" i="5"/>
  <c r="AR364" i="5"/>
  <c r="AS364" i="5"/>
  <c r="AR384" i="5"/>
  <c r="AQ384" i="5"/>
  <c r="AS384" i="5"/>
  <c r="AR63" i="5"/>
  <c r="AQ63" i="5"/>
  <c r="AS63" i="5"/>
  <c r="AR329" i="5"/>
  <c r="AQ329" i="5"/>
  <c r="AS329" i="5"/>
  <c r="AQ459" i="5"/>
  <c r="AR459" i="5"/>
  <c r="AS459" i="5"/>
  <c r="AQ126" i="5"/>
  <c r="AR126" i="5"/>
  <c r="AS126" i="5"/>
  <c r="AA12" i="10"/>
  <c r="AB12" i="10"/>
  <c r="AQ112" i="5"/>
  <c r="AR112" i="5"/>
  <c r="AS112" i="5"/>
  <c r="AR298" i="5"/>
  <c r="AQ298" i="5"/>
  <c r="AS298" i="5"/>
  <c r="AU481" i="10"/>
  <c r="AT481" i="10"/>
  <c r="AV481" i="10"/>
  <c r="AT443" i="10"/>
  <c r="AU443" i="10"/>
  <c r="AV443" i="10"/>
  <c r="AT370" i="10"/>
  <c r="AU370" i="10"/>
  <c r="AV370" i="10"/>
  <c r="AU198" i="10"/>
  <c r="AT198" i="10"/>
  <c r="AV198" i="10"/>
  <c r="AU132" i="10"/>
  <c r="AT132" i="10"/>
  <c r="AV132" i="10"/>
  <c r="AU134" i="10"/>
  <c r="AT134" i="10"/>
  <c r="AV134" i="10"/>
  <c r="AU54" i="10"/>
  <c r="AT54" i="10"/>
  <c r="AV54" i="10"/>
  <c r="AT171" i="10"/>
  <c r="AU171" i="10"/>
  <c r="AV171" i="10"/>
  <c r="U13" i="5"/>
  <c r="V13" i="5"/>
  <c r="AC13" i="5"/>
  <c r="AU486" i="10"/>
  <c r="AT486" i="10"/>
  <c r="AV486" i="10"/>
  <c r="AT512" i="10"/>
  <c r="AU512" i="10"/>
  <c r="AV512" i="10"/>
  <c r="AT51" i="10"/>
  <c r="AU51" i="10"/>
  <c r="AV51" i="10"/>
  <c r="AU434" i="10"/>
  <c r="AT434" i="10"/>
  <c r="AV434" i="10"/>
  <c r="AU312" i="10"/>
  <c r="AT312" i="10"/>
  <c r="AV312" i="10"/>
  <c r="AU367" i="10"/>
  <c r="AT367" i="10"/>
  <c r="AV367" i="10"/>
  <c r="AU264" i="10"/>
  <c r="AT264" i="10"/>
  <c r="AV264" i="10"/>
  <c r="AU193" i="10"/>
  <c r="AT193" i="10"/>
  <c r="AV193" i="10"/>
  <c r="AT50" i="10"/>
  <c r="AU50" i="10"/>
  <c r="AV50" i="10"/>
  <c r="AR421" i="5"/>
  <c r="AQ421" i="5"/>
  <c r="AS421" i="5"/>
  <c r="AR145" i="5"/>
  <c r="AQ145" i="5"/>
  <c r="AS145" i="5"/>
  <c r="AR303" i="5"/>
  <c r="AQ303" i="5"/>
  <c r="AS303" i="5"/>
  <c r="AR238" i="5"/>
  <c r="AQ238" i="5"/>
  <c r="AS238" i="5"/>
  <c r="AQ231" i="5"/>
  <c r="AR231" i="5"/>
  <c r="AS231" i="5"/>
  <c r="AQ363" i="5"/>
  <c r="AR363" i="5"/>
  <c r="AS363" i="5"/>
  <c r="AW380" i="10"/>
  <c r="AX380" i="10"/>
  <c r="AQ259" i="5"/>
  <c r="AR259" i="5"/>
  <c r="AS259" i="5"/>
  <c r="AU34" i="10"/>
  <c r="AT34" i="10"/>
  <c r="AV34" i="10"/>
  <c r="AQ90" i="5"/>
  <c r="AR90" i="5"/>
  <c r="AS90" i="5"/>
  <c r="AT482" i="10"/>
  <c r="AU482" i="10"/>
  <c r="AV482" i="10"/>
  <c r="AU373" i="10"/>
  <c r="AT373" i="10"/>
  <c r="AV373" i="10"/>
  <c r="AR544" i="5"/>
  <c r="AQ544" i="5"/>
  <c r="AS544" i="5"/>
  <c r="AU469" i="10"/>
  <c r="AT469" i="10"/>
  <c r="AV469" i="10"/>
  <c r="AQ557" i="5"/>
  <c r="AR557" i="5"/>
  <c r="AS557" i="5"/>
  <c r="AT231" i="10"/>
  <c r="AU231" i="10"/>
  <c r="AV231" i="10"/>
  <c r="U12" i="5"/>
  <c r="V12" i="5"/>
  <c r="AC12" i="5"/>
  <c r="AR359" i="5"/>
  <c r="AQ359" i="5"/>
  <c r="AS359" i="5"/>
  <c r="AU487" i="10"/>
  <c r="AT487" i="10"/>
  <c r="AV487" i="10"/>
  <c r="AR239" i="5"/>
  <c r="AQ239" i="5"/>
  <c r="AS239" i="5"/>
  <c r="AQ115" i="5"/>
  <c r="AR115" i="5"/>
  <c r="AS115" i="5"/>
  <c r="AQ455" i="5"/>
  <c r="AR455" i="5"/>
  <c r="AS455" i="5"/>
  <c r="AQ499" i="5"/>
  <c r="AR499" i="5"/>
  <c r="AS499" i="5"/>
  <c r="AU524" i="10"/>
  <c r="AT524" i="10"/>
  <c r="AV524" i="10"/>
  <c r="AU551" i="10"/>
  <c r="AT551" i="10"/>
  <c r="AV551" i="10"/>
  <c r="AU23" i="10"/>
  <c r="AT23" i="10"/>
  <c r="AV23" i="10"/>
  <c r="AU506" i="10"/>
  <c r="AT506" i="10"/>
  <c r="AV506" i="10"/>
  <c r="AU350" i="10"/>
  <c r="AT350" i="10"/>
  <c r="AV350" i="10"/>
  <c r="AT315" i="10"/>
  <c r="AU315" i="10"/>
  <c r="AV315" i="10"/>
  <c r="AT251" i="10"/>
  <c r="AU251" i="10"/>
  <c r="AV251" i="10"/>
  <c r="AT175" i="10"/>
  <c r="AU175" i="10"/>
  <c r="AV175" i="10"/>
  <c r="AT117" i="10"/>
  <c r="AU117" i="10"/>
  <c r="AV117" i="10"/>
  <c r="AQ288" i="5"/>
  <c r="AR288" i="5"/>
  <c r="AS288" i="5"/>
  <c r="AQ131" i="5"/>
  <c r="AR131" i="5"/>
  <c r="AS131" i="5"/>
  <c r="AR144" i="5"/>
  <c r="AQ144" i="5"/>
  <c r="AS144" i="5"/>
  <c r="AR151" i="5"/>
  <c r="AQ151" i="5"/>
  <c r="AS151" i="5"/>
  <c r="AQ205" i="5"/>
  <c r="AR205" i="5"/>
  <c r="AS205" i="5"/>
  <c r="AR204" i="5"/>
  <c r="AQ204" i="5"/>
  <c r="AS204" i="5"/>
  <c r="AQ510" i="5"/>
  <c r="AR510" i="5"/>
  <c r="AS510" i="5"/>
  <c r="AQ519" i="5"/>
  <c r="AR519" i="5"/>
  <c r="AS519" i="5"/>
  <c r="AQ316" i="5"/>
  <c r="AR316" i="5"/>
  <c r="AS316" i="5"/>
  <c r="AQ521" i="5"/>
  <c r="AR521" i="5"/>
  <c r="AS521" i="5"/>
  <c r="AR462" i="5"/>
  <c r="AQ462" i="5"/>
  <c r="AS462" i="5"/>
  <c r="AX525" i="10"/>
  <c r="AW525" i="10"/>
  <c r="AW145" i="10"/>
  <c r="AX145" i="10"/>
  <c r="AX85" i="10"/>
  <c r="AW85" i="10"/>
  <c r="AQ55" i="5"/>
  <c r="AR55" i="5"/>
  <c r="AS55" i="5"/>
  <c r="AU462" i="10"/>
  <c r="AT462" i="10"/>
  <c r="AV462" i="10"/>
  <c r="AU465" i="10"/>
  <c r="AT465" i="10"/>
  <c r="AV465" i="10"/>
  <c r="AT521" i="10"/>
  <c r="AU521" i="10"/>
  <c r="AV521" i="10"/>
  <c r="AU354" i="10"/>
  <c r="AT354" i="10"/>
  <c r="AV354" i="10"/>
  <c r="AT319" i="10"/>
  <c r="AU319" i="10"/>
  <c r="AV319" i="10"/>
  <c r="AT255" i="10"/>
  <c r="AU255" i="10"/>
  <c r="AV255" i="10"/>
  <c r="AU147" i="10"/>
  <c r="AT147" i="10"/>
  <c r="AV147" i="10"/>
  <c r="AT65" i="10"/>
  <c r="AU65" i="10"/>
  <c r="AV65" i="10"/>
  <c r="AR83" i="5"/>
  <c r="AQ83" i="5"/>
  <c r="AS83" i="5"/>
  <c r="AQ374" i="5"/>
  <c r="AR374" i="5"/>
  <c r="AS374" i="5"/>
  <c r="AQ281" i="5"/>
  <c r="AR281" i="5"/>
  <c r="AS281" i="5"/>
  <c r="AQ51" i="5"/>
  <c r="AR51" i="5"/>
  <c r="AS51" i="5"/>
  <c r="AQ450" i="5"/>
  <c r="AR450" i="5"/>
  <c r="AS450" i="5"/>
  <c r="AQ88" i="5"/>
  <c r="AR88" i="5"/>
  <c r="AS88" i="5"/>
  <c r="AQ217" i="5"/>
  <c r="AR217" i="5"/>
  <c r="AS217" i="5"/>
  <c r="AR498" i="5"/>
  <c r="AQ498" i="5"/>
  <c r="AS498" i="5"/>
  <c r="AW454" i="10"/>
  <c r="AX454" i="10"/>
  <c r="AQ28" i="5"/>
  <c r="AR28" i="5"/>
  <c r="AS28" i="5"/>
  <c r="AR331" i="5"/>
  <c r="AQ331" i="5"/>
  <c r="AS331" i="5"/>
  <c r="AU511" i="10"/>
  <c r="AT511" i="10"/>
  <c r="AV511" i="10"/>
  <c r="AT371" i="10"/>
  <c r="AU371" i="10"/>
  <c r="AV371" i="10"/>
  <c r="AT299" i="10"/>
  <c r="AU299" i="10"/>
  <c r="AV299" i="10"/>
  <c r="AT191" i="10"/>
  <c r="AU191" i="10"/>
  <c r="AV191" i="10"/>
  <c r="AT79" i="10"/>
  <c r="AU79" i="10"/>
  <c r="AV79" i="10"/>
  <c r="AT24" i="10"/>
  <c r="AU24" i="10"/>
  <c r="AV24" i="10"/>
  <c r="AT402" i="10"/>
  <c r="AU402" i="10"/>
  <c r="AV402" i="10"/>
  <c r="AT430" i="10"/>
  <c r="AU430" i="10"/>
  <c r="AV430" i="10"/>
  <c r="AQ214" i="5"/>
  <c r="AR214" i="5"/>
  <c r="AS214" i="5"/>
  <c r="AQ542" i="5"/>
  <c r="AR542" i="5"/>
  <c r="AS542" i="5"/>
  <c r="AR488" i="5"/>
  <c r="AQ488" i="5"/>
  <c r="AS488" i="5"/>
  <c r="AQ371" i="5"/>
  <c r="AR371" i="5"/>
  <c r="AS371" i="5"/>
  <c r="AQ496" i="5"/>
  <c r="AR496" i="5"/>
  <c r="AS496" i="5"/>
  <c r="AR75" i="5"/>
  <c r="AQ75" i="5"/>
  <c r="AS75" i="5"/>
  <c r="AR46" i="5"/>
  <c r="AQ46" i="5"/>
  <c r="AS46" i="5"/>
  <c r="AQ291" i="5"/>
  <c r="AR291" i="5"/>
  <c r="AS291" i="5"/>
  <c r="AQ257" i="5"/>
  <c r="AR257" i="5"/>
  <c r="AS257" i="5"/>
  <c r="AQ492" i="5"/>
  <c r="AR492" i="5"/>
  <c r="AS492" i="5"/>
  <c r="AT8" i="10"/>
  <c r="AU8" i="10"/>
  <c r="AV8" i="10"/>
  <c r="AT514" i="10"/>
  <c r="AU514" i="10"/>
  <c r="AV514" i="10"/>
  <c r="AU331" i="10"/>
  <c r="AT331" i="10"/>
  <c r="AV331" i="10"/>
  <c r="AT267" i="10"/>
  <c r="AU267" i="10"/>
  <c r="AV267" i="10"/>
  <c r="AT159" i="10"/>
  <c r="AU159" i="10"/>
  <c r="AV159" i="10"/>
  <c r="AU43" i="10"/>
  <c r="AT43" i="10"/>
  <c r="AV43" i="10"/>
  <c r="AU520" i="10"/>
  <c r="AT520" i="10"/>
  <c r="AV520" i="10"/>
  <c r="AT416" i="10"/>
  <c r="AU416" i="10"/>
  <c r="AV416" i="10"/>
  <c r="AT337" i="10"/>
  <c r="AU337" i="10"/>
  <c r="AV337" i="10"/>
  <c r="AR356" i="5"/>
  <c r="AQ356" i="5"/>
  <c r="AS356" i="5"/>
  <c r="AR423" i="5"/>
  <c r="AQ423" i="5"/>
  <c r="AS423" i="5"/>
  <c r="AR372" i="5"/>
  <c r="AQ372" i="5"/>
  <c r="AS372" i="5"/>
  <c r="AQ502" i="5"/>
  <c r="AR502" i="5"/>
  <c r="AS502" i="5"/>
  <c r="AQ545" i="5"/>
  <c r="AR545" i="5"/>
  <c r="AS545" i="5"/>
  <c r="AR434" i="5"/>
  <c r="AQ434" i="5"/>
  <c r="AS434" i="5"/>
  <c r="AQ555" i="5"/>
  <c r="AR555" i="5"/>
  <c r="AS555" i="5"/>
  <c r="AR404" i="5"/>
  <c r="AQ404" i="5"/>
  <c r="AS404" i="5"/>
  <c r="AU547" i="10"/>
  <c r="AT547" i="10"/>
  <c r="AV547" i="10"/>
  <c r="AU429" i="10"/>
  <c r="AT429" i="10"/>
  <c r="AV429" i="10"/>
  <c r="AT271" i="10"/>
  <c r="AU271" i="10"/>
  <c r="AV271" i="10"/>
  <c r="AU163" i="10"/>
  <c r="AT163" i="10"/>
  <c r="AV163" i="10"/>
  <c r="AU48" i="10"/>
  <c r="AT48" i="10"/>
  <c r="AV48" i="10"/>
  <c r="AU538" i="10"/>
  <c r="AT538" i="10"/>
  <c r="AV538" i="10"/>
  <c r="AT388" i="10"/>
  <c r="AU388" i="10"/>
  <c r="AV388" i="10"/>
  <c r="AT379" i="10"/>
  <c r="AU379" i="10"/>
  <c r="AV379" i="10"/>
  <c r="AU178" i="10"/>
  <c r="AT178" i="10"/>
  <c r="AV178" i="10"/>
  <c r="AQ7" i="5"/>
  <c r="AR7" i="5"/>
  <c r="AS7" i="5"/>
  <c r="AR74" i="5"/>
  <c r="AQ74" i="5"/>
  <c r="AS74" i="5"/>
  <c r="AR536" i="5"/>
  <c r="AQ536" i="5"/>
  <c r="AS536" i="5"/>
  <c r="AQ246" i="5"/>
  <c r="AR246" i="5"/>
  <c r="AS246" i="5"/>
  <c r="AQ234" i="5"/>
  <c r="AR234" i="5"/>
  <c r="AS234" i="5"/>
  <c r="AQ84" i="5"/>
  <c r="AR84" i="5"/>
  <c r="AS84" i="5"/>
  <c r="AR361" i="5"/>
  <c r="AQ361" i="5"/>
  <c r="AS361" i="5"/>
  <c r="R12" i="10"/>
  <c r="S12" i="10"/>
  <c r="AR448" i="5"/>
  <c r="AQ448" i="5"/>
  <c r="AS448" i="5"/>
  <c r="AQ183" i="5"/>
  <c r="AR183" i="5"/>
  <c r="AS183" i="5"/>
  <c r="AQ486" i="5"/>
  <c r="AR486" i="5"/>
  <c r="AS486" i="5"/>
  <c r="AR524" i="5"/>
  <c r="AQ524" i="5"/>
  <c r="AS524" i="5"/>
  <c r="AT369" i="10"/>
  <c r="AU369" i="10"/>
  <c r="AV369" i="10"/>
  <c r="AU266" i="10"/>
  <c r="AT266" i="10"/>
  <c r="AV266" i="10"/>
  <c r="AU234" i="10"/>
  <c r="AT234" i="10"/>
  <c r="AV234" i="10"/>
  <c r="AT168" i="10"/>
  <c r="AU168" i="10"/>
  <c r="AV168" i="10"/>
  <c r="AT201" i="10"/>
  <c r="AU201" i="10"/>
  <c r="AV201" i="10"/>
  <c r="AT129" i="10"/>
  <c r="AU129" i="10"/>
  <c r="AV129" i="10"/>
  <c r="AT489" i="10"/>
  <c r="AU489" i="10"/>
  <c r="AV489" i="10"/>
  <c r="AU139" i="10"/>
  <c r="AT139" i="10"/>
  <c r="AV139" i="10"/>
  <c r="AN13" i="5"/>
  <c r="AO13" i="5"/>
  <c r="AU546" i="10"/>
  <c r="AT546" i="10"/>
  <c r="AV546" i="10"/>
  <c r="AU417" i="10"/>
  <c r="AT417" i="10"/>
  <c r="AV417" i="10"/>
  <c r="AT422" i="10"/>
  <c r="AU422" i="10"/>
  <c r="AV422" i="10"/>
  <c r="AU348" i="10"/>
  <c r="AT348" i="10"/>
  <c r="AV348" i="10"/>
  <c r="AT216" i="10"/>
  <c r="AU216" i="10"/>
  <c r="AV216" i="10"/>
  <c r="AT68" i="10"/>
  <c r="AU68" i="10"/>
  <c r="AV68" i="10"/>
  <c r="AU69" i="10"/>
  <c r="AT69" i="10"/>
  <c r="AV69" i="10"/>
  <c r="AT44" i="10"/>
  <c r="AU44" i="10"/>
  <c r="AV44" i="10"/>
  <c r="AQ169" i="5"/>
  <c r="AR169" i="5"/>
  <c r="AS169" i="5"/>
  <c r="AR170" i="5"/>
  <c r="AQ170" i="5"/>
  <c r="AS170" i="5"/>
  <c r="AQ245" i="5"/>
  <c r="AR245" i="5"/>
  <c r="AS245" i="5"/>
  <c r="AR546" i="5"/>
  <c r="AQ546" i="5"/>
  <c r="AS546" i="5"/>
  <c r="AR399" i="5"/>
  <c r="AQ399" i="5"/>
  <c r="AS399" i="5"/>
  <c r="AR157" i="5"/>
  <c r="AQ157" i="5"/>
  <c r="AS157" i="5"/>
  <c r="AR22" i="5"/>
  <c r="AQ22" i="5"/>
  <c r="AS22" i="5"/>
  <c r="AT137" i="10"/>
  <c r="AU137" i="10"/>
  <c r="AV137" i="10"/>
  <c r="AR248" i="5"/>
  <c r="AQ248" i="5"/>
  <c r="AS248" i="5"/>
  <c r="AX537" i="10"/>
  <c r="AW537" i="10"/>
  <c r="AT215" i="10"/>
  <c r="AU215" i="10"/>
  <c r="AV215" i="10"/>
  <c r="AR274" i="5"/>
  <c r="AQ274" i="5"/>
  <c r="AS274" i="5"/>
  <c r="AR345" i="5"/>
  <c r="AQ345" i="5"/>
  <c r="AS345" i="5"/>
  <c r="AU42" i="10"/>
  <c r="AT42" i="10"/>
  <c r="AV42" i="10"/>
  <c r="AQ310" i="5"/>
  <c r="AR310" i="5"/>
  <c r="AS310" i="5"/>
  <c r="AT195" i="10"/>
  <c r="AU195" i="10"/>
  <c r="AV195" i="10"/>
  <c r="AQ334" i="5"/>
  <c r="AR334" i="5"/>
  <c r="AS334" i="5"/>
  <c r="AR373" i="5"/>
  <c r="AQ373" i="5"/>
  <c r="AS373" i="5"/>
  <c r="AT265" i="10"/>
  <c r="AU265" i="10"/>
  <c r="AV265" i="10"/>
  <c r="AQ56" i="5"/>
  <c r="AR56" i="5"/>
  <c r="AS56" i="5"/>
  <c r="AR537" i="5"/>
  <c r="AQ537" i="5"/>
  <c r="AS537" i="5"/>
  <c r="AQ424" i="5"/>
  <c r="AR424" i="5"/>
  <c r="AS424" i="5"/>
  <c r="AT459" i="10"/>
  <c r="AU459" i="10"/>
  <c r="AV459" i="10"/>
  <c r="AU493" i="10"/>
  <c r="AT493" i="10"/>
  <c r="AV493" i="10"/>
  <c r="AT552" i="10"/>
  <c r="AU552" i="10"/>
  <c r="AV552" i="10"/>
  <c r="AT400" i="10"/>
  <c r="AU400" i="10"/>
  <c r="AV400" i="10"/>
  <c r="AT351" i="10"/>
  <c r="AU351" i="10"/>
  <c r="AV351" i="10"/>
  <c r="AT287" i="10"/>
  <c r="AU287" i="10"/>
  <c r="AV287" i="10"/>
  <c r="AT179" i="10"/>
  <c r="AU179" i="10"/>
  <c r="AV179" i="10"/>
  <c r="AU99" i="10"/>
  <c r="AT99" i="10"/>
  <c r="AV99" i="10"/>
  <c r="AU302" i="10"/>
  <c r="AT302" i="10"/>
  <c r="AV302" i="10"/>
  <c r="AQ127" i="5"/>
  <c r="AR127" i="5"/>
  <c r="AS127" i="5"/>
  <c r="AQ285" i="5"/>
  <c r="AR285" i="5"/>
  <c r="AS285" i="5"/>
  <c r="AQ262" i="5"/>
  <c r="AR262" i="5"/>
  <c r="AS262" i="5"/>
  <c r="AQ342" i="5"/>
  <c r="AR342" i="5"/>
  <c r="AS342" i="5"/>
  <c r="AQ35" i="5"/>
  <c r="AR35" i="5"/>
  <c r="AS35" i="5"/>
  <c r="AQ379" i="5"/>
  <c r="AR379" i="5"/>
  <c r="AS379" i="5"/>
  <c r="AQ103" i="5"/>
  <c r="AR103" i="5"/>
  <c r="AS103" i="5"/>
  <c r="AR386" i="5"/>
  <c r="AQ386" i="5"/>
  <c r="AS386" i="5"/>
  <c r="AR401" i="5"/>
  <c r="AQ401" i="5"/>
  <c r="AS401" i="5"/>
  <c r="AU532" i="10"/>
  <c r="AT532" i="10"/>
  <c r="AV532" i="10"/>
  <c r="AQ201" i="5"/>
  <c r="AR201" i="5"/>
  <c r="AS201" i="5"/>
  <c r="AR25" i="5"/>
  <c r="AQ25" i="5"/>
  <c r="AS25" i="5"/>
  <c r="AR493" i="5"/>
  <c r="AQ493" i="5"/>
  <c r="AS493" i="5"/>
  <c r="AU516" i="10"/>
  <c r="AT516" i="10"/>
  <c r="AV516" i="10"/>
  <c r="AU540" i="10"/>
  <c r="AT540" i="10"/>
  <c r="AV540" i="10"/>
  <c r="AT404" i="10"/>
  <c r="AU404" i="10"/>
  <c r="AV404" i="10"/>
  <c r="AT355" i="10"/>
  <c r="AU355" i="10"/>
  <c r="AV355" i="10"/>
  <c r="AT291" i="10"/>
  <c r="AU291" i="10"/>
  <c r="AV291" i="10"/>
  <c r="AT183" i="10"/>
  <c r="AU183" i="10"/>
  <c r="AV183" i="10"/>
  <c r="AT67" i="10"/>
  <c r="AU67" i="10"/>
  <c r="AV67" i="10"/>
  <c r="AU21" i="10"/>
  <c r="AT21" i="10"/>
  <c r="AV21" i="10"/>
  <c r="AQ186" i="5"/>
  <c r="AR186" i="5"/>
  <c r="AS186" i="5"/>
  <c r="AR182" i="5"/>
  <c r="AQ182" i="5"/>
  <c r="AS182" i="5"/>
  <c r="AQ30" i="5"/>
  <c r="AR30" i="5"/>
  <c r="AS30" i="5"/>
  <c r="AQ178" i="5"/>
  <c r="AR178" i="5"/>
  <c r="AS178" i="5"/>
  <c r="AQ120" i="5"/>
  <c r="AR120" i="5"/>
  <c r="AS120" i="5"/>
  <c r="AR174" i="5"/>
  <c r="AQ174" i="5"/>
  <c r="AS174" i="5"/>
  <c r="AQ482" i="5"/>
  <c r="AR482" i="5"/>
  <c r="AS482" i="5"/>
  <c r="AR219" i="5"/>
  <c r="AQ219" i="5"/>
  <c r="AS219" i="5"/>
  <c r="AR534" i="5"/>
  <c r="AQ534" i="5"/>
  <c r="AS534" i="5"/>
  <c r="AR71" i="5"/>
  <c r="AQ71" i="5"/>
  <c r="AS71" i="5"/>
  <c r="AR410" i="5"/>
  <c r="AQ410" i="5"/>
  <c r="AS410" i="5"/>
  <c r="AW76" i="10"/>
  <c r="AX76" i="10"/>
  <c r="AU151" i="10"/>
  <c r="AT151" i="10"/>
  <c r="AV151" i="10"/>
  <c r="AU214" i="10"/>
  <c r="AT214" i="10"/>
  <c r="AV214" i="10"/>
  <c r="AQ348" i="5"/>
  <c r="AR348" i="5"/>
  <c r="AS348" i="5"/>
  <c r="AR347" i="5"/>
  <c r="AQ347" i="5"/>
  <c r="AS347" i="5"/>
  <c r="AQ333" i="5"/>
  <c r="AR333" i="5"/>
  <c r="AS333" i="5"/>
  <c r="AU9" i="10"/>
  <c r="AT9" i="10"/>
  <c r="AV9" i="10"/>
  <c r="AU453" i="10"/>
  <c r="AT453" i="10"/>
  <c r="AV453" i="10"/>
  <c r="AT196" i="10"/>
  <c r="AU196" i="10"/>
  <c r="AV196" i="10"/>
  <c r="AU280" i="10"/>
  <c r="AT280" i="10"/>
  <c r="AV280" i="10"/>
  <c r="AU177" i="10"/>
  <c r="AT177" i="10"/>
  <c r="AV177" i="10"/>
  <c r="AU49" i="10"/>
  <c r="AT49" i="10"/>
  <c r="AV49" i="10"/>
  <c r="AT406" i="10"/>
  <c r="AU406" i="10"/>
  <c r="AV406" i="10"/>
  <c r="AU309" i="10"/>
  <c r="AT309" i="10"/>
  <c r="AV309" i="10"/>
  <c r="AT398" i="10"/>
  <c r="AU398" i="10"/>
  <c r="AV398" i="10"/>
  <c r="AQ26" i="5"/>
  <c r="AR26" i="5"/>
  <c r="AS26" i="5"/>
  <c r="AQ203" i="5"/>
  <c r="AR203" i="5"/>
  <c r="AS203" i="5"/>
  <c r="AR113" i="5"/>
  <c r="AQ113" i="5"/>
  <c r="AS113" i="5"/>
  <c r="AQ165" i="5"/>
  <c r="AR165" i="5"/>
  <c r="AS165" i="5"/>
  <c r="AQ414" i="5"/>
  <c r="AR414" i="5"/>
  <c r="AS414" i="5"/>
  <c r="AR249" i="5"/>
  <c r="AQ249" i="5"/>
  <c r="AS249" i="5"/>
  <c r="AQ512" i="5"/>
  <c r="AR512" i="5"/>
  <c r="AS512" i="5"/>
  <c r="AQ551" i="5"/>
  <c r="AR551" i="5"/>
  <c r="AS551" i="5"/>
  <c r="AR300" i="5"/>
  <c r="AQ300" i="5"/>
  <c r="AS300" i="5"/>
  <c r="AQ527" i="5"/>
  <c r="AR527" i="5"/>
  <c r="AS527" i="5"/>
  <c r="AR211" i="5"/>
  <c r="AQ211" i="5"/>
  <c r="AS211" i="5"/>
  <c r="AQ193" i="5"/>
  <c r="AR193" i="5"/>
  <c r="AS193" i="5"/>
  <c r="AQ481" i="5"/>
  <c r="AR481" i="5"/>
  <c r="AS481" i="5"/>
  <c r="AR273" i="5"/>
  <c r="AQ273" i="5"/>
  <c r="AS273" i="5"/>
  <c r="AR454" i="5"/>
  <c r="AQ454" i="5"/>
  <c r="AS454" i="5"/>
  <c r="AR73" i="5"/>
  <c r="AQ73" i="5"/>
  <c r="AS73" i="5"/>
  <c r="AU558" i="10"/>
  <c r="AT558" i="10"/>
  <c r="AV558" i="10"/>
  <c r="AU448" i="10"/>
  <c r="AT448" i="10"/>
  <c r="AV448" i="10"/>
  <c r="AT303" i="10"/>
  <c r="AU303" i="10"/>
  <c r="AV303" i="10"/>
  <c r="AU248" i="10"/>
  <c r="AT248" i="10"/>
  <c r="AV248" i="10"/>
  <c r="AT83" i="10"/>
  <c r="AU83" i="10"/>
  <c r="AV83" i="10"/>
  <c r="AT26" i="10"/>
  <c r="AU26" i="10"/>
  <c r="AV26" i="10"/>
  <c r="AT420" i="10"/>
  <c r="AU420" i="10"/>
  <c r="AV420" i="10"/>
  <c r="AT332" i="10"/>
  <c r="AU332" i="10"/>
  <c r="AV332" i="10"/>
  <c r="AT384" i="10"/>
  <c r="AU384" i="10"/>
  <c r="AV384" i="10"/>
  <c r="AB12" i="5"/>
  <c r="AA12" i="5"/>
  <c r="AR258" i="5"/>
  <c r="AQ258" i="5"/>
  <c r="AS258" i="5"/>
  <c r="AR123" i="5"/>
  <c r="AQ123" i="5"/>
  <c r="AS123" i="5"/>
  <c r="AQ162" i="5"/>
  <c r="AR162" i="5"/>
  <c r="AS162" i="5"/>
  <c r="AR308" i="5"/>
  <c r="AQ308" i="5"/>
  <c r="AS308" i="5"/>
  <c r="AR181" i="5"/>
  <c r="AQ181" i="5"/>
  <c r="AS181" i="5"/>
  <c r="AR516" i="5"/>
  <c r="AQ516" i="5"/>
  <c r="AS516" i="5"/>
  <c r="AQ136" i="5"/>
  <c r="AR136" i="5"/>
  <c r="AS136" i="5"/>
  <c r="AR275" i="5"/>
  <c r="AQ275" i="5"/>
  <c r="AS275" i="5"/>
  <c r="AR282" i="5"/>
  <c r="AQ282" i="5"/>
  <c r="AS282" i="5"/>
  <c r="AQ476" i="5"/>
  <c r="AR476" i="5"/>
  <c r="AS476" i="5"/>
  <c r="AQ224" i="5"/>
  <c r="AR224" i="5"/>
  <c r="AS224" i="5"/>
  <c r="AQ506" i="5"/>
  <c r="AR506" i="5"/>
  <c r="AS506" i="5"/>
  <c r="AQ543" i="5"/>
  <c r="AR543" i="5"/>
  <c r="AS543" i="5"/>
  <c r="AR68" i="5"/>
  <c r="AQ68" i="5"/>
  <c r="AS68" i="5"/>
  <c r="AQ304" i="5"/>
  <c r="AR304" i="5"/>
  <c r="AS304" i="5"/>
  <c r="AR272" i="5"/>
  <c r="AQ272" i="5"/>
  <c r="AS272" i="5"/>
  <c r="AU461" i="10"/>
  <c r="AT461" i="10"/>
  <c r="AV461" i="10"/>
  <c r="AU510" i="10"/>
  <c r="AT510" i="10"/>
  <c r="AV510" i="10"/>
  <c r="AU252" i="10"/>
  <c r="AT252" i="10"/>
  <c r="AV252" i="10"/>
  <c r="AT87" i="10"/>
  <c r="AU87" i="10"/>
  <c r="AV87" i="10"/>
  <c r="AT29" i="10"/>
  <c r="AU29" i="10"/>
  <c r="AV29" i="10"/>
  <c r="AT424" i="10"/>
  <c r="AU424" i="10"/>
  <c r="AV424" i="10"/>
  <c r="AT383" i="10"/>
  <c r="AU383" i="10"/>
  <c r="AV383" i="10"/>
  <c r="AT204" i="10"/>
  <c r="AU204" i="10"/>
  <c r="AV204" i="10"/>
  <c r="AT232" i="10"/>
  <c r="AU232" i="10"/>
  <c r="AV232" i="10"/>
  <c r="AQ232" i="5"/>
  <c r="AR232" i="5"/>
  <c r="AS232" i="5"/>
  <c r="AR69" i="5"/>
  <c r="AQ69" i="5"/>
  <c r="AS69" i="5"/>
  <c r="AR210" i="5"/>
  <c r="AQ210" i="5"/>
  <c r="AS210" i="5"/>
  <c r="AQ148" i="5"/>
  <c r="AR148" i="5"/>
  <c r="AS148" i="5"/>
  <c r="AR32" i="5"/>
  <c r="AQ32" i="5"/>
  <c r="AS32" i="5"/>
  <c r="AR225" i="5"/>
  <c r="AQ225" i="5"/>
  <c r="AS225" i="5"/>
  <c r="AQ209" i="5"/>
  <c r="AR209" i="5"/>
  <c r="AS209" i="5"/>
  <c r="AR440" i="5"/>
  <c r="AQ440" i="5"/>
  <c r="AS440" i="5"/>
  <c r="AR346" i="5"/>
  <c r="AQ346" i="5"/>
  <c r="AS346" i="5"/>
  <c r="AQ489" i="5"/>
  <c r="AR489" i="5"/>
  <c r="AS489" i="5"/>
  <c r="AQ472" i="5"/>
  <c r="AR472" i="5"/>
  <c r="AS472" i="5"/>
  <c r="AR327" i="5"/>
  <c r="AQ327" i="5"/>
  <c r="AS327" i="5"/>
  <c r="AQ520" i="5"/>
  <c r="AR520" i="5"/>
  <c r="AS520" i="5"/>
  <c r="Y12" i="10"/>
  <c r="X12" i="10"/>
  <c r="AR325" i="5"/>
  <c r="AQ325" i="5"/>
  <c r="AS325" i="5"/>
  <c r="AR40" i="5"/>
  <c r="AQ40" i="5"/>
  <c r="AS40" i="5"/>
  <c r="AQ87" i="5"/>
  <c r="AR87" i="5"/>
  <c r="AS87" i="5"/>
  <c r="AQ477" i="5"/>
  <c r="AR477" i="5"/>
  <c r="AS477" i="5"/>
  <c r="AT494" i="10"/>
  <c r="AU494" i="10"/>
  <c r="AV494" i="10"/>
  <c r="AT269" i="10"/>
  <c r="AU269" i="10"/>
  <c r="AV269" i="10"/>
  <c r="AT203" i="10"/>
  <c r="AU203" i="10"/>
  <c r="AV203" i="10"/>
  <c r="AT239" i="10"/>
  <c r="AU239" i="10"/>
  <c r="AV239" i="10"/>
  <c r="AU376" i="10"/>
  <c r="AT376" i="10"/>
  <c r="AV376" i="10"/>
  <c r="AT455" i="10"/>
  <c r="AU455" i="10"/>
  <c r="AV455" i="10"/>
  <c r="AU338" i="10"/>
  <c r="AT338" i="10"/>
  <c r="AV338" i="10"/>
  <c r="AU180" i="10"/>
  <c r="AT180" i="10"/>
  <c r="AV180" i="10"/>
  <c r="AU480" i="10"/>
  <c r="AT480" i="10"/>
  <c r="AV480" i="10"/>
  <c r="AU411" i="10"/>
  <c r="AT411" i="10"/>
  <c r="AV411" i="10"/>
  <c r="AU329" i="10"/>
  <c r="AT329" i="10"/>
  <c r="AV329" i="10"/>
  <c r="AU166" i="10"/>
  <c r="AT166" i="10"/>
  <c r="AV166" i="10"/>
  <c r="AU100" i="10"/>
  <c r="AT100" i="10"/>
  <c r="AV100" i="10"/>
  <c r="AU102" i="10"/>
  <c r="AT102" i="10"/>
  <c r="AV102" i="10"/>
  <c r="AT53" i="10"/>
  <c r="AU53" i="10"/>
  <c r="AV53" i="10"/>
  <c r="AT95" i="10"/>
  <c r="AU95" i="10"/>
  <c r="AV95" i="10"/>
  <c r="AR27" i="5"/>
  <c r="AQ27" i="5"/>
  <c r="AS27" i="5"/>
  <c r="AR159" i="5"/>
  <c r="AQ159" i="5"/>
  <c r="AS159" i="5"/>
  <c r="AQ446" i="5"/>
  <c r="AR446" i="5"/>
  <c r="AS446" i="5"/>
  <c r="AR507" i="5"/>
  <c r="AQ507" i="5"/>
  <c r="AS507" i="5"/>
  <c r="AQ383" i="5"/>
  <c r="AR383" i="5"/>
  <c r="AS383" i="5"/>
  <c r="AQ416" i="5"/>
  <c r="AR416" i="5"/>
  <c r="AS416" i="5"/>
  <c r="AR149" i="5"/>
  <c r="AQ149" i="5"/>
  <c r="AS149" i="5"/>
  <c r="AR360" i="5"/>
  <c r="AQ360" i="5"/>
  <c r="AS360" i="5"/>
  <c r="AT277" i="10"/>
  <c r="AU277" i="10"/>
  <c r="AV277" i="10"/>
  <c r="AR394" i="5"/>
  <c r="AQ394" i="5"/>
  <c r="AS394" i="5"/>
  <c r="AQ168" i="5"/>
  <c r="AR168" i="5"/>
  <c r="AS168" i="5"/>
  <c r="AT249" i="10"/>
  <c r="AU249" i="10"/>
  <c r="AV249" i="10"/>
  <c r="AX115" i="10"/>
  <c r="AW115" i="10"/>
  <c r="AU119" i="10"/>
  <c r="AT119" i="10"/>
  <c r="AV119" i="10"/>
  <c r="AQ358" i="5"/>
  <c r="AR358" i="5"/>
  <c r="AS358" i="5"/>
  <c r="AU294" i="10"/>
  <c r="AT294" i="10"/>
  <c r="AV294" i="10"/>
  <c r="AQ495" i="5"/>
  <c r="AR495" i="5"/>
  <c r="AS495" i="5"/>
  <c r="AR468" i="5"/>
  <c r="AQ468" i="5"/>
  <c r="AS468" i="5"/>
  <c r="AT199" i="10"/>
  <c r="AU199" i="10"/>
  <c r="AV199" i="10"/>
  <c r="AR194" i="5"/>
  <c r="AQ194" i="5"/>
  <c r="AS194" i="5"/>
  <c r="AQ458" i="5"/>
  <c r="AR458" i="5"/>
  <c r="AS458" i="5"/>
  <c r="AQ44" i="5"/>
  <c r="AR44" i="5"/>
  <c r="AS44" i="5"/>
  <c r="AU385" i="10"/>
  <c r="AT385" i="10"/>
  <c r="AV385" i="10"/>
  <c r="AU316" i="10"/>
  <c r="AT316" i="10"/>
  <c r="AV316" i="10"/>
  <c r="AU268" i="10"/>
  <c r="AT268" i="10"/>
  <c r="AV268" i="10"/>
  <c r="AT73" i="10"/>
  <c r="AU73" i="10"/>
  <c r="AV73" i="10"/>
  <c r="AR140" i="5"/>
  <c r="AQ140" i="5"/>
  <c r="AS140" i="5"/>
  <c r="AR155" i="5"/>
  <c r="AQ155" i="5"/>
  <c r="AS155" i="5"/>
  <c r="AQ24" i="5"/>
  <c r="AR24" i="5"/>
  <c r="AS24" i="5"/>
  <c r="AR216" i="5"/>
  <c r="AQ216" i="5"/>
  <c r="AS216" i="5"/>
  <c r="AQ393" i="5"/>
  <c r="AR393" i="5"/>
  <c r="AS393" i="5"/>
  <c r="AR287" i="5"/>
  <c r="AQ287" i="5"/>
  <c r="AS287" i="5"/>
  <c r="AR548" i="5"/>
  <c r="AQ548" i="5"/>
  <c r="AS548" i="5"/>
  <c r="AR539" i="5"/>
  <c r="AQ539" i="5"/>
  <c r="AS539" i="5"/>
  <c r="AR418" i="5"/>
  <c r="AQ418" i="5"/>
  <c r="AS418" i="5"/>
  <c r="AR509" i="5"/>
  <c r="AQ509" i="5"/>
  <c r="AS509" i="5"/>
  <c r="AQ218" i="5"/>
  <c r="AR218" i="5"/>
  <c r="AS218" i="5"/>
  <c r="AR530" i="5"/>
  <c r="AQ530" i="5"/>
  <c r="AS530" i="5"/>
  <c r="AQ389" i="5"/>
  <c r="AR389" i="5"/>
  <c r="AS389" i="5"/>
  <c r="AU341" i="10"/>
  <c r="AT341" i="10"/>
  <c r="AV341" i="10"/>
  <c r="AU485" i="10"/>
  <c r="AT485" i="10"/>
  <c r="AV485" i="10"/>
  <c r="AU450" i="10"/>
  <c r="AT450" i="10"/>
  <c r="AV450" i="10"/>
  <c r="AT394" i="10"/>
  <c r="AU394" i="10"/>
  <c r="AV394" i="10"/>
  <c r="AU320" i="10"/>
  <c r="AT320" i="10"/>
  <c r="AV320" i="10"/>
  <c r="AU372" i="10"/>
  <c r="AT372" i="10"/>
  <c r="AV372" i="10"/>
  <c r="AT272" i="10"/>
  <c r="AU272" i="10"/>
  <c r="AV272" i="10"/>
  <c r="AU169" i="10"/>
  <c r="AT169" i="10"/>
  <c r="AV169" i="10"/>
  <c r="AU27" i="10"/>
  <c r="AT27" i="10"/>
  <c r="AV27" i="10"/>
  <c r="AU189" i="10"/>
  <c r="AT189" i="10"/>
  <c r="AV189" i="10"/>
  <c r="AQ185" i="5"/>
  <c r="AR185" i="5"/>
  <c r="AS185" i="5"/>
  <c r="AQ318" i="5"/>
  <c r="AR318" i="5"/>
  <c r="AS318" i="5"/>
  <c r="AQ166" i="5"/>
  <c r="AR166" i="5"/>
  <c r="AS166" i="5"/>
  <c r="AQ350" i="5"/>
  <c r="AR350" i="5"/>
  <c r="AS350" i="5"/>
  <c r="AQ554" i="5"/>
  <c r="AR554" i="5"/>
  <c r="AS554" i="5"/>
  <c r="AQ267" i="5"/>
  <c r="AR267" i="5"/>
  <c r="AS267" i="5"/>
  <c r="AQ461" i="5"/>
  <c r="AR461" i="5"/>
  <c r="AS461" i="5"/>
  <c r="AT508" i="10"/>
  <c r="AU508" i="10"/>
  <c r="AV508" i="10"/>
  <c r="AU527" i="10"/>
  <c r="AT527" i="10"/>
  <c r="AV527" i="10"/>
  <c r="AU80" i="10"/>
  <c r="AT80" i="10"/>
  <c r="AV80" i="10"/>
  <c r="AU82" i="10"/>
  <c r="AT82" i="10"/>
  <c r="AV82" i="10"/>
  <c r="AT89" i="10"/>
  <c r="AU89" i="10"/>
  <c r="AV89" i="10"/>
  <c r="AU395" i="10"/>
  <c r="AT395" i="10"/>
  <c r="AV395" i="10"/>
  <c r="AU313" i="10"/>
  <c r="AT313" i="10"/>
  <c r="AV313" i="10"/>
  <c r="AU182" i="10"/>
  <c r="AT182" i="10"/>
  <c r="AV182" i="10"/>
  <c r="AT412" i="10"/>
  <c r="AU412" i="10"/>
  <c r="AV412" i="10"/>
  <c r="AR80" i="5"/>
  <c r="AQ80" i="5"/>
  <c r="AS80" i="5"/>
  <c r="AR283" i="5"/>
  <c r="AQ283" i="5"/>
  <c r="AS283" i="5"/>
  <c r="AR86" i="5"/>
  <c r="AQ86" i="5"/>
  <c r="AS86" i="5"/>
  <c r="AQ220" i="5"/>
  <c r="AR220" i="5"/>
  <c r="AS220" i="5"/>
  <c r="AR501" i="5"/>
  <c r="AQ501" i="5"/>
  <c r="AS501" i="5"/>
  <c r="AR375" i="5"/>
  <c r="AQ375" i="5"/>
  <c r="AS375" i="5"/>
  <c r="AQ163" i="5"/>
  <c r="AR163" i="5"/>
  <c r="AS163" i="5"/>
  <c r="AQ294" i="5"/>
  <c r="AR294" i="5"/>
  <c r="AS294" i="5"/>
  <c r="AQ95" i="5"/>
  <c r="AR95" i="5"/>
  <c r="AS95" i="5"/>
  <c r="AR427" i="5"/>
  <c r="AQ427" i="5"/>
  <c r="AS427" i="5"/>
  <c r="AQ9" i="5"/>
  <c r="AR9" i="5"/>
  <c r="AS9" i="5"/>
  <c r="AR117" i="5"/>
  <c r="AQ117" i="5"/>
  <c r="AS117" i="5"/>
  <c r="AT492" i="10"/>
  <c r="AU492" i="10"/>
  <c r="AV492" i="10"/>
  <c r="AU507" i="10"/>
  <c r="AT507" i="10"/>
  <c r="AV507" i="10"/>
  <c r="AU284" i="10"/>
  <c r="AT284" i="10"/>
  <c r="AV284" i="10"/>
  <c r="AU181" i="10"/>
  <c r="AT181" i="10"/>
  <c r="AV181" i="10"/>
  <c r="AT56" i="10"/>
  <c r="AU56" i="10"/>
  <c r="AV56" i="10"/>
  <c r="AT410" i="10"/>
  <c r="AU410" i="10"/>
  <c r="AV410" i="10"/>
  <c r="AU336" i="10"/>
  <c r="AT336" i="10"/>
  <c r="AV336" i="10"/>
  <c r="AT236" i="10"/>
  <c r="AU236" i="10"/>
  <c r="AV236" i="10"/>
  <c r="AU328" i="10"/>
  <c r="AT328" i="10"/>
  <c r="AV328" i="10"/>
  <c r="S12" i="5"/>
  <c r="R12" i="5"/>
  <c r="AQ116" i="5"/>
  <c r="AR116" i="5"/>
  <c r="AS116" i="5"/>
  <c r="AR382" i="5"/>
  <c r="AQ382" i="5"/>
  <c r="AS382" i="5"/>
  <c r="AQ388" i="5"/>
  <c r="AR388" i="5"/>
  <c r="AS388" i="5"/>
  <c r="AQ176" i="5"/>
  <c r="AR176" i="5"/>
  <c r="AS176" i="5"/>
  <c r="AR179" i="5"/>
  <c r="AQ179" i="5"/>
  <c r="AS179" i="5"/>
  <c r="AR330" i="5"/>
  <c r="AQ330" i="5"/>
  <c r="AS330" i="5"/>
  <c r="AR532" i="5"/>
  <c r="AQ532" i="5"/>
  <c r="AS532" i="5"/>
  <c r="AQ93" i="5"/>
  <c r="AR93" i="5"/>
  <c r="AS93" i="5"/>
  <c r="AR470" i="5"/>
  <c r="AQ470" i="5"/>
  <c r="AS470" i="5"/>
  <c r="AQ478" i="5"/>
  <c r="AR478" i="5"/>
  <c r="AS478" i="5"/>
  <c r="AR391" i="5"/>
  <c r="AQ391" i="5"/>
  <c r="AS391" i="5"/>
  <c r="AR78" i="5"/>
  <c r="AQ78" i="5"/>
  <c r="AS78" i="5"/>
  <c r="AQ119" i="5"/>
  <c r="AR119" i="5"/>
  <c r="AS119" i="5"/>
  <c r="AQ247" i="5"/>
  <c r="AR247" i="5"/>
  <c r="AS247" i="5"/>
  <c r="AU554" i="10"/>
  <c r="AT554" i="10"/>
  <c r="AV554" i="10"/>
  <c r="AU444" i="10"/>
  <c r="AT444" i="10"/>
  <c r="AV444" i="10"/>
  <c r="AU185" i="10"/>
  <c r="AT185" i="10"/>
  <c r="AV185" i="10"/>
  <c r="AU62" i="10"/>
  <c r="AT62" i="10"/>
  <c r="AV62" i="10"/>
  <c r="AT414" i="10"/>
  <c r="AU414" i="10"/>
  <c r="AV414" i="10"/>
  <c r="AU340" i="10"/>
  <c r="AT340" i="10"/>
  <c r="AV340" i="10"/>
  <c r="AT208" i="10"/>
  <c r="AU208" i="10"/>
  <c r="AV208" i="10"/>
  <c r="AU88" i="10"/>
  <c r="AT88" i="10"/>
  <c r="AV88" i="10"/>
  <c r="AT200" i="10"/>
  <c r="AU200" i="10"/>
  <c r="AV200" i="10"/>
  <c r="AQ94" i="5"/>
  <c r="AR94" i="5"/>
  <c r="AS94" i="5"/>
  <c r="AQ289" i="5"/>
  <c r="AR289" i="5"/>
  <c r="AS289" i="5"/>
  <c r="AQ471" i="5"/>
  <c r="AR471" i="5"/>
  <c r="AS471" i="5"/>
  <c r="AR268" i="5"/>
  <c r="AQ268" i="5"/>
  <c r="AS268" i="5"/>
  <c r="AR392" i="5"/>
  <c r="AQ392" i="5"/>
  <c r="AS392" i="5"/>
  <c r="AQ353" i="5"/>
  <c r="AR353" i="5"/>
  <c r="AS353" i="5"/>
  <c r="AQ464" i="5"/>
  <c r="AR464" i="5"/>
  <c r="AS464" i="5"/>
  <c r="AQ12" i="10"/>
  <c r="AR12" i="10"/>
  <c r="AR426" i="5"/>
  <c r="AQ426" i="5"/>
  <c r="AS426" i="5"/>
  <c r="AR491" i="5"/>
  <c r="AQ491" i="5"/>
  <c r="AS491" i="5"/>
  <c r="AR99" i="5"/>
  <c r="AQ99" i="5"/>
  <c r="AS99" i="5"/>
  <c r="AQ528" i="5"/>
  <c r="AR528" i="5"/>
  <c r="AS528" i="5"/>
  <c r="AT542" i="10"/>
  <c r="AU542" i="10"/>
  <c r="AV542" i="10"/>
  <c r="AU397" i="10"/>
  <c r="AT397" i="10"/>
  <c r="AV397" i="10"/>
  <c r="AU237" i="10"/>
  <c r="AT237" i="10"/>
  <c r="AV237" i="10"/>
  <c r="AU131" i="10"/>
  <c r="AT131" i="10"/>
  <c r="AV131" i="10"/>
  <c r="AU35" i="10"/>
  <c r="AT35" i="10"/>
  <c r="AV35" i="10"/>
  <c r="AU515" i="10"/>
  <c r="AT515" i="10"/>
  <c r="AV515" i="10"/>
  <c r="AU342" i="10"/>
  <c r="AT342" i="10"/>
  <c r="AV342" i="10"/>
  <c r="AT339" i="10"/>
  <c r="AU339" i="10"/>
  <c r="AV339" i="10"/>
  <c r="AU148" i="10"/>
  <c r="AT148" i="10"/>
  <c r="AV148" i="10"/>
  <c r="AA13" i="5"/>
  <c r="AB13" i="5"/>
  <c r="AU548" i="10"/>
  <c r="AT548" i="10"/>
  <c r="AV548" i="10"/>
  <c r="AT374" i="10"/>
  <c r="AU374" i="10"/>
  <c r="AV374" i="10"/>
  <c r="AU202" i="10"/>
  <c r="AT202" i="10"/>
  <c r="AV202" i="10"/>
  <c r="AU136" i="10"/>
  <c r="AT136" i="10"/>
  <c r="AV136" i="10"/>
  <c r="AU138" i="10"/>
  <c r="AT138" i="10"/>
  <c r="AV138" i="10"/>
  <c r="AU57" i="10"/>
  <c r="AT57" i="10"/>
  <c r="AV57" i="10"/>
  <c r="AU389" i="10"/>
  <c r="AT389" i="10"/>
  <c r="AV389" i="10"/>
  <c r="AT63" i="10"/>
  <c r="AU63" i="10"/>
  <c r="AV63" i="10"/>
  <c r="AQ45" i="5"/>
  <c r="AR45" i="5"/>
  <c r="AS45" i="5"/>
  <c r="AQ29" i="5"/>
  <c r="AR29" i="5"/>
  <c r="AS29" i="5"/>
  <c r="AQ77" i="5"/>
  <c r="AR77" i="5"/>
  <c r="AS77" i="5"/>
  <c r="AR367" i="5"/>
  <c r="AQ367" i="5"/>
  <c r="AS367" i="5"/>
  <c r="AR485" i="5"/>
  <c r="AQ485" i="5"/>
  <c r="AS485" i="5"/>
  <c r="AQ317" i="5"/>
  <c r="AR317" i="5"/>
  <c r="AS317" i="5"/>
  <c r="AR407" i="5"/>
  <c r="AQ407" i="5"/>
  <c r="AS407" i="5"/>
  <c r="AQ64" i="5"/>
  <c r="AR64" i="5"/>
  <c r="AS64" i="5"/>
  <c r="AR302" i="5"/>
  <c r="AQ302" i="5"/>
  <c r="AS302" i="5"/>
  <c r="AR494" i="5"/>
  <c r="AQ494" i="5"/>
  <c r="AS494" i="5"/>
  <c r="AQ305" i="5"/>
  <c r="AR305" i="5"/>
  <c r="AS305" i="5"/>
  <c r="AR552" i="5"/>
  <c r="AQ552" i="5"/>
  <c r="AS552" i="5"/>
  <c r="AT109" i="10"/>
  <c r="AU109" i="10"/>
  <c r="AV109" i="10"/>
  <c r="AR428" i="5"/>
  <c r="AQ428" i="5"/>
  <c r="AS428" i="5"/>
  <c r="AT176" i="10"/>
  <c r="AU176" i="10"/>
  <c r="AV176" i="10"/>
  <c r="AQ343" i="5"/>
  <c r="AR343" i="5"/>
  <c r="AS343" i="5"/>
  <c r="AR296" i="5"/>
  <c r="AQ296" i="5"/>
  <c r="AS296" i="5"/>
  <c r="AU213" i="10"/>
  <c r="AT213" i="10"/>
  <c r="AV213" i="10"/>
  <c r="AQ59" i="5"/>
  <c r="AR59" i="5"/>
  <c r="AS59" i="5"/>
  <c r="AU326" i="10"/>
  <c r="AT326" i="10"/>
  <c r="AV326" i="10"/>
  <c r="AQ187" i="5"/>
  <c r="AR187" i="5"/>
  <c r="AS187" i="5"/>
  <c r="AT261" i="10"/>
  <c r="AU261" i="10"/>
  <c r="AV261" i="10"/>
  <c r="AQ445" i="5"/>
  <c r="AR445" i="5"/>
  <c r="AS445" i="5"/>
  <c r="AR228" i="5"/>
  <c r="AQ228" i="5"/>
  <c r="AS228" i="5"/>
  <c r="AU209" i="10"/>
  <c r="AT209" i="10"/>
  <c r="AV209" i="10"/>
  <c r="AQ161" i="5"/>
  <c r="AR161" i="5"/>
  <c r="AS161" i="5"/>
  <c r="AQ58" i="5"/>
  <c r="AR58" i="5"/>
  <c r="AS58" i="5"/>
  <c r="AT549" i="10"/>
  <c r="AU549" i="10"/>
  <c r="AV549" i="10"/>
  <c r="AT390" i="10"/>
  <c r="AU390" i="10"/>
  <c r="AV390" i="10"/>
  <c r="AU368" i="10"/>
  <c r="AT368" i="10"/>
  <c r="AV368" i="10"/>
  <c r="AU165" i="10"/>
  <c r="AT165" i="10"/>
  <c r="AV165" i="10"/>
  <c r="AU479" i="10"/>
  <c r="AT479" i="10"/>
  <c r="AV479" i="10"/>
  <c r="AT426" i="10"/>
  <c r="AU426" i="10"/>
  <c r="AV426" i="10"/>
  <c r="AU352" i="10"/>
  <c r="AT352" i="10"/>
  <c r="AV352" i="10"/>
  <c r="AT220" i="10"/>
  <c r="AU220" i="10"/>
  <c r="AV220" i="10"/>
  <c r="AU70" i="10"/>
  <c r="AT70" i="10"/>
  <c r="AV70" i="10"/>
  <c r="AU71" i="10"/>
  <c r="AT71" i="10"/>
  <c r="AV71" i="10"/>
  <c r="AT77" i="10"/>
  <c r="AU77" i="10"/>
  <c r="AV77" i="10"/>
  <c r="AT66" i="10"/>
  <c r="AU66" i="10"/>
  <c r="AV66" i="10"/>
  <c r="AQ221" i="5"/>
  <c r="AR221" i="5"/>
  <c r="AS221" i="5"/>
  <c r="AQ197" i="5"/>
  <c r="AR197" i="5"/>
  <c r="AS197" i="5"/>
  <c r="AQ111" i="5"/>
  <c r="AR111" i="5"/>
  <c r="AS111" i="5"/>
  <c r="AQ435" i="5"/>
  <c r="AR435" i="5"/>
  <c r="AS435" i="5"/>
  <c r="AU221" i="10"/>
  <c r="AT221" i="10"/>
  <c r="AV221" i="10"/>
  <c r="AX184" i="10"/>
  <c r="AW184" i="10"/>
  <c r="AT545" i="10"/>
  <c r="AU545" i="10"/>
  <c r="AV545" i="10"/>
  <c r="AU356" i="10"/>
  <c r="AT356" i="10"/>
  <c r="AV356" i="10"/>
  <c r="AT224" i="10"/>
  <c r="AU224" i="10"/>
  <c r="AV224" i="10"/>
  <c r="AU72" i="10"/>
  <c r="AT72" i="10"/>
  <c r="AV72" i="10"/>
  <c r="AU74" i="10"/>
  <c r="AT74" i="10"/>
  <c r="AV74" i="10"/>
  <c r="AT81" i="10"/>
  <c r="AU81" i="10"/>
  <c r="AV81" i="10"/>
  <c r="AU419" i="10"/>
  <c r="AT419" i="10"/>
  <c r="AV419" i="10"/>
  <c r="AU305" i="10"/>
  <c r="AT305" i="10"/>
  <c r="AV305" i="10"/>
  <c r="AQ61" i="5"/>
  <c r="AR61" i="5"/>
  <c r="AS61" i="5"/>
  <c r="AR380" i="5"/>
  <c r="AQ380" i="5"/>
  <c r="AS380" i="5"/>
  <c r="AR559" i="5"/>
  <c r="AQ559" i="5"/>
  <c r="AS559" i="5"/>
  <c r="AQ425" i="5"/>
  <c r="AR425" i="5"/>
  <c r="AS425" i="5"/>
  <c r="AR54" i="5"/>
  <c r="AQ54" i="5"/>
  <c r="AS54" i="5"/>
  <c r="AT541" i="10"/>
  <c r="AU541" i="10"/>
  <c r="AV541" i="10"/>
  <c r="AT259" i="10"/>
  <c r="AU259" i="10"/>
  <c r="AV259" i="10"/>
  <c r="AQ433" i="5"/>
  <c r="AR433" i="5"/>
  <c r="AS433" i="5"/>
  <c r="AU413" i="10"/>
  <c r="AT413" i="10"/>
  <c r="AV413" i="10"/>
  <c r="AU442" i="10"/>
  <c r="AT442" i="10"/>
  <c r="AV442" i="10"/>
  <c r="AU118" i="10"/>
  <c r="AT118" i="10"/>
  <c r="AV118" i="10"/>
  <c r="AU28" i="10"/>
  <c r="AT28" i="10"/>
  <c r="AV28" i="10"/>
  <c r="AT433" i="10"/>
  <c r="AU433" i="10"/>
  <c r="AV433" i="10"/>
  <c r="AU349" i="10"/>
  <c r="AT349" i="10"/>
  <c r="AV349" i="10"/>
  <c r="AU186" i="10"/>
  <c r="AT186" i="10"/>
  <c r="AV186" i="10"/>
  <c r="AU152" i="10"/>
  <c r="AT152" i="10"/>
  <c r="AV152" i="10"/>
  <c r="AT366" i="10"/>
  <c r="AU366" i="10"/>
  <c r="AV366" i="10"/>
  <c r="AR332" i="5"/>
  <c r="AQ332" i="5"/>
  <c r="AS332" i="5"/>
  <c r="AR142" i="5"/>
  <c r="AQ142" i="5"/>
  <c r="AS142" i="5"/>
  <c r="AR336" i="5"/>
  <c r="AQ336" i="5"/>
  <c r="AS336" i="5"/>
  <c r="AQ279" i="5"/>
  <c r="AR279" i="5"/>
  <c r="AS279" i="5"/>
  <c r="AQ150" i="5"/>
  <c r="AR150" i="5"/>
  <c r="AS150" i="5"/>
  <c r="AR326" i="5"/>
  <c r="AQ326" i="5"/>
  <c r="AS326" i="5"/>
  <c r="AR215" i="5"/>
  <c r="AQ215" i="5"/>
  <c r="AS215" i="5"/>
  <c r="AR453" i="5"/>
  <c r="AQ453" i="5"/>
  <c r="AS453" i="5"/>
  <c r="AR362" i="5"/>
  <c r="AQ362" i="5"/>
  <c r="AS362" i="5"/>
  <c r="AR381" i="5"/>
  <c r="AQ381" i="5"/>
  <c r="AS381" i="5"/>
  <c r="AR503" i="5"/>
  <c r="AQ503" i="5"/>
  <c r="AS503" i="5"/>
  <c r="AR504" i="5"/>
  <c r="AQ504" i="5"/>
  <c r="AS504" i="5"/>
  <c r="AQ31" i="5"/>
  <c r="AR31" i="5"/>
  <c r="AS31" i="5"/>
  <c r="AR376" i="5"/>
  <c r="AQ376" i="5"/>
  <c r="AS376" i="5"/>
  <c r="AR441" i="5"/>
  <c r="AQ441" i="5"/>
  <c r="AS441" i="5"/>
  <c r="AQ206" i="5"/>
  <c r="AR206" i="5"/>
  <c r="AS206" i="5"/>
  <c r="AQ467" i="5"/>
  <c r="AR467" i="5"/>
  <c r="AS467" i="5"/>
  <c r="AQ355" i="5"/>
  <c r="AR355" i="5"/>
  <c r="AS355" i="5"/>
  <c r="AU381" i="10"/>
  <c r="AT381" i="10"/>
  <c r="AV381" i="10"/>
  <c r="AU449" i="10"/>
  <c r="AT449" i="10"/>
  <c r="AV449" i="10"/>
  <c r="AU86" i="10"/>
  <c r="AT86" i="10"/>
  <c r="AV86" i="10"/>
  <c r="AT93" i="10"/>
  <c r="AU93" i="10"/>
  <c r="AV93" i="10"/>
  <c r="AU399" i="10"/>
  <c r="AT399" i="10"/>
  <c r="AV399" i="10"/>
  <c r="AU317" i="10"/>
  <c r="AT317" i="10"/>
  <c r="AV317" i="10"/>
  <c r="AT240" i="10"/>
  <c r="AU240" i="10"/>
  <c r="AV240" i="10"/>
  <c r="AU120" i="10"/>
  <c r="AT120" i="10"/>
  <c r="AV120" i="10"/>
  <c r="AT375" i="10"/>
  <c r="AU375" i="10"/>
  <c r="AV375" i="10"/>
  <c r="Y12" i="5"/>
  <c r="X12" i="5"/>
  <c r="AQ37" i="5"/>
  <c r="AR37" i="5"/>
  <c r="AS37" i="5"/>
  <c r="AR429" i="5"/>
  <c r="AQ429" i="5"/>
  <c r="AS429" i="5"/>
  <c r="AR114" i="5"/>
  <c r="AQ114" i="5"/>
  <c r="AS114" i="5"/>
  <c r="AR233" i="5"/>
  <c r="AQ233" i="5"/>
  <c r="AS233" i="5"/>
  <c r="AR451" i="5"/>
  <c r="AQ451" i="5"/>
  <c r="AS451" i="5"/>
  <c r="AR164" i="5"/>
  <c r="AQ164" i="5"/>
  <c r="AS164" i="5"/>
  <c r="AT488" i="10"/>
  <c r="AU488" i="10"/>
  <c r="AV488" i="10"/>
  <c r="AU499" i="10"/>
  <c r="AT499" i="10"/>
  <c r="AV499" i="10"/>
  <c r="AT97" i="10"/>
  <c r="AU97" i="10"/>
  <c r="AV97" i="10"/>
  <c r="AU403" i="10"/>
  <c r="AT403" i="10"/>
  <c r="AV403" i="10"/>
  <c r="AU321" i="10"/>
  <c r="AT321" i="10"/>
  <c r="AV321" i="10"/>
  <c r="AU244" i="10"/>
  <c r="AT244" i="10"/>
  <c r="AV244" i="10"/>
  <c r="AU92" i="10"/>
  <c r="AT92" i="10"/>
  <c r="AV92" i="10"/>
  <c r="AU126" i="10"/>
  <c r="AT126" i="10"/>
  <c r="AV126" i="10"/>
  <c r="AU288" i="10"/>
  <c r="AT288" i="10"/>
  <c r="AV288" i="10"/>
  <c r="AR171" i="5"/>
  <c r="AQ171" i="5"/>
  <c r="AS171" i="5"/>
  <c r="AR292" i="5"/>
  <c r="AQ292" i="5"/>
  <c r="AS292" i="5"/>
  <c r="AR139" i="5"/>
  <c r="AQ139" i="5"/>
  <c r="AS139" i="5"/>
  <c r="AQ85" i="5"/>
  <c r="AR85" i="5"/>
  <c r="AS85" i="5"/>
  <c r="AR196" i="5"/>
  <c r="AQ196" i="5"/>
  <c r="AS196" i="5"/>
  <c r="AR199" i="5"/>
  <c r="AQ199" i="5"/>
  <c r="AS199" i="5"/>
  <c r="AQ398" i="5"/>
  <c r="AR398" i="5"/>
  <c r="AS398" i="5"/>
  <c r="AQ200" i="5"/>
  <c r="AR200" i="5"/>
  <c r="AS200" i="5"/>
  <c r="AI12" i="10"/>
  <c r="AH12" i="10"/>
  <c r="AR135" i="5"/>
  <c r="AQ135" i="5"/>
  <c r="AS135" i="5"/>
  <c r="AQ511" i="5"/>
  <c r="AR511" i="5"/>
  <c r="AS511" i="5"/>
  <c r="AR129" i="5"/>
  <c r="AQ129" i="5"/>
  <c r="AS129" i="5"/>
  <c r="AU490" i="10"/>
  <c r="AT490" i="10"/>
  <c r="AV490" i="10"/>
  <c r="AU519" i="10"/>
  <c r="AT519" i="10"/>
  <c r="AV519" i="10"/>
  <c r="AT167" i="10"/>
  <c r="AU167" i="10"/>
  <c r="AV167" i="10"/>
  <c r="AU58" i="10"/>
  <c r="AT58" i="10"/>
  <c r="AV58" i="10"/>
  <c r="AT550" i="10"/>
  <c r="AU550" i="10"/>
  <c r="AV550" i="10"/>
  <c r="AT392" i="10"/>
  <c r="AU392" i="10"/>
  <c r="AV392" i="10"/>
  <c r="AT343" i="10"/>
  <c r="AU343" i="10"/>
  <c r="AV343" i="10"/>
  <c r="AU363" i="10"/>
  <c r="AT363" i="10"/>
  <c r="AV363" i="10"/>
  <c r="AU116" i="10"/>
  <c r="AT116" i="10"/>
  <c r="AV116" i="10"/>
  <c r="S13" i="5"/>
  <c r="R13" i="5"/>
  <c r="AU7" i="10"/>
  <c r="AT7" i="10"/>
  <c r="AV7" i="10"/>
  <c r="AU477" i="10"/>
  <c r="AT477" i="10"/>
  <c r="AV477" i="10"/>
  <c r="AU238" i="10"/>
  <c r="AT238" i="10"/>
  <c r="AV238" i="10"/>
  <c r="AT172" i="10"/>
  <c r="AU172" i="10"/>
  <c r="AV172" i="10"/>
  <c r="AT205" i="10"/>
  <c r="AU205" i="10"/>
  <c r="AV205" i="10"/>
  <c r="AU133" i="10"/>
  <c r="AT133" i="10"/>
  <c r="AV133" i="10"/>
  <c r="AU405" i="10"/>
  <c r="AT405" i="10"/>
  <c r="AV405" i="10"/>
  <c r="AU306" i="10"/>
  <c r="AT306" i="10"/>
  <c r="AV306" i="10"/>
  <c r="AU107" i="10"/>
  <c r="AT107" i="10"/>
  <c r="AV107" i="10"/>
  <c r="AQ236" i="5"/>
  <c r="AR236" i="5"/>
  <c r="AS236" i="5"/>
  <c r="AR96" i="5"/>
  <c r="AQ96" i="5"/>
  <c r="AS96" i="5"/>
  <c r="AQ70" i="5"/>
  <c r="AR70" i="5"/>
  <c r="AS70" i="5"/>
  <c r="AQ167" i="5"/>
  <c r="AR167" i="5"/>
  <c r="AS167" i="5"/>
  <c r="AR321" i="5"/>
  <c r="AQ321" i="5"/>
  <c r="AS321" i="5"/>
  <c r="AR523" i="5"/>
  <c r="AQ523" i="5"/>
  <c r="AS523" i="5"/>
  <c r="AQ153" i="5"/>
  <c r="AR153" i="5"/>
  <c r="AS153" i="5"/>
  <c r="AR121" i="5"/>
  <c r="AQ121" i="5"/>
  <c r="AS121" i="5"/>
  <c r="AR260" i="5"/>
  <c r="AQ260" i="5"/>
  <c r="AS260" i="5"/>
  <c r="AQ525" i="5"/>
  <c r="AR525" i="5"/>
  <c r="AS525" i="5"/>
  <c r="AQ465" i="5"/>
  <c r="AR465" i="5"/>
  <c r="AS465" i="5"/>
  <c r="AQ237" i="5"/>
  <c r="AR237" i="5"/>
  <c r="AS237" i="5"/>
  <c r="AT440" i="10"/>
  <c r="AU440" i="10"/>
  <c r="AV440" i="10"/>
  <c r="AR106" i="5"/>
  <c r="AQ106" i="5"/>
  <c r="AS106" i="5"/>
  <c r="AR92" i="5"/>
  <c r="AQ92" i="5"/>
  <c r="AS92" i="5"/>
  <c r="AU526" i="10"/>
  <c r="AT526" i="10"/>
  <c r="AV526" i="10"/>
  <c r="AU278" i="10"/>
  <c r="AT278" i="10"/>
  <c r="AV278" i="10"/>
  <c r="AQ252" i="5"/>
  <c r="AR252" i="5"/>
  <c r="AS252" i="5"/>
  <c r="AX114" i="10"/>
  <c r="AW114" i="10"/>
  <c r="AU282" i="10"/>
  <c r="AT282" i="10"/>
  <c r="AV282" i="10"/>
  <c r="AU225" i="10"/>
  <c r="AT225" i="10"/>
  <c r="AV225" i="10"/>
  <c r="AU445" i="10"/>
  <c r="AT445" i="10"/>
  <c r="AV445" i="10"/>
  <c r="AQ23" i="5"/>
  <c r="AR23" i="5"/>
  <c r="AS23" i="5"/>
  <c r="AT235" i="10"/>
  <c r="AU235" i="10"/>
  <c r="AV235" i="10"/>
  <c r="AU436" i="10"/>
  <c r="AT436" i="10"/>
  <c r="AV436" i="10"/>
  <c r="AT543" i="10"/>
  <c r="AU543" i="10"/>
  <c r="AV543" i="10"/>
  <c r="AU333" i="10"/>
  <c r="AT333" i="10"/>
  <c r="AV333" i="10"/>
  <c r="AU170" i="10"/>
  <c r="AT170" i="10"/>
  <c r="AV170" i="10"/>
  <c r="AU104" i="10"/>
  <c r="AT104" i="10"/>
  <c r="AV104" i="10"/>
  <c r="AU106" i="10"/>
  <c r="AT106" i="10"/>
  <c r="AV106" i="10"/>
  <c r="AU59" i="10"/>
  <c r="AT59" i="10"/>
  <c r="AV59" i="10"/>
  <c r="AT451" i="10"/>
  <c r="AU451" i="10"/>
  <c r="AV451" i="10"/>
  <c r="AT55" i="10"/>
  <c r="AU55" i="10"/>
  <c r="AV55" i="10"/>
  <c r="AR49" i="5"/>
  <c r="AQ49" i="5"/>
  <c r="AS49" i="5"/>
  <c r="AQ81" i="5"/>
  <c r="AR81" i="5"/>
  <c r="AS81" i="5"/>
  <c r="AQ91" i="5"/>
  <c r="AR91" i="5"/>
  <c r="AS91" i="5"/>
  <c r="AR538" i="5"/>
  <c r="AQ538" i="5"/>
  <c r="AS538" i="5"/>
  <c r="AQ352" i="5"/>
  <c r="AR352" i="5"/>
  <c r="AS352" i="5"/>
  <c r="AR110" i="5"/>
  <c r="AQ110" i="5"/>
  <c r="AS110" i="5"/>
  <c r="AR457" i="5"/>
  <c r="AQ457" i="5"/>
  <c r="AS457" i="5"/>
  <c r="AR419" i="5"/>
  <c r="AQ419" i="5"/>
  <c r="AS419" i="5"/>
  <c r="AX47" i="10"/>
  <c r="AW47" i="10"/>
  <c r="AR306" i="5"/>
  <c r="AQ306" i="5"/>
  <c r="AS306" i="5"/>
  <c r="AR366" i="5"/>
  <c r="AQ366" i="5"/>
  <c r="AS366" i="5"/>
  <c r="AS12" i="10"/>
  <c r="AU475" i="10"/>
  <c r="AT475" i="10"/>
  <c r="AV475" i="10"/>
  <c r="AT174" i="10"/>
  <c r="AU174" i="10"/>
  <c r="AV174" i="10"/>
  <c r="AU108" i="10"/>
  <c r="AT108" i="10"/>
  <c r="AV108" i="10"/>
  <c r="AU110" i="10"/>
  <c r="AT110" i="10"/>
  <c r="AV110" i="10"/>
  <c r="AT30" i="10"/>
  <c r="AU30" i="10"/>
  <c r="AV30" i="10"/>
  <c r="AU423" i="10"/>
  <c r="AT423" i="10"/>
  <c r="AV423" i="10"/>
  <c r="AT382" i="10"/>
  <c r="AU382" i="10"/>
  <c r="AV382" i="10"/>
  <c r="AT275" i="10"/>
  <c r="AU275" i="10"/>
  <c r="AV275" i="10"/>
  <c r="AR277" i="5"/>
  <c r="AQ277" i="5"/>
  <c r="AS277" i="5"/>
  <c r="AQ34" i="5"/>
  <c r="AR34" i="5"/>
  <c r="AS34" i="5"/>
  <c r="AR240" i="5"/>
  <c r="AQ240" i="5"/>
  <c r="AS240" i="5"/>
  <c r="AR97" i="5"/>
  <c r="AQ97" i="5"/>
  <c r="AS97" i="5"/>
  <c r="AR208" i="5"/>
  <c r="AQ208" i="5"/>
  <c r="AS208" i="5"/>
  <c r="AR339" i="5"/>
  <c r="AQ339" i="5"/>
  <c r="AS339" i="5"/>
  <c r="AQ324" i="5"/>
  <c r="AR324" i="5"/>
  <c r="AS324" i="5"/>
  <c r="AR396" i="5"/>
  <c r="AQ396" i="5"/>
  <c r="AS396" i="5"/>
  <c r="AR154" i="5"/>
  <c r="AQ154" i="5"/>
  <c r="AS154" i="5"/>
  <c r="AQ385" i="5"/>
  <c r="AR385" i="5"/>
  <c r="AS385" i="5"/>
  <c r="AQ230" i="5"/>
  <c r="AR230" i="5"/>
  <c r="AS230" i="5"/>
  <c r="AR191" i="5"/>
  <c r="AQ191" i="5"/>
  <c r="AS191" i="5"/>
  <c r="AR480" i="5"/>
  <c r="AQ480" i="5"/>
  <c r="AS480" i="5"/>
  <c r="AR278" i="5"/>
  <c r="AQ278" i="5"/>
  <c r="AS278" i="5"/>
  <c r="AQ466" i="5"/>
  <c r="AR466" i="5"/>
  <c r="AS466" i="5"/>
  <c r="AT10" i="10"/>
  <c r="AU10" i="10"/>
  <c r="AV10" i="10"/>
  <c r="AW471" i="10"/>
  <c r="AX471" i="10"/>
  <c r="AT323" i="10"/>
  <c r="AU323" i="10"/>
  <c r="AV323" i="10"/>
  <c r="AU173" i="10"/>
  <c r="AT173" i="10"/>
  <c r="AV173" i="10"/>
  <c r="AQ349" i="5"/>
  <c r="AR349" i="5"/>
  <c r="AS349" i="5"/>
  <c r="AR241" i="5"/>
  <c r="AQ241" i="5"/>
  <c r="AS241" i="5"/>
  <c r="AR189" i="5"/>
  <c r="AQ189" i="5"/>
  <c r="AS189" i="5"/>
  <c r="AV13" i="10"/>
  <c r="AD13" i="10"/>
  <c r="AE13" i="10"/>
  <c r="AU513" i="10"/>
  <c r="AT513" i="10"/>
  <c r="AV513" i="10"/>
  <c r="AU534" i="10"/>
  <c r="AT534" i="10"/>
  <c r="AV534" i="10"/>
  <c r="AT113" i="10"/>
  <c r="AU113" i="10"/>
  <c r="AV113" i="10"/>
  <c r="AU468" i="10"/>
  <c r="AT468" i="10"/>
  <c r="AV468" i="10"/>
  <c r="AU254" i="10"/>
  <c r="AT254" i="10"/>
  <c r="AV254" i="10"/>
  <c r="AU222" i="10"/>
  <c r="AT222" i="10"/>
  <c r="AV222" i="10"/>
  <c r="AU156" i="10"/>
  <c r="AT156" i="10"/>
  <c r="AV156" i="10"/>
  <c r="AT223" i="10"/>
  <c r="AU223" i="10"/>
  <c r="AV223" i="10"/>
  <c r="AT335" i="10"/>
  <c r="AU335" i="10"/>
  <c r="AV335" i="10"/>
  <c r="AQ137" i="5"/>
  <c r="AR137" i="5"/>
  <c r="AS137" i="5"/>
  <c r="AQ184" i="5"/>
  <c r="AR184" i="5"/>
  <c r="AS184" i="5"/>
  <c r="AQ335" i="5"/>
  <c r="AR335" i="5"/>
  <c r="AS335" i="5"/>
  <c r="AR515" i="5"/>
  <c r="AQ515" i="5"/>
  <c r="AS515" i="5"/>
  <c r="AQ529" i="5"/>
  <c r="AR529" i="5"/>
  <c r="AS529" i="5"/>
  <c r="AQ444" i="5"/>
  <c r="AR444" i="5"/>
  <c r="AS444" i="5"/>
  <c r="AQ322" i="5"/>
  <c r="AR322" i="5"/>
  <c r="AS322" i="5"/>
  <c r="AR213" i="5"/>
  <c r="AQ213" i="5"/>
  <c r="AS213" i="5"/>
  <c r="AQ397" i="5"/>
  <c r="AR397" i="5"/>
  <c r="AS397" i="5"/>
  <c r="AR475" i="5"/>
  <c r="AQ475" i="5"/>
  <c r="AS475" i="5"/>
  <c r="AU505" i="10"/>
  <c r="AT505" i="10"/>
  <c r="AV505" i="10"/>
  <c r="AU530" i="10"/>
  <c r="AT530" i="10"/>
  <c r="AV530" i="10"/>
  <c r="AU45" i="10"/>
  <c r="AT45" i="10"/>
  <c r="AV45" i="10"/>
  <c r="AT437" i="10"/>
  <c r="AU437" i="10"/>
  <c r="AV437" i="10"/>
  <c r="AU353" i="10"/>
  <c r="AT353" i="10"/>
  <c r="AV353" i="10"/>
  <c r="AU190" i="10"/>
  <c r="AT190" i="10"/>
  <c r="AV190" i="10"/>
  <c r="AU124" i="10"/>
  <c r="AT124" i="10"/>
  <c r="AV124" i="10"/>
  <c r="AU158" i="10"/>
  <c r="AT158" i="10"/>
  <c r="AV158" i="10"/>
  <c r="AU360" i="10"/>
  <c r="AT360" i="10"/>
  <c r="AV360" i="10"/>
  <c r="AP12" i="5"/>
  <c r="AI12" i="5"/>
  <c r="AH12" i="5"/>
  <c r="AQ192" i="5"/>
  <c r="AR192" i="5"/>
  <c r="AS192" i="5"/>
  <c r="AR207" i="5"/>
  <c r="AQ207" i="5"/>
  <c r="AS207" i="5"/>
  <c r="AR33" i="5"/>
  <c r="AQ33" i="5"/>
  <c r="AS33" i="5"/>
  <c r="AR344" i="5"/>
  <c r="AQ344" i="5"/>
  <c r="AS344" i="5"/>
  <c r="AQ338" i="5"/>
  <c r="AR338" i="5"/>
  <c r="AS338" i="5"/>
  <c r="AQ513" i="5"/>
  <c r="AR513" i="5"/>
  <c r="AS513" i="5"/>
  <c r="AR47" i="5"/>
  <c r="AQ47" i="5"/>
  <c r="AS47" i="5"/>
  <c r="AQ436" i="5"/>
  <c r="AR436" i="5"/>
  <c r="AS436" i="5"/>
  <c r="AQ270" i="5"/>
  <c r="AR270" i="5"/>
  <c r="AS270" i="5"/>
  <c r="AR422" i="5"/>
  <c r="AQ422" i="5"/>
  <c r="AS422" i="5"/>
  <c r="AQ337" i="5"/>
  <c r="AR337" i="5"/>
  <c r="AS337" i="5"/>
  <c r="AQ202" i="5"/>
  <c r="AR202" i="5"/>
  <c r="AS202" i="5"/>
  <c r="AQ39" i="5"/>
  <c r="AR39" i="5"/>
  <c r="AS39" i="5"/>
  <c r="AQ505" i="5"/>
  <c r="AR505" i="5"/>
  <c r="AS505" i="5"/>
  <c r="AR474" i="5"/>
  <c r="AQ474" i="5"/>
  <c r="AS474" i="5"/>
  <c r="AQ390" i="5"/>
  <c r="AR390" i="5"/>
  <c r="AS390" i="5"/>
  <c r="AR160" i="5"/>
  <c r="AQ160" i="5"/>
  <c r="AS160" i="5"/>
  <c r="AR52" i="5"/>
  <c r="AQ52" i="5"/>
  <c r="AS52" i="5"/>
  <c r="AU377" i="10"/>
  <c r="AT377" i="10"/>
  <c r="AV377" i="10"/>
  <c r="AU441" i="10"/>
  <c r="AT441" i="10"/>
  <c r="AV441" i="10"/>
  <c r="AT439" i="10"/>
  <c r="AU439" i="10"/>
  <c r="AV439" i="10"/>
  <c r="AU357" i="10"/>
  <c r="AT357" i="10"/>
  <c r="AV357" i="10"/>
  <c r="AU194" i="10"/>
  <c r="AT194" i="10"/>
  <c r="AV194" i="10"/>
  <c r="AU128" i="10"/>
  <c r="AT128" i="10"/>
  <c r="AV128" i="10"/>
  <c r="AU130" i="10"/>
  <c r="AT130" i="10"/>
  <c r="AV130" i="10"/>
  <c r="AT121" i="10"/>
  <c r="AU121" i="10"/>
  <c r="AV121" i="10"/>
  <c r="AQ439" i="5"/>
  <c r="AR439" i="5"/>
  <c r="AS439" i="5"/>
  <c r="AQ19" i="5"/>
  <c r="AR19" i="5"/>
  <c r="AS19" i="5"/>
  <c r="AQ251" i="5"/>
  <c r="AR251" i="5"/>
  <c r="AS251" i="5"/>
  <c r="AR130" i="5"/>
  <c r="AQ130" i="5"/>
  <c r="AS130" i="5"/>
  <c r="AR412" i="5"/>
  <c r="AQ412" i="5"/>
  <c r="AS412" i="5"/>
  <c r="AQ377" i="5"/>
  <c r="AR377" i="5"/>
  <c r="AS377" i="5"/>
  <c r="AQ535" i="5"/>
  <c r="AR535" i="5"/>
  <c r="AS535" i="5"/>
  <c r="AQ10" i="5"/>
  <c r="AR10" i="5"/>
  <c r="AS10" i="5"/>
  <c r="V12" i="10"/>
  <c r="U12" i="10"/>
  <c r="AC12" i="10"/>
  <c r="AR319" i="5"/>
  <c r="AQ319" i="5"/>
  <c r="AS319" i="5"/>
  <c r="AQ311" i="5"/>
  <c r="AR311" i="5"/>
  <c r="AS311" i="5"/>
  <c r="AT557" i="10"/>
  <c r="AU557" i="10"/>
  <c r="AV557" i="10"/>
  <c r="AU425" i="10"/>
  <c r="AT425" i="10"/>
  <c r="AV425" i="10"/>
  <c r="AT91" i="10"/>
  <c r="AU91" i="10"/>
  <c r="AV91" i="10"/>
  <c r="AT36" i="10"/>
  <c r="AU36" i="10"/>
  <c r="AV36" i="10"/>
  <c r="AT428" i="10"/>
  <c r="AU428" i="10"/>
  <c r="AV428" i="10"/>
  <c r="AU308" i="10"/>
  <c r="AT308" i="10"/>
  <c r="AV308" i="10"/>
  <c r="AU364" i="10"/>
  <c r="AT364" i="10"/>
  <c r="AV364" i="10"/>
  <c r="AU292" i="10"/>
  <c r="AT292" i="10"/>
  <c r="AV292" i="10"/>
  <c r="AT84" i="10"/>
  <c r="AU84" i="10"/>
  <c r="AV84" i="10"/>
  <c r="Y13" i="5"/>
  <c r="X13" i="5"/>
  <c r="AU528" i="10"/>
  <c r="AT528" i="10"/>
  <c r="AV528" i="10"/>
  <c r="AU559" i="10"/>
  <c r="AT559" i="10"/>
  <c r="AV559" i="10"/>
  <c r="AU207" i="10"/>
  <c r="AT207" i="10"/>
  <c r="AV207" i="10"/>
  <c r="AT243" i="10"/>
  <c r="AU243" i="10"/>
  <c r="AV243" i="10"/>
  <c r="AT46" i="10"/>
  <c r="AU46" i="10"/>
  <c r="AV46" i="10"/>
  <c r="AT504" i="10"/>
  <c r="AU504" i="10"/>
  <c r="AV504" i="10"/>
  <c r="AU310" i="10"/>
  <c r="AT310" i="10"/>
  <c r="AV310" i="10"/>
  <c r="AU307" i="10"/>
  <c r="AT307" i="10"/>
  <c r="AV307" i="10"/>
  <c r="AT219" i="10"/>
  <c r="AU219" i="10"/>
  <c r="AV219" i="10"/>
  <c r="AQ263" i="5"/>
  <c r="AR263" i="5"/>
  <c r="AS263" i="5"/>
  <c r="AR508" i="5"/>
  <c r="AQ508" i="5"/>
  <c r="AS508" i="5"/>
  <c r="AQ271" i="5"/>
  <c r="AR271" i="5"/>
  <c r="AS271" i="5"/>
  <c r="AQ408" i="5"/>
  <c r="AR408" i="5"/>
  <c r="AS408" i="5"/>
  <c r="AQ354" i="5"/>
  <c r="AR354" i="5"/>
  <c r="AS354" i="5"/>
  <c r="AW484" i="10"/>
  <c r="AU322" i="10"/>
  <c r="AT322" i="10"/>
  <c r="AV322" i="10"/>
  <c r="AX250" i="10"/>
  <c r="AW250" i="10"/>
  <c r="AR152" i="5"/>
  <c r="AQ152" i="5"/>
  <c r="AS152" i="5"/>
  <c r="AR284" i="5"/>
  <c r="AQ284" i="5"/>
  <c r="AS284" i="5"/>
  <c r="AW228" i="10" l="1"/>
  <c r="AX78" i="10"/>
  <c r="AX324" i="10"/>
  <c r="AW518" i="10"/>
  <c r="AX40" i="10"/>
  <c r="AX478" i="10"/>
  <c r="AX387" i="10"/>
  <c r="AW75" i="10"/>
  <c r="AX334" i="10"/>
  <c r="AX188" i="10"/>
  <c r="AW20" i="10"/>
  <c r="AX503" i="10"/>
  <c r="AW253" i="10"/>
  <c r="AW446" i="10"/>
  <c r="AW523" i="10"/>
  <c r="AW415" i="10"/>
  <c r="AW359" i="10"/>
  <c r="AX533" i="10"/>
  <c r="AX218" i="10"/>
  <c r="AW39" i="10"/>
  <c r="AW111" i="10"/>
  <c r="AW286" i="10"/>
  <c r="AX497" i="10"/>
  <c r="AX560" i="10"/>
  <c r="AX276" i="10"/>
  <c r="AW358" i="10"/>
  <c r="AW289" i="10"/>
  <c r="AW150" i="10"/>
  <c r="AX391" i="10"/>
  <c r="AX112" i="10"/>
  <c r="AX464" i="10"/>
  <c r="AW33" i="10"/>
  <c r="AT377" i="5"/>
  <c r="AU377" i="5"/>
  <c r="AW526" i="10"/>
  <c r="AX526" i="10"/>
  <c r="AW58" i="10"/>
  <c r="AX58" i="10"/>
  <c r="AU429" i="5"/>
  <c r="AT429" i="5"/>
  <c r="AT336" i="5"/>
  <c r="AU336" i="5"/>
  <c r="AW479" i="10"/>
  <c r="AX479" i="10"/>
  <c r="AX237" i="10"/>
  <c r="AW237" i="10"/>
  <c r="AX507" i="10"/>
  <c r="AW507" i="10"/>
  <c r="AW268" i="10"/>
  <c r="AX268" i="10"/>
  <c r="AU232" i="5"/>
  <c r="AT232" i="5"/>
  <c r="AU26" i="5"/>
  <c r="AT26" i="5"/>
  <c r="AT493" i="5"/>
  <c r="AU493" i="5"/>
  <c r="AW369" i="10"/>
  <c r="AX369" i="10"/>
  <c r="AU75" i="5"/>
  <c r="AT75" i="5"/>
  <c r="AW469" i="10"/>
  <c r="AX469" i="10"/>
  <c r="AW481" i="10"/>
  <c r="AX481" i="10"/>
  <c r="AU354" i="5"/>
  <c r="AT354" i="5"/>
  <c r="AW121" i="10"/>
  <c r="AX121" i="10"/>
  <c r="AT508" i="5"/>
  <c r="AU508" i="5"/>
  <c r="AT412" i="5"/>
  <c r="AU412" i="5"/>
  <c r="AX307" i="10"/>
  <c r="AW307" i="10"/>
  <c r="AW364" i="10"/>
  <c r="AX364" i="10"/>
  <c r="AU319" i="5"/>
  <c r="AT319" i="5"/>
  <c r="AT19" i="5"/>
  <c r="AU19" i="5"/>
  <c r="AX441" i="10"/>
  <c r="AW441" i="10"/>
  <c r="AU202" i="5"/>
  <c r="AT202" i="5"/>
  <c r="AU344" i="5"/>
  <c r="AT344" i="5"/>
  <c r="AX190" i="10"/>
  <c r="AW190" i="10"/>
  <c r="AT213" i="5"/>
  <c r="AU213" i="5"/>
  <c r="AW335" i="10"/>
  <c r="AX335" i="10"/>
  <c r="AW513" i="10"/>
  <c r="AX513" i="10"/>
  <c r="AU480" i="5"/>
  <c r="AT480" i="5"/>
  <c r="AT208" i="5"/>
  <c r="AU208" i="5"/>
  <c r="AX30" i="10"/>
  <c r="AW30" i="10"/>
  <c r="AU366" i="5"/>
  <c r="AT366" i="5"/>
  <c r="AU110" i="5"/>
  <c r="AT110" i="5"/>
  <c r="AW59" i="10"/>
  <c r="AX59" i="10"/>
  <c r="AT23" i="5"/>
  <c r="AU23" i="5"/>
  <c r="AT121" i="5"/>
  <c r="AU121" i="5"/>
  <c r="AX107" i="10"/>
  <c r="AW107" i="10"/>
  <c r="AX7" i="10"/>
  <c r="AW7" i="10"/>
  <c r="AX363" i="10"/>
  <c r="AW363" i="10"/>
  <c r="AU129" i="5"/>
  <c r="AT129" i="5"/>
  <c r="AT135" i="5"/>
  <c r="AU135" i="5"/>
  <c r="AU398" i="5"/>
  <c r="AT398" i="5"/>
  <c r="AX126" i="10"/>
  <c r="AW126" i="10"/>
  <c r="AU164" i="5"/>
  <c r="AT164" i="5"/>
  <c r="AX399" i="10"/>
  <c r="AW399" i="10"/>
  <c r="AT441" i="5"/>
  <c r="AU441" i="5"/>
  <c r="AU215" i="5"/>
  <c r="AT215" i="5"/>
  <c r="AW152" i="10"/>
  <c r="AX152" i="10"/>
  <c r="AU433" i="5"/>
  <c r="AT433" i="5"/>
  <c r="AX541" i="10"/>
  <c r="AW541" i="10"/>
  <c r="AX81" i="10"/>
  <c r="AW81" i="10"/>
  <c r="AW70" i="10"/>
  <c r="AX70" i="10"/>
  <c r="AX549" i="10"/>
  <c r="AW549" i="10"/>
  <c r="AX213" i="10"/>
  <c r="AW213" i="10"/>
  <c r="AU64" i="5"/>
  <c r="AT64" i="5"/>
  <c r="AX63" i="10"/>
  <c r="AW63" i="10"/>
  <c r="AX342" i="10"/>
  <c r="AW342" i="10"/>
  <c r="AT99" i="5"/>
  <c r="AU99" i="5"/>
  <c r="AW200" i="10"/>
  <c r="AX200" i="10"/>
  <c r="AX554" i="10"/>
  <c r="AW554" i="10"/>
  <c r="AT532" i="5"/>
  <c r="AU532" i="5"/>
  <c r="AX410" i="10"/>
  <c r="AW410" i="10"/>
  <c r="AU427" i="5"/>
  <c r="AT427" i="5"/>
  <c r="AT283" i="5"/>
  <c r="AU283" i="5"/>
  <c r="AX80" i="10"/>
  <c r="AW80" i="10"/>
  <c r="AU267" i="5"/>
  <c r="AT267" i="5"/>
  <c r="AX169" i="10"/>
  <c r="AW169" i="10"/>
  <c r="AT218" i="5"/>
  <c r="AU218" i="5"/>
  <c r="AT24" i="5"/>
  <c r="AU24" i="5"/>
  <c r="AU458" i="5"/>
  <c r="AT458" i="5"/>
  <c r="AU394" i="5"/>
  <c r="AT394" i="5"/>
  <c r="AU416" i="5"/>
  <c r="AT416" i="5"/>
  <c r="AW102" i="10"/>
  <c r="AX102" i="10"/>
  <c r="AW455" i="10"/>
  <c r="AX455" i="10"/>
  <c r="AU40" i="5"/>
  <c r="AT40" i="5"/>
  <c r="AT520" i="5"/>
  <c r="AU520" i="5"/>
  <c r="AU32" i="5"/>
  <c r="AT32" i="5"/>
  <c r="AX424" i="10"/>
  <c r="AW424" i="10"/>
  <c r="AT68" i="5"/>
  <c r="AU68" i="5"/>
  <c r="AT516" i="5"/>
  <c r="AU516" i="5"/>
  <c r="AW83" i="10"/>
  <c r="AX83" i="10"/>
  <c r="AT481" i="5"/>
  <c r="AU481" i="5"/>
  <c r="AT414" i="5"/>
  <c r="AU414" i="5"/>
  <c r="AW49" i="10"/>
  <c r="AX49" i="10"/>
  <c r="AT348" i="5"/>
  <c r="AU348" i="5"/>
  <c r="AU178" i="5"/>
  <c r="AT178" i="5"/>
  <c r="AX355" i="10"/>
  <c r="AW355" i="10"/>
  <c r="AT103" i="5"/>
  <c r="AU103" i="5"/>
  <c r="AX99" i="10"/>
  <c r="AW99" i="10"/>
  <c r="AT424" i="5"/>
  <c r="AU424" i="5"/>
  <c r="AW42" i="10"/>
  <c r="AX42" i="10"/>
  <c r="AU22" i="5"/>
  <c r="AT22" i="5"/>
  <c r="AW69" i="10"/>
  <c r="AX69" i="10"/>
  <c r="AX201" i="10"/>
  <c r="AW201" i="10"/>
  <c r="AT448" i="5"/>
  <c r="AU448" i="5"/>
  <c r="AT84" i="5"/>
  <c r="AU84" i="5"/>
  <c r="AW388" i="10"/>
  <c r="AX388" i="10"/>
  <c r="AT555" i="5"/>
  <c r="AU555" i="5"/>
  <c r="AX416" i="10"/>
  <c r="AW416" i="10"/>
  <c r="AT492" i="5"/>
  <c r="AU492" i="5"/>
  <c r="AU542" i="5"/>
  <c r="AT542" i="5"/>
  <c r="AW371" i="10"/>
  <c r="AX371" i="10"/>
  <c r="AT51" i="5"/>
  <c r="AU51" i="5"/>
  <c r="AW354" i="10"/>
  <c r="AX354" i="10"/>
  <c r="AU521" i="5"/>
  <c r="AT521" i="5"/>
  <c r="AU131" i="5"/>
  <c r="AT131" i="5"/>
  <c r="AX23" i="10"/>
  <c r="AW23" i="10"/>
  <c r="AU359" i="5"/>
  <c r="AT359" i="5"/>
  <c r="AT259" i="5"/>
  <c r="AU259" i="5"/>
  <c r="AU303" i="5"/>
  <c r="AT303" i="5"/>
  <c r="AW434" i="10"/>
  <c r="AX434" i="10"/>
  <c r="AX132" i="10"/>
  <c r="AW132" i="10"/>
  <c r="AU63" i="5"/>
  <c r="AT63" i="5"/>
  <c r="AX127" i="10"/>
  <c r="AW127" i="10"/>
  <c r="AU518" i="5"/>
  <c r="AT518" i="5"/>
  <c r="AT98" i="5"/>
  <c r="AU98" i="5"/>
  <c r="AW431" i="10"/>
  <c r="AX431" i="10"/>
  <c r="AU400" i="5"/>
  <c r="AT400" i="5"/>
  <c r="AX41" i="10"/>
  <c r="AW41" i="10"/>
  <c r="AT540" i="5"/>
  <c r="AU540" i="5"/>
  <c r="AU104" i="5"/>
  <c r="AT104" i="5"/>
  <c r="AW553" i="10"/>
  <c r="AX553" i="10"/>
  <c r="AT328" i="5"/>
  <c r="AU328" i="5"/>
  <c r="AW473" i="10"/>
  <c r="AX473" i="10"/>
  <c r="AT177" i="5"/>
  <c r="AU177" i="5"/>
  <c r="AX536" i="10"/>
  <c r="AW536" i="10"/>
  <c r="AT447" i="5"/>
  <c r="AU447" i="5"/>
  <c r="AX273" i="10"/>
  <c r="AW273" i="10"/>
  <c r="AX472" i="10"/>
  <c r="AW472" i="10"/>
  <c r="AT299" i="5"/>
  <c r="AU299" i="5"/>
  <c r="AX509" i="10"/>
  <c r="AW509" i="10"/>
  <c r="AQ13" i="5"/>
  <c r="AR13" i="5"/>
  <c r="AW296" i="10"/>
  <c r="AX296" i="10"/>
  <c r="AT307" i="5"/>
  <c r="AU307" i="5"/>
  <c r="AU341" i="5"/>
  <c r="AT341" i="5"/>
  <c r="AX262" i="10"/>
  <c r="AW262" i="10"/>
  <c r="AU212" i="5"/>
  <c r="AT212" i="5"/>
  <c r="AT314" i="5"/>
  <c r="AU314" i="5"/>
  <c r="AX153" i="10"/>
  <c r="AW153" i="10"/>
  <c r="AU66" i="5"/>
  <c r="AT66" i="5"/>
  <c r="AU378" i="5"/>
  <c r="AT378" i="5"/>
  <c r="AX192" i="10"/>
  <c r="AW192" i="10"/>
  <c r="AT156" i="5"/>
  <c r="AU156" i="5"/>
  <c r="AW144" i="10"/>
  <c r="AX144" i="10"/>
  <c r="AU517" i="5"/>
  <c r="AT517" i="5"/>
  <c r="AW456" i="10"/>
  <c r="AX456" i="10"/>
  <c r="AT143" i="5"/>
  <c r="AU143" i="5"/>
  <c r="AX91" i="10"/>
  <c r="AW91" i="10"/>
  <c r="AT515" i="5"/>
  <c r="AU515" i="5"/>
  <c r="AT154" i="5"/>
  <c r="AU154" i="5"/>
  <c r="AX205" i="10"/>
  <c r="AW205" i="10"/>
  <c r="AT221" i="5"/>
  <c r="AU221" i="5"/>
  <c r="AU428" i="5"/>
  <c r="AT428" i="5"/>
  <c r="AU268" i="5"/>
  <c r="AT268" i="5"/>
  <c r="AU123" i="5"/>
  <c r="AT123" i="5"/>
  <c r="AU219" i="5"/>
  <c r="AT219" i="5"/>
  <c r="AT262" i="5"/>
  <c r="AU262" i="5"/>
  <c r="AT74" i="5"/>
  <c r="AU74" i="5"/>
  <c r="AX65" i="10"/>
  <c r="AW65" i="10"/>
  <c r="AW251" i="10"/>
  <c r="AX251" i="10"/>
  <c r="AU290" i="5"/>
  <c r="AT290" i="5"/>
  <c r="AT284" i="5"/>
  <c r="AU284" i="5"/>
  <c r="AU160" i="5"/>
  <c r="AT160" i="5"/>
  <c r="AT529" i="5"/>
  <c r="AU529" i="5"/>
  <c r="AU241" i="5"/>
  <c r="AT241" i="5"/>
  <c r="AW170" i="10"/>
  <c r="AX170" i="10"/>
  <c r="AW282" i="10"/>
  <c r="AX282" i="10"/>
  <c r="AW278" i="10"/>
  <c r="AX278" i="10"/>
  <c r="AT321" i="5"/>
  <c r="AU321" i="5"/>
  <c r="AX133" i="10"/>
  <c r="AW133" i="10"/>
  <c r="AX550" i="10"/>
  <c r="AW550" i="10"/>
  <c r="AU85" i="5"/>
  <c r="AT85" i="5"/>
  <c r="AW321" i="10"/>
  <c r="AX321" i="10"/>
  <c r="AT114" i="5"/>
  <c r="AU114" i="5"/>
  <c r="AW449" i="10"/>
  <c r="AX449" i="10"/>
  <c r="AT504" i="5"/>
  <c r="AU504" i="5"/>
  <c r="AU279" i="5"/>
  <c r="AT279" i="5"/>
  <c r="AX433" i="10"/>
  <c r="AW433" i="10"/>
  <c r="AT559" i="5"/>
  <c r="AU559" i="5"/>
  <c r="AX224" i="10"/>
  <c r="AW224" i="10"/>
  <c r="AT197" i="5"/>
  <c r="AU197" i="5"/>
  <c r="AW426" i="10"/>
  <c r="AX426" i="10"/>
  <c r="AW209" i="10"/>
  <c r="AX209" i="10"/>
  <c r="AT445" i="5"/>
  <c r="AU445" i="5"/>
  <c r="AX176" i="10"/>
  <c r="AW176" i="10"/>
  <c r="AX109" i="10"/>
  <c r="AW109" i="10"/>
  <c r="AT485" i="5"/>
  <c r="AU485" i="5"/>
  <c r="AW138" i="10"/>
  <c r="AX138" i="10"/>
  <c r="AX131" i="10"/>
  <c r="AW131" i="10"/>
  <c r="AT392" i="5"/>
  <c r="AU392" i="5"/>
  <c r="AX340" i="10"/>
  <c r="AW340" i="10"/>
  <c r="AT78" i="5"/>
  <c r="AU78" i="5"/>
  <c r="AT176" i="5"/>
  <c r="AU176" i="5"/>
  <c r="AX284" i="10"/>
  <c r="AW284" i="10"/>
  <c r="AT163" i="5"/>
  <c r="AU163" i="5"/>
  <c r="AW182" i="10"/>
  <c r="AX182" i="10"/>
  <c r="AT166" i="5"/>
  <c r="AU166" i="5"/>
  <c r="AW320" i="10"/>
  <c r="AX320" i="10"/>
  <c r="AT539" i="5"/>
  <c r="AU539" i="5"/>
  <c r="AX73" i="10"/>
  <c r="AW73" i="10"/>
  <c r="AT468" i="5"/>
  <c r="AU468" i="5"/>
  <c r="AU149" i="5"/>
  <c r="AT149" i="5"/>
  <c r="AU446" i="5"/>
  <c r="AT446" i="5"/>
  <c r="AW329" i="10"/>
  <c r="AX329" i="10"/>
  <c r="AX203" i="10"/>
  <c r="AW203" i="10"/>
  <c r="AU489" i="5"/>
  <c r="AT489" i="5"/>
  <c r="AT69" i="5"/>
  <c r="AU69" i="5"/>
  <c r="AW252" i="10"/>
  <c r="AX252" i="10"/>
  <c r="AT224" i="5"/>
  <c r="AU224" i="5"/>
  <c r="AT162" i="5"/>
  <c r="AU162" i="5"/>
  <c r="AW448" i="10"/>
  <c r="AX448" i="10"/>
  <c r="AT527" i="5"/>
  <c r="AU527" i="5"/>
  <c r="AU203" i="5"/>
  <c r="AT203" i="5"/>
  <c r="AX196" i="10"/>
  <c r="AW196" i="10"/>
  <c r="AT534" i="5"/>
  <c r="AU534" i="5"/>
  <c r="AT186" i="5"/>
  <c r="AU186" i="5"/>
  <c r="AX516" i="10"/>
  <c r="AW516" i="10"/>
  <c r="AT342" i="5"/>
  <c r="AU342" i="5"/>
  <c r="AW351" i="10"/>
  <c r="AX351" i="10"/>
  <c r="AW265" i="10"/>
  <c r="AX265" i="10"/>
  <c r="AW215" i="10"/>
  <c r="AX215" i="10"/>
  <c r="AW137" i="10"/>
  <c r="AX137" i="10"/>
  <c r="AU546" i="5"/>
  <c r="AT546" i="5"/>
  <c r="AW348" i="10"/>
  <c r="AX348" i="10"/>
  <c r="AX266" i="10"/>
  <c r="AW266" i="10"/>
  <c r="AT536" i="5"/>
  <c r="AU536" i="5"/>
  <c r="AX163" i="10"/>
  <c r="AW163" i="10"/>
  <c r="AT502" i="5"/>
  <c r="AU502" i="5"/>
  <c r="AW159" i="10"/>
  <c r="AX159" i="10"/>
  <c r="AU46" i="5"/>
  <c r="AT46" i="5"/>
  <c r="AX402" i="10"/>
  <c r="AW402" i="10"/>
  <c r="AU28" i="5"/>
  <c r="AT28" i="5"/>
  <c r="AT83" i="5"/>
  <c r="AU83" i="5"/>
  <c r="AW462" i="10"/>
  <c r="AX462" i="10"/>
  <c r="AU510" i="5"/>
  <c r="AT510" i="5"/>
  <c r="AX175" i="10"/>
  <c r="AW175" i="10"/>
  <c r="AU499" i="5"/>
  <c r="AT499" i="5"/>
  <c r="AT557" i="5"/>
  <c r="AU557" i="5"/>
  <c r="AT544" i="5"/>
  <c r="AU544" i="5"/>
  <c r="AX50" i="10"/>
  <c r="AW50" i="10"/>
  <c r="AW486" i="10"/>
  <c r="AX486" i="10"/>
  <c r="AW443" i="10"/>
  <c r="AX443" i="10"/>
  <c r="AU431" i="5"/>
  <c r="AT431" i="5"/>
  <c r="AX496" i="10"/>
  <c r="AW496" i="10"/>
  <c r="AU409" i="5"/>
  <c r="AT409" i="5"/>
  <c r="AX22" i="10"/>
  <c r="AW22" i="10"/>
  <c r="AT180" i="5"/>
  <c r="AU180" i="5"/>
  <c r="AU227" i="5"/>
  <c r="AT227" i="5"/>
  <c r="AX327" i="10"/>
  <c r="AW327" i="10"/>
  <c r="AT297" i="5"/>
  <c r="AU297" i="5"/>
  <c r="AW217" i="10"/>
  <c r="AX217" i="10"/>
  <c r="AT222" i="5"/>
  <c r="AU222" i="5"/>
  <c r="AT553" i="5"/>
  <c r="AU553" i="5"/>
  <c r="AW281" i="10"/>
  <c r="AX281" i="10"/>
  <c r="AT558" i="5"/>
  <c r="AU558" i="5"/>
  <c r="AW122" i="10"/>
  <c r="AX122" i="10"/>
  <c r="AX535" i="10"/>
  <c r="AW535" i="10"/>
  <c r="AX98" i="10"/>
  <c r="AW98" i="10"/>
  <c r="AU242" i="5"/>
  <c r="AT242" i="5"/>
  <c r="AT36" i="5"/>
  <c r="AU36" i="5"/>
  <c r="AW544" i="10"/>
  <c r="AX544" i="10"/>
  <c r="AT43" i="5"/>
  <c r="AU43" i="5"/>
  <c r="AT487" i="5"/>
  <c r="AU487" i="5"/>
  <c r="AU101" i="5"/>
  <c r="AT101" i="5"/>
  <c r="AX491" i="10"/>
  <c r="AW491" i="10"/>
  <c r="AW418" i="10"/>
  <c r="AX418" i="10"/>
  <c r="AU107" i="5"/>
  <c r="AT107" i="5"/>
  <c r="AT38" i="5"/>
  <c r="AU38" i="5"/>
  <c r="AW241" i="10"/>
  <c r="AX241" i="10"/>
  <c r="AU560" i="5"/>
  <c r="AT560" i="5"/>
  <c r="AT463" i="5"/>
  <c r="AU463" i="5"/>
  <c r="AX226" i="10"/>
  <c r="AW226" i="10"/>
  <c r="AT351" i="5"/>
  <c r="AU351" i="5"/>
  <c r="AT484" i="5"/>
  <c r="AU484" i="5"/>
  <c r="AW474" i="10"/>
  <c r="AX474" i="10"/>
  <c r="AU411" i="5"/>
  <c r="AT411" i="5"/>
  <c r="AX245" i="10"/>
  <c r="AW245" i="10"/>
  <c r="AU460" i="5"/>
  <c r="AT460" i="5"/>
  <c r="AT79" i="5"/>
  <c r="AU79" i="5"/>
  <c r="AX140" i="10"/>
  <c r="AW140" i="10"/>
  <c r="AU264" i="5"/>
  <c r="AT264" i="5"/>
  <c r="AT124" i="5"/>
  <c r="AU124" i="5"/>
  <c r="AT436" i="5"/>
  <c r="AU436" i="5"/>
  <c r="AT277" i="5"/>
  <c r="AU277" i="5"/>
  <c r="AT237" i="5"/>
  <c r="AU237" i="5"/>
  <c r="AT503" i="5"/>
  <c r="AU503" i="5"/>
  <c r="AU552" i="5"/>
  <c r="AT552" i="5"/>
  <c r="AW414" i="10"/>
  <c r="AX414" i="10"/>
  <c r="AT495" i="5"/>
  <c r="AU495" i="5"/>
  <c r="AW269" i="10"/>
  <c r="AX269" i="10"/>
  <c r="AW384" i="10"/>
  <c r="AX384" i="10"/>
  <c r="AW453" i="10"/>
  <c r="AX453" i="10"/>
  <c r="AX400" i="10"/>
  <c r="AW400" i="10"/>
  <c r="AU204" i="5"/>
  <c r="AT204" i="5"/>
  <c r="AT387" i="5"/>
  <c r="AU387" i="5"/>
  <c r="AX504" i="10"/>
  <c r="AW504" i="10"/>
  <c r="AX322" i="10"/>
  <c r="AW322" i="10"/>
  <c r="AX46" i="10"/>
  <c r="AW46" i="10"/>
  <c r="AT535" i="5"/>
  <c r="AU535" i="5"/>
  <c r="AU192" i="5"/>
  <c r="AT192" i="5"/>
  <c r="AT385" i="5"/>
  <c r="AU385" i="5"/>
  <c r="AW174" i="10"/>
  <c r="AX174" i="10"/>
  <c r="AX84" i="10"/>
  <c r="AW84" i="10"/>
  <c r="AX357" i="10"/>
  <c r="AW357" i="10"/>
  <c r="AU513" i="5"/>
  <c r="AT513" i="5"/>
  <c r="AW158" i="10"/>
  <c r="AX158" i="10"/>
  <c r="AT475" i="5"/>
  <c r="AU475" i="5"/>
  <c r="AU184" i="5"/>
  <c r="AT184" i="5"/>
  <c r="AX113" i="10"/>
  <c r="AW113" i="10"/>
  <c r="AW323" i="10"/>
  <c r="AX323" i="10"/>
  <c r="AT466" i="5"/>
  <c r="AU466" i="5"/>
  <c r="AT324" i="5"/>
  <c r="AU324" i="5"/>
  <c r="AX382" i="10"/>
  <c r="AW382" i="10"/>
  <c r="AU419" i="5"/>
  <c r="AT419" i="5"/>
  <c r="AX55" i="10"/>
  <c r="AW55" i="10"/>
  <c r="AW436" i="10"/>
  <c r="AX436" i="10"/>
  <c r="AT106" i="5"/>
  <c r="AU106" i="5"/>
  <c r="AT525" i="5"/>
  <c r="AU525" i="5"/>
  <c r="AU96" i="5"/>
  <c r="AT96" i="5"/>
  <c r="AX238" i="10"/>
  <c r="AW238" i="10"/>
  <c r="AX519" i="10"/>
  <c r="AW519" i="10"/>
  <c r="AU171" i="5"/>
  <c r="AT171" i="5"/>
  <c r="AW499" i="10"/>
  <c r="AX499" i="10"/>
  <c r="AW240" i="10"/>
  <c r="AX240" i="10"/>
  <c r="AU467" i="5"/>
  <c r="AT467" i="5"/>
  <c r="AT362" i="5"/>
  <c r="AU362" i="5"/>
  <c r="AU332" i="5"/>
  <c r="AT332" i="5"/>
  <c r="AW442" i="10"/>
  <c r="AX442" i="10"/>
  <c r="AX305" i="10"/>
  <c r="AW305" i="10"/>
  <c r="AX77" i="10"/>
  <c r="AW77" i="10"/>
  <c r="AW368" i="10"/>
  <c r="AX368" i="10"/>
  <c r="AW326" i="10"/>
  <c r="AX326" i="10"/>
  <c r="AU494" i="5"/>
  <c r="AT494" i="5"/>
  <c r="AU29" i="5"/>
  <c r="AT29" i="5"/>
  <c r="AX374" i="10"/>
  <c r="AW374" i="10"/>
  <c r="AW148" i="10"/>
  <c r="AX148" i="10"/>
  <c r="AW542" i="10"/>
  <c r="AX542" i="10"/>
  <c r="AU289" i="5"/>
  <c r="AT289" i="5"/>
  <c r="AW185" i="10"/>
  <c r="AX185" i="10"/>
  <c r="AT470" i="5"/>
  <c r="AU470" i="5"/>
  <c r="AU116" i="5"/>
  <c r="AT116" i="5"/>
  <c r="AW236" i="10"/>
  <c r="AX236" i="10"/>
  <c r="AU117" i="5"/>
  <c r="AT117" i="5"/>
  <c r="AU220" i="5"/>
  <c r="AT220" i="5"/>
  <c r="AW89" i="10"/>
  <c r="AX89" i="10"/>
  <c r="AW189" i="10"/>
  <c r="AX189" i="10"/>
  <c r="AW485" i="10"/>
  <c r="AX485" i="10"/>
  <c r="AU389" i="5"/>
  <c r="AT389" i="5"/>
  <c r="AU393" i="5"/>
  <c r="AT393" i="5"/>
  <c r="AW385" i="10"/>
  <c r="AX385" i="10"/>
  <c r="AT358" i="5"/>
  <c r="AU358" i="5"/>
  <c r="AX249" i="10"/>
  <c r="AW249" i="10"/>
  <c r="AX95" i="10"/>
  <c r="AW95" i="10"/>
  <c r="AW180" i="10"/>
  <c r="AX180" i="10"/>
  <c r="AT477" i="5"/>
  <c r="AU477" i="5"/>
  <c r="AT209" i="5"/>
  <c r="AU209" i="5"/>
  <c r="AW204" i="10"/>
  <c r="AX204" i="10"/>
  <c r="AU272" i="5"/>
  <c r="AT272" i="5"/>
  <c r="AT275" i="5"/>
  <c r="AU275" i="5"/>
  <c r="AX420" i="10"/>
  <c r="AW420" i="10"/>
  <c r="AU454" i="5"/>
  <c r="AT454" i="5"/>
  <c r="AT512" i="5"/>
  <c r="AU512" i="5"/>
  <c r="AW309" i="10"/>
  <c r="AX309" i="10"/>
  <c r="AU333" i="5"/>
  <c r="AT333" i="5"/>
  <c r="AT174" i="5"/>
  <c r="AU174" i="5"/>
  <c r="AX183" i="10"/>
  <c r="AW183" i="10"/>
  <c r="AT201" i="5"/>
  <c r="AU201" i="5"/>
  <c r="AU401" i="5"/>
  <c r="AT401" i="5"/>
  <c r="AT127" i="5"/>
  <c r="AU127" i="5"/>
  <c r="AW493" i="10"/>
  <c r="AX493" i="10"/>
  <c r="AW195" i="10"/>
  <c r="AX195" i="10"/>
  <c r="AT169" i="5"/>
  <c r="AU169" i="5"/>
  <c r="AX546" i="10"/>
  <c r="AW546" i="10"/>
  <c r="AX489" i="10"/>
  <c r="AW489" i="10"/>
  <c r="AU486" i="5"/>
  <c r="AT486" i="5"/>
  <c r="AX178" i="10"/>
  <c r="AW178" i="10"/>
  <c r="AW547" i="10"/>
  <c r="AX547" i="10"/>
  <c r="AU356" i="5"/>
  <c r="AT356" i="5"/>
  <c r="AW514" i="10"/>
  <c r="AX514" i="10"/>
  <c r="AU371" i="5"/>
  <c r="AT371" i="5"/>
  <c r="AX191" i="10"/>
  <c r="AW191" i="10"/>
  <c r="AU88" i="5"/>
  <c r="AT88" i="5"/>
  <c r="AW255" i="10"/>
  <c r="AX255" i="10"/>
  <c r="AU151" i="5"/>
  <c r="AT151" i="5"/>
  <c r="AX350" i="10"/>
  <c r="AW350" i="10"/>
  <c r="AU239" i="5"/>
  <c r="AT239" i="5"/>
  <c r="AT90" i="5"/>
  <c r="AU90" i="5"/>
  <c r="AT231" i="5"/>
  <c r="AU231" i="5"/>
  <c r="AW367" i="10"/>
  <c r="AX367" i="10"/>
  <c r="AW54" i="10"/>
  <c r="AX54" i="10"/>
  <c r="AT112" i="5"/>
  <c r="AU112" i="5"/>
  <c r="AT459" i="5"/>
  <c r="AU459" i="5"/>
  <c r="AW502" i="10"/>
  <c r="AX502" i="10"/>
  <c r="AU82" i="5"/>
  <c r="AT82" i="5"/>
  <c r="AU286" i="5"/>
  <c r="AT286" i="5"/>
  <c r="AW297" i="10"/>
  <c r="AX297" i="10"/>
  <c r="AT312" i="5"/>
  <c r="AU312" i="5"/>
  <c r="AW378" i="10"/>
  <c r="AX378" i="10"/>
  <c r="AX408" i="10"/>
  <c r="AW408" i="10"/>
  <c r="AT100" i="5"/>
  <c r="AU100" i="5"/>
  <c r="AX501" i="10"/>
  <c r="AW501" i="10"/>
  <c r="AU449" i="5"/>
  <c r="AT449" i="5"/>
  <c r="AW61" i="10"/>
  <c r="AX61" i="10"/>
  <c r="AT250" i="5"/>
  <c r="AU250" i="5"/>
  <c r="AW347" i="10"/>
  <c r="AX347" i="10"/>
  <c r="AW407" i="10"/>
  <c r="AX407" i="10"/>
  <c r="AT198" i="5"/>
  <c r="AU198" i="5"/>
  <c r="AT432" i="5"/>
  <c r="AU432" i="5"/>
  <c r="AU141" i="5"/>
  <c r="AT141" i="5"/>
  <c r="AT50" i="5"/>
  <c r="AU50" i="5"/>
  <c r="AX311" i="10"/>
  <c r="AW311" i="10"/>
  <c r="AX90" i="10"/>
  <c r="AW90" i="10"/>
  <c r="AW457" i="10"/>
  <c r="AX457" i="10"/>
  <c r="AU413" i="5"/>
  <c r="AT413" i="5"/>
  <c r="AW164" i="10"/>
  <c r="AX164" i="10"/>
  <c r="AT301" i="5"/>
  <c r="AU301" i="5"/>
  <c r="AT479" i="5"/>
  <c r="AU479" i="5"/>
  <c r="AX470" i="10"/>
  <c r="AW470" i="10"/>
  <c r="AU522" i="5"/>
  <c r="AT522" i="5"/>
  <c r="AX37" i="10"/>
  <c r="AW37" i="10"/>
  <c r="AT541" i="5"/>
  <c r="AU541" i="5"/>
  <c r="AW427" i="10"/>
  <c r="AX427" i="10"/>
  <c r="AU173" i="5"/>
  <c r="AT173" i="5"/>
  <c r="AX105" i="10"/>
  <c r="AW105" i="10"/>
  <c r="AU67" i="5"/>
  <c r="AT67" i="5"/>
  <c r="AU315" i="5"/>
  <c r="AT315" i="5"/>
  <c r="AW31" i="10"/>
  <c r="AX31" i="10"/>
  <c r="AW11" i="10"/>
  <c r="AX11" i="10"/>
  <c r="AT406" i="5"/>
  <c r="AU406" i="5"/>
  <c r="AT132" i="5"/>
  <c r="AU132" i="5"/>
  <c r="AT271" i="5"/>
  <c r="AU271" i="5"/>
  <c r="AU390" i="5"/>
  <c r="AT390" i="5"/>
  <c r="AT349" i="5"/>
  <c r="AU349" i="5"/>
  <c r="AW475" i="10"/>
  <c r="AX475" i="10"/>
  <c r="AU167" i="5"/>
  <c r="AT167" i="5"/>
  <c r="AW381" i="10"/>
  <c r="AX381" i="10"/>
  <c r="AX356" i="10"/>
  <c r="AW356" i="10"/>
  <c r="AX261" i="10"/>
  <c r="AW261" i="10"/>
  <c r="AX136" i="10"/>
  <c r="AW136" i="10"/>
  <c r="AU318" i="5"/>
  <c r="AT318" i="5"/>
  <c r="AT476" i="5"/>
  <c r="AU476" i="5"/>
  <c r="AU373" i="5"/>
  <c r="AT373" i="5"/>
  <c r="AX24" i="10"/>
  <c r="AW24" i="10"/>
  <c r="AT55" i="5"/>
  <c r="AU55" i="5"/>
  <c r="AX373" i="10"/>
  <c r="AW373" i="10"/>
  <c r="AW362" i="10"/>
  <c r="AX362" i="10"/>
  <c r="AU408" i="5"/>
  <c r="AT408" i="5"/>
  <c r="AX36" i="10"/>
  <c r="AW36" i="10"/>
  <c r="AW130" i="10"/>
  <c r="AX130" i="10"/>
  <c r="AT270" i="5"/>
  <c r="AU270" i="5"/>
  <c r="AX45" i="10"/>
  <c r="AW45" i="10"/>
  <c r="AW222" i="10"/>
  <c r="AX222" i="10"/>
  <c r="AT34" i="5"/>
  <c r="AU34" i="5"/>
  <c r="AT91" i="5"/>
  <c r="AU91" i="5"/>
  <c r="AT263" i="5"/>
  <c r="AU263" i="5"/>
  <c r="AX559" i="10"/>
  <c r="AW559" i="10"/>
  <c r="AX557" i="10"/>
  <c r="AW557" i="10"/>
  <c r="AU130" i="5"/>
  <c r="AT130" i="5"/>
  <c r="AT505" i="5"/>
  <c r="AU505" i="5"/>
  <c r="AW310" i="10"/>
  <c r="AX310" i="10"/>
  <c r="AW308" i="10"/>
  <c r="AX308" i="10"/>
  <c r="AV12" i="10"/>
  <c r="AD12" i="10"/>
  <c r="AE12" i="10"/>
  <c r="AT439" i="5"/>
  <c r="AU439" i="5"/>
  <c r="AX377" i="10"/>
  <c r="AW377" i="10"/>
  <c r="AT337" i="5"/>
  <c r="AU337" i="5"/>
  <c r="AT33" i="5"/>
  <c r="AU33" i="5"/>
  <c r="AX353" i="10"/>
  <c r="AW353" i="10"/>
  <c r="AT322" i="5"/>
  <c r="AU322" i="5"/>
  <c r="AX223" i="10"/>
  <c r="AW223" i="10"/>
  <c r="AU191" i="5"/>
  <c r="AT191" i="5"/>
  <c r="AU97" i="5"/>
  <c r="AT97" i="5"/>
  <c r="AX110" i="10"/>
  <c r="AW110" i="10"/>
  <c r="AU306" i="5"/>
  <c r="AT306" i="5"/>
  <c r="AU352" i="5"/>
  <c r="AT352" i="5"/>
  <c r="AW106" i="10"/>
  <c r="AX106" i="10"/>
  <c r="AX445" i="10"/>
  <c r="AW445" i="10"/>
  <c r="AU153" i="5"/>
  <c r="AT153" i="5"/>
  <c r="AX306" i="10"/>
  <c r="AW306" i="10"/>
  <c r="AW343" i="10"/>
  <c r="AX343" i="10"/>
  <c r="AT199" i="5"/>
  <c r="AU199" i="5"/>
  <c r="AW92" i="10"/>
  <c r="AX92" i="10"/>
  <c r="AT451" i="5"/>
  <c r="AU451" i="5"/>
  <c r="AX93" i="10"/>
  <c r="AW93" i="10"/>
  <c r="AU376" i="5"/>
  <c r="AT376" i="5"/>
  <c r="AT326" i="5"/>
  <c r="AU326" i="5"/>
  <c r="AW186" i="10"/>
  <c r="AX186" i="10"/>
  <c r="AX259" i="10"/>
  <c r="AW259" i="10"/>
  <c r="AU54" i="5"/>
  <c r="AT54" i="5"/>
  <c r="AW74" i="10"/>
  <c r="AX74" i="10"/>
  <c r="AU435" i="5"/>
  <c r="AT435" i="5"/>
  <c r="AX220" i="10"/>
  <c r="AW220" i="10"/>
  <c r="AT58" i="5"/>
  <c r="AU58" i="5"/>
  <c r="AT296" i="5"/>
  <c r="AU296" i="5"/>
  <c r="AT407" i="5"/>
  <c r="AU407" i="5"/>
  <c r="AX389" i="10"/>
  <c r="AW389" i="10"/>
  <c r="AX515" i="10"/>
  <c r="AW515" i="10"/>
  <c r="AT491" i="5"/>
  <c r="AU491" i="5"/>
  <c r="AU464" i="5"/>
  <c r="AT464" i="5"/>
  <c r="AX88" i="10"/>
  <c r="AW88" i="10"/>
  <c r="AT247" i="5"/>
  <c r="AU247" i="5"/>
  <c r="AT330" i="5"/>
  <c r="AU330" i="5"/>
  <c r="AW56" i="10"/>
  <c r="AX56" i="10"/>
  <c r="AT95" i="5"/>
  <c r="AU95" i="5"/>
  <c r="AT80" i="5"/>
  <c r="AU80" i="5"/>
  <c r="AX527" i="10"/>
  <c r="AW527" i="10"/>
  <c r="AU554" i="5"/>
  <c r="AT554" i="5"/>
  <c r="AW272" i="10"/>
  <c r="AX272" i="10"/>
  <c r="AT509" i="5"/>
  <c r="AU509" i="5"/>
  <c r="AU155" i="5"/>
  <c r="AT155" i="5"/>
  <c r="AU194" i="5"/>
  <c r="AT194" i="5"/>
  <c r="AX277" i="10"/>
  <c r="AW277" i="10"/>
  <c r="AU383" i="5"/>
  <c r="AT383" i="5"/>
  <c r="AX100" i="10"/>
  <c r="AW100" i="10"/>
  <c r="AW376" i="10"/>
  <c r="AX376" i="10"/>
  <c r="AU325" i="5"/>
  <c r="AT325" i="5"/>
  <c r="AT327" i="5"/>
  <c r="AU327" i="5"/>
  <c r="AT148" i="5"/>
  <c r="AU148" i="5"/>
  <c r="AW29" i="10"/>
  <c r="AX29" i="10"/>
  <c r="AU543" i="5"/>
  <c r="AT543" i="5"/>
  <c r="AU181" i="5"/>
  <c r="AT181" i="5"/>
  <c r="AX248" i="10"/>
  <c r="AW248" i="10"/>
  <c r="AU193" i="5"/>
  <c r="AT193" i="5"/>
  <c r="AT165" i="5"/>
  <c r="AU165" i="5"/>
  <c r="AW177" i="10"/>
  <c r="AX177" i="10"/>
  <c r="AX214" i="10"/>
  <c r="AW214" i="10"/>
  <c r="AT410" i="5"/>
  <c r="AU410" i="5"/>
  <c r="AT30" i="5"/>
  <c r="AU30" i="5"/>
  <c r="AX404" i="10"/>
  <c r="AW404" i="10"/>
  <c r="AU379" i="5"/>
  <c r="AT379" i="5"/>
  <c r="AX179" i="10"/>
  <c r="AW179" i="10"/>
  <c r="AU537" i="5"/>
  <c r="AT537" i="5"/>
  <c r="AT345" i="5"/>
  <c r="AU345" i="5"/>
  <c r="AU157" i="5"/>
  <c r="AT157" i="5"/>
  <c r="AX68" i="10"/>
  <c r="AW68" i="10"/>
  <c r="AW168" i="10"/>
  <c r="AX168" i="10"/>
  <c r="AU234" i="5"/>
  <c r="AT234" i="5"/>
  <c r="AW538" i="10"/>
  <c r="AX538" i="10"/>
  <c r="AT434" i="5"/>
  <c r="AU434" i="5"/>
  <c r="AX520" i="10"/>
  <c r="AW520" i="10"/>
  <c r="AU257" i="5"/>
  <c r="AT257" i="5"/>
  <c r="AT214" i="5"/>
  <c r="AU214" i="5"/>
  <c r="AW511" i="10"/>
  <c r="AX511" i="10"/>
  <c r="AU281" i="5"/>
  <c r="AT281" i="5"/>
  <c r="AX521" i="10"/>
  <c r="AW521" i="10"/>
  <c r="AT316" i="5"/>
  <c r="AU316" i="5"/>
  <c r="AU288" i="5"/>
  <c r="AT288" i="5"/>
  <c r="AX551" i="10"/>
  <c r="AW551" i="10"/>
  <c r="AS12" i="5"/>
  <c r="AE12" i="5"/>
  <c r="AD12" i="5"/>
  <c r="AT145" i="5"/>
  <c r="AU145" i="5"/>
  <c r="AW51" i="10"/>
  <c r="AX51" i="10"/>
  <c r="AW198" i="10"/>
  <c r="AX198" i="10"/>
  <c r="AT384" i="5"/>
  <c r="AU384" i="5"/>
  <c r="AX233" i="10"/>
  <c r="AW233" i="10"/>
  <c r="AU109" i="5"/>
  <c r="AT109" i="5"/>
  <c r="AT118" i="5"/>
  <c r="AU118" i="5"/>
  <c r="AX242" i="10"/>
  <c r="AW242" i="10"/>
  <c r="AU497" i="5"/>
  <c r="AT497" i="5"/>
  <c r="AU147" i="5"/>
  <c r="AT147" i="5"/>
  <c r="AW155" i="10"/>
  <c r="AX155" i="10"/>
  <c r="AT370" i="5"/>
  <c r="AU370" i="5"/>
  <c r="AX458" i="10"/>
  <c r="AW458" i="10"/>
  <c r="AW522" i="10"/>
  <c r="AX522" i="10"/>
  <c r="AX187" i="10"/>
  <c r="AW187" i="10"/>
  <c r="AW149" i="10"/>
  <c r="AX149" i="10"/>
  <c r="AX466" i="10"/>
  <c r="AW466" i="10"/>
  <c r="AT11" i="5"/>
  <c r="AU11" i="5"/>
  <c r="AT253" i="5"/>
  <c r="AU253" i="5"/>
  <c r="AW60" i="10"/>
  <c r="AX60" i="10"/>
  <c r="AT269" i="5"/>
  <c r="AU269" i="5"/>
  <c r="AW500" i="10"/>
  <c r="AX500" i="10"/>
  <c r="AU357" i="5"/>
  <c r="AT357" i="5"/>
  <c r="AT533" i="5"/>
  <c r="AU533" i="5"/>
  <c r="AU108" i="5"/>
  <c r="AT108" i="5"/>
  <c r="AX38" i="10"/>
  <c r="AW38" i="10"/>
  <c r="AX212" i="10"/>
  <c r="AW212" i="10"/>
  <c r="AU195" i="5"/>
  <c r="AT195" i="5"/>
  <c r="AU415" i="5"/>
  <c r="AT415" i="5"/>
  <c r="AW365" i="10"/>
  <c r="AX365" i="10"/>
  <c r="AU89" i="5"/>
  <c r="AT89" i="5"/>
  <c r="AT76" i="5"/>
  <c r="AU76" i="5"/>
  <c r="AX162" i="10"/>
  <c r="AW162" i="10"/>
  <c r="AT128" i="5"/>
  <c r="AU128" i="5"/>
  <c r="AU20" i="5"/>
  <c r="AT20" i="5"/>
  <c r="AX257" i="10"/>
  <c r="AW257" i="10"/>
  <c r="AU57" i="5"/>
  <c r="AT57" i="5"/>
  <c r="AX539" i="10"/>
  <c r="AW539" i="10"/>
  <c r="AT368" i="5"/>
  <c r="AU368" i="5"/>
  <c r="AW101" i="10"/>
  <c r="AX101" i="10"/>
  <c r="AW157" i="10"/>
  <c r="AX157" i="10"/>
  <c r="AT340" i="5"/>
  <c r="AU340" i="5"/>
  <c r="AX260" i="10"/>
  <c r="AW260" i="10"/>
  <c r="AW96" i="10"/>
  <c r="AX96" i="10"/>
  <c r="AW161" i="10"/>
  <c r="AX161" i="10"/>
  <c r="AW293" i="10"/>
  <c r="AX293" i="10"/>
  <c r="AT265" i="5"/>
  <c r="AU265" i="5"/>
  <c r="AU65" i="5"/>
  <c r="AT65" i="5"/>
  <c r="AW154" i="10"/>
  <c r="AX154" i="10"/>
  <c r="AX463" i="10"/>
  <c r="AW463" i="10"/>
  <c r="AX64" i="10"/>
  <c r="AW64" i="10"/>
  <c r="AU514" i="5"/>
  <c r="AT514" i="5"/>
  <c r="AX125" i="10"/>
  <c r="AW125" i="10"/>
  <c r="AU255" i="5"/>
  <c r="AT255" i="5"/>
  <c r="AU430" i="5"/>
  <c r="AT430" i="5"/>
  <c r="AW258" i="10"/>
  <c r="AX258" i="10"/>
  <c r="AT105" i="5"/>
  <c r="AU105" i="5"/>
  <c r="AU190" i="5"/>
  <c r="AT190" i="5"/>
  <c r="AX467" i="10"/>
  <c r="AW467" i="10"/>
  <c r="AU473" i="5"/>
  <c r="AT473" i="5"/>
  <c r="AW246" i="10"/>
  <c r="AX246" i="10"/>
  <c r="AU443" i="5"/>
  <c r="AT443" i="5"/>
  <c r="AT254" i="5"/>
  <c r="AU254" i="5"/>
  <c r="AW206" i="10"/>
  <c r="AX206" i="10"/>
  <c r="AX270" i="10"/>
  <c r="AW270" i="10"/>
  <c r="AW141" i="10"/>
  <c r="AX141" i="10"/>
  <c r="AU152" i="5"/>
  <c r="AT152" i="5"/>
  <c r="AX333" i="10"/>
  <c r="AW333" i="10"/>
  <c r="AT139" i="5"/>
  <c r="AU139" i="5"/>
  <c r="AX28" i="10"/>
  <c r="AW28" i="10"/>
  <c r="AW221" i="10"/>
  <c r="AX221" i="10"/>
  <c r="AU367" i="5"/>
  <c r="AT367" i="5"/>
  <c r="AU388" i="5"/>
  <c r="AT388" i="5"/>
  <c r="AT346" i="5"/>
  <c r="AU346" i="5"/>
  <c r="AW558" i="10"/>
  <c r="AX558" i="10"/>
  <c r="AX422" i="10"/>
  <c r="AW422" i="10"/>
  <c r="AW271" i="10"/>
  <c r="AX271" i="10"/>
  <c r="AW193" i="10"/>
  <c r="AX193" i="10"/>
  <c r="AW210" i="10"/>
  <c r="AX210" i="10"/>
  <c r="AT138" i="5"/>
  <c r="AU138" i="5"/>
  <c r="AU243" i="5"/>
  <c r="AT243" i="5"/>
  <c r="AX123" i="10"/>
  <c r="AW123" i="10"/>
  <c r="AT320" i="5"/>
  <c r="AU320" i="5"/>
  <c r="AW285" i="10"/>
  <c r="AX285" i="10"/>
  <c r="AT309" i="5"/>
  <c r="AU309" i="5"/>
  <c r="AU365" i="5"/>
  <c r="AT365" i="5"/>
  <c r="AW314" i="10"/>
  <c r="AX314" i="10"/>
  <c r="AX219" i="10"/>
  <c r="AW219" i="10"/>
  <c r="AX528" i="10"/>
  <c r="AW528" i="10"/>
  <c r="AX292" i="10"/>
  <c r="AW292" i="10"/>
  <c r="AU311" i="5"/>
  <c r="AT311" i="5"/>
  <c r="AU251" i="5"/>
  <c r="AT251" i="5"/>
  <c r="AX439" i="10"/>
  <c r="AW439" i="10"/>
  <c r="AT39" i="5"/>
  <c r="AU39" i="5"/>
  <c r="AU338" i="5"/>
  <c r="AT338" i="5"/>
  <c r="AX124" i="10"/>
  <c r="AW124" i="10"/>
  <c r="AT397" i="5"/>
  <c r="AU397" i="5"/>
  <c r="AU137" i="5"/>
  <c r="AT137" i="5"/>
  <c r="AW534" i="10"/>
  <c r="AX534" i="10"/>
  <c r="AX13" i="10"/>
  <c r="AW13" i="10"/>
  <c r="AT278" i="5"/>
  <c r="AU278" i="5"/>
  <c r="AU339" i="5"/>
  <c r="AT339" i="5"/>
  <c r="AW423" i="10"/>
  <c r="AX423" i="10"/>
  <c r="AT457" i="5"/>
  <c r="AU457" i="5"/>
  <c r="AX451" i="10"/>
  <c r="AW451" i="10"/>
  <c r="AW235" i="10"/>
  <c r="AX235" i="10"/>
  <c r="AU260" i="5"/>
  <c r="AT260" i="5"/>
  <c r="AU236" i="5"/>
  <c r="AT236" i="5"/>
  <c r="AX477" i="10"/>
  <c r="AW477" i="10"/>
  <c r="AW116" i="10"/>
  <c r="AX116" i="10"/>
  <c r="AX490" i="10"/>
  <c r="AW490" i="10"/>
  <c r="AT511" i="5"/>
  <c r="AU511" i="5"/>
  <c r="AU200" i="5"/>
  <c r="AT200" i="5"/>
  <c r="AW288" i="10"/>
  <c r="AX288" i="10"/>
  <c r="AX488" i="10"/>
  <c r="AW488" i="10"/>
  <c r="AX317" i="10"/>
  <c r="AW317" i="10"/>
  <c r="AT206" i="5"/>
  <c r="AU206" i="5"/>
  <c r="AU453" i="5"/>
  <c r="AT453" i="5"/>
  <c r="AX366" i="10"/>
  <c r="AW366" i="10"/>
  <c r="AW413" i="10"/>
  <c r="AX413" i="10"/>
  <c r="AX419" i="10"/>
  <c r="AW419" i="10"/>
  <c r="AW71" i="10"/>
  <c r="AX71" i="10"/>
  <c r="AX390" i="10"/>
  <c r="AW390" i="10"/>
  <c r="AT59" i="5"/>
  <c r="AU59" i="5"/>
  <c r="AT302" i="5"/>
  <c r="AU302" i="5"/>
  <c r="AT45" i="5"/>
  <c r="AU45" i="5"/>
  <c r="AW548" i="10"/>
  <c r="AX548" i="10"/>
  <c r="AX339" i="10"/>
  <c r="AW339" i="10"/>
  <c r="AT528" i="5"/>
  <c r="AU528" i="5"/>
  <c r="AT94" i="5"/>
  <c r="AU94" i="5"/>
  <c r="AW444" i="10"/>
  <c r="AX444" i="10"/>
  <c r="AT93" i="5"/>
  <c r="AU93" i="5"/>
  <c r="AX336" i="10"/>
  <c r="AW336" i="10"/>
  <c r="AU9" i="5"/>
  <c r="AT9" i="5"/>
  <c r="AU86" i="5"/>
  <c r="AT86" i="5"/>
  <c r="AX82" i="10"/>
  <c r="AW82" i="10"/>
  <c r="AT461" i="5"/>
  <c r="AU461" i="5"/>
  <c r="AW27" i="10"/>
  <c r="AX27" i="10"/>
  <c r="AW341" i="10"/>
  <c r="AX341" i="10"/>
  <c r="AT530" i="5"/>
  <c r="AU530" i="5"/>
  <c r="AT216" i="5"/>
  <c r="AU216" i="5"/>
  <c r="AT44" i="5"/>
  <c r="AU44" i="5"/>
  <c r="AW119" i="10"/>
  <c r="AX119" i="10"/>
  <c r="AT168" i="5"/>
  <c r="AU168" i="5"/>
  <c r="AW53" i="10"/>
  <c r="AX53" i="10"/>
  <c r="AW338" i="10"/>
  <c r="AX338" i="10"/>
  <c r="AU87" i="5"/>
  <c r="AT87" i="5"/>
  <c r="AT225" i="5"/>
  <c r="AU225" i="5"/>
  <c r="AW383" i="10"/>
  <c r="AX383" i="10"/>
  <c r="AT304" i="5"/>
  <c r="AU304" i="5"/>
  <c r="AU136" i="5"/>
  <c r="AT136" i="5"/>
  <c r="AW26" i="10"/>
  <c r="AX26" i="10"/>
  <c r="AU273" i="5"/>
  <c r="AT273" i="5"/>
  <c r="AT249" i="5"/>
  <c r="AU249" i="5"/>
  <c r="AW406" i="10"/>
  <c r="AX406" i="10"/>
  <c r="AT347" i="5"/>
  <c r="AU347" i="5"/>
  <c r="AT120" i="5"/>
  <c r="AU120" i="5"/>
  <c r="AW291" i="10"/>
  <c r="AX291" i="10"/>
  <c r="AU386" i="5"/>
  <c r="AT386" i="5"/>
  <c r="AX302" i="10"/>
  <c r="AW302" i="10"/>
  <c r="AX459" i="10"/>
  <c r="AW459" i="10"/>
  <c r="AU310" i="5"/>
  <c r="AT310" i="5"/>
  <c r="AW44" i="10"/>
  <c r="AX44" i="10"/>
  <c r="AX129" i="10"/>
  <c r="AW129" i="10"/>
  <c r="AU183" i="5"/>
  <c r="AT183" i="5"/>
  <c r="AU361" i="5"/>
  <c r="AT361" i="5"/>
  <c r="AX379" i="10"/>
  <c r="AW379" i="10"/>
  <c r="AT404" i="5"/>
  <c r="AU404" i="5"/>
  <c r="AX337" i="10"/>
  <c r="AW337" i="10"/>
  <c r="AW8" i="10"/>
  <c r="AX8" i="10"/>
  <c r="AT488" i="5"/>
  <c r="AU488" i="5"/>
  <c r="AW299" i="10"/>
  <c r="AX299" i="10"/>
  <c r="AU450" i="5"/>
  <c r="AT450" i="5"/>
  <c r="AX319" i="10"/>
  <c r="AW319" i="10"/>
  <c r="AT462" i="5"/>
  <c r="AU462" i="5"/>
  <c r="AU144" i="5"/>
  <c r="AT144" i="5"/>
  <c r="AX506" i="10"/>
  <c r="AW506" i="10"/>
  <c r="AW487" i="10"/>
  <c r="AX487" i="10"/>
  <c r="AX34" i="10"/>
  <c r="AW34" i="10"/>
  <c r="AT238" i="5"/>
  <c r="AU238" i="5"/>
  <c r="AW312" i="10"/>
  <c r="AX312" i="10"/>
  <c r="AW134" i="10"/>
  <c r="AX134" i="10"/>
  <c r="AT329" i="5"/>
  <c r="AU329" i="5"/>
  <c r="AX25" i="10"/>
  <c r="AW25" i="10"/>
  <c r="AT53" i="5"/>
  <c r="AU53" i="5"/>
  <c r="AU417" i="5"/>
  <c r="AT417" i="5"/>
  <c r="AW330" i="10"/>
  <c r="AX330" i="10"/>
  <c r="AU8" i="5"/>
  <c r="AT8" i="5"/>
  <c r="AX555" i="10"/>
  <c r="AW555" i="10"/>
  <c r="AT490" i="5"/>
  <c r="AU490" i="5"/>
  <c r="AU323" i="5"/>
  <c r="AT323" i="5"/>
  <c r="AX32" i="10"/>
  <c r="AW32" i="10"/>
  <c r="AU293" i="5"/>
  <c r="AT293" i="5"/>
  <c r="AX103" i="10"/>
  <c r="AW103" i="10"/>
  <c r="AU547" i="5"/>
  <c r="AT547" i="5"/>
  <c r="AX396" i="10"/>
  <c r="AW396" i="10"/>
  <c r="AX556" i="10"/>
  <c r="AW556" i="10"/>
  <c r="AU72" i="5"/>
  <c r="AT72" i="5"/>
  <c r="AW435" i="10"/>
  <c r="AX435" i="10"/>
  <c r="AT146" i="5"/>
  <c r="AU146" i="5"/>
  <c r="AX346" i="10"/>
  <c r="AW346" i="10"/>
  <c r="AX94" i="10"/>
  <c r="AW94" i="10"/>
  <c r="AU526" i="5"/>
  <c r="AT526" i="5"/>
  <c r="AT420" i="5"/>
  <c r="AU420" i="5"/>
  <c r="AW230" i="10"/>
  <c r="AX230" i="10"/>
  <c r="AT276" i="5"/>
  <c r="AU276" i="5"/>
  <c r="AT188" i="5"/>
  <c r="AU188" i="5"/>
  <c r="AW409" i="10"/>
  <c r="AX409" i="10"/>
  <c r="AU102" i="5"/>
  <c r="AT102" i="5"/>
  <c r="AX227" i="10"/>
  <c r="AW227" i="10"/>
  <c r="AU452" i="5"/>
  <c r="AT452" i="5"/>
  <c r="AX146" i="10"/>
  <c r="AW146" i="10"/>
  <c r="AT122" i="5"/>
  <c r="AU122" i="5"/>
  <c r="AX274" i="10"/>
  <c r="AW274" i="10"/>
  <c r="AX298" i="10"/>
  <c r="AW298" i="10"/>
  <c r="AX211" i="10"/>
  <c r="AW211" i="10"/>
  <c r="AW243" i="10"/>
  <c r="AX243" i="10"/>
  <c r="AW530" i="10"/>
  <c r="AX530" i="10"/>
  <c r="AW403" i="10"/>
  <c r="AX403" i="10"/>
  <c r="AU375" i="5"/>
  <c r="AT375" i="5"/>
  <c r="AW394" i="10"/>
  <c r="AX394" i="10"/>
  <c r="AW411" i="10"/>
  <c r="AX411" i="10"/>
  <c r="AT300" i="5"/>
  <c r="AU300" i="5"/>
  <c r="AU245" i="5"/>
  <c r="AT245" i="5"/>
  <c r="AT372" i="5"/>
  <c r="AU372" i="5"/>
  <c r="AU498" i="5"/>
  <c r="AT498" i="5"/>
  <c r="AU455" i="5"/>
  <c r="AT455" i="5"/>
  <c r="AW428" i="10"/>
  <c r="AX428" i="10"/>
  <c r="AU52" i="5"/>
  <c r="AT52" i="5"/>
  <c r="AT422" i="5"/>
  <c r="AU422" i="5"/>
  <c r="AU207" i="5"/>
  <c r="AT207" i="5"/>
  <c r="AR12" i="5"/>
  <c r="AQ12" i="5"/>
  <c r="AX437" i="10"/>
  <c r="AW437" i="10"/>
  <c r="AT444" i="5"/>
  <c r="AU444" i="5"/>
  <c r="AW156" i="10"/>
  <c r="AX156" i="10"/>
  <c r="AT189" i="5"/>
  <c r="AU189" i="5"/>
  <c r="AT230" i="5"/>
  <c r="AU230" i="5"/>
  <c r="AU240" i="5"/>
  <c r="AT240" i="5"/>
  <c r="AX108" i="10"/>
  <c r="AW108" i="10"/>
  <c r="AU538" i="5"/>
  <c r="AT538" i="5"/>
  <c r="AX104" i="10"/>
  <c r="AW104" i="10"/>
  <c r="AX225" i="10"/>
  <c r="AW225" i="10"/>
  <c r="AT252" i="5"/>
  <c r="AU252" i="5"/>
  <c r="AU523" i="5"/>
  <c r="AT523" i="5"/>
  <c r="AX405" i="10"/>
  <c r="AW405" i="10"/>
  <c r="AX392" i="10"/>
  <c r="AW392" i="10"/>
  <c r="AU196" i="5"/>
  <c r="AT196" i="5"/>
  <c r="AW244" i="10"/>
  <c r="AX244" i="10"/>
  <c r="AT233" i="5"/>
  <c r="AU233" i="5"/>
  <c r="AW86" i="10"/>
  <c r="AX86" i="10"/>
  <c r="AT31" i="5"/>
  <c r="AU31" i="5"/>
  <c r="AU150" i="5"/>
  <c r="AT150" i="5"/>
  <c r="AW349" i="10"/>
  <c r="AX349" i="10"/>
  <c r="AT425" i="5"/>
  <c r="AU425" i="5"/>
  <c r="AW72" i="10"/>
  <c r="AX72" i="10"/>
  <c r="AU111" i="5"/>
  <c r="AT111" i="5"/>
  <c r="AW352" i="10"/>
  <c r="AX352" i="10"/>
  <c r="AT161" i="5"/>
  <c r="AU161" i="5"/>
  <c r="AT228" i="5"/>
  <c r="AU228" i="5"/>
  <c r="AU343" i="5"/>
  <c r="AT343" i="5"/>
  <c r="AU317" i="5"/>
  <c r="AT317" i="5"/>
  <c r="AX57" i="10"/>
  <c r="AW57" i="10"/>
  <c r="AX35" i="10"/>
  <c r="AW35" i="10"/>
  <c r="AT426" i="5"/>
  <c r="AU426" i="5"/>
  <c r="AU353" i="5"/>
  <c r="AT353" i="5"/>
  <c r="AW208" i="10"/>
  <c r="AX208" i="10"/>
  <c r="AU119" i="5"/>
  <c r="AT119" i="5"/>
  <c r="AT179" i="5"/>
  <c r="AU179" i="5"/>
  <c r="AX181" i="10"/>
  <c r="AW181" i="10"/>
  <c r="AT294" i="5"/>
  <c r="AU294" i="5"/>
  <c r="AX412" i="10"/>
  <c r="AW412" i="10"/>
  <c r="AX508" i="10"/>
  <c r="AW508" i="10"/>
  <c r="AT350" i="5"/>
  <c r="AU350" i="5"/>
  <c r="AX372" i="10"/>
  <c r="AW372" i="10"/>
  <c r="AT418" i="5"/>
  <c r="AU418" i="5"/>
  <c r="AT140" i="5"/>
  <c r="AU140" i="5"/>
  <c r="AX199" i="10"/>
  <c r="AW199" i="10"/>
  <c r="AT360" i="5"/>
  <c r="AU360" i="5"/>
  <c r="AT507" i="5"/>
  <c r="AU507" i="5"/>
  <c r="AX166" i="10"/>
  <c r="AW166" i="10"/>
  <c r="AX239" i="10"/>
  <c r="AW239" i="10"/>
  <c r="AU472" i="5"/>
  <c r="AT472" i="5"/>
  <c r="AU210" i="5"/>
  <c r="AT210" i="5"/>
  <c r="AX87" i="10"/>
  <c r="AW87" i="10"/>
  <c r="AU506" i="5"/>
  <c r="AT506" i="5"/>
  <c r="AT308" i="5"/>
  <c r="AU308" i="5"/>
  <c r="AX303" i="10"/>
  <c r="AW303" i="10"/>
  <c r="AT211" i="5"/>
  <c r="AU211" i="5"/>
  <c r="AT113" i="5"/>
  <c r="AU113" i="5"/>
  <c r="AW280" i="10"/>
  <c r="AX280" i="10"/>
  <c r="AX151" i="10"/>
  <c r="AW151" i="10"/>
  <c r="AT71" i="5"/>
  <c r="AU71" i="5"/>
  <c r="AT182" i="5"/>
  <c r="AU182" i="5"/>
  <c r="AX540" i="10"/>
  <c r="AW540" i="10"/>
  <c r="AT35" i="5"/>
  <c r="AU35" i="5"/>
  <c r="AW287" i="10"/>
  <c r="AX287" i="10"/>
  <c r="AU56" i="5"/>
  <c r="AT56" i="5"/>
  <c r="AU274" i="5"/>
  <c r="AT274" i="5"/>
  <c r="AU248" i="5"/>
  <c r="AT248" i="5"/>
  <c r="AU399" i="5"/>
  <c r="AT399" i="5"/>
  <c r="AX216" i="10"/>
  <c r="AW216" i="10"/>
  <c r="AW234" i="10"/>
  <c r="AX234" i="10"/>
  <c r="AU246" i="5"/>
  <c r="AT246" i="5"/>
  <c r="AW48" i="10"/>
  <c r="AX48" i="10"/>
  <c r="AT545" i="5"/>
  <c r="AU545" i="5"/>
  <c r="AW43" i="10"/>
  <c r="AX43" i="10"/>
  <c r="AT291" i="5"/>
  <c r="AU291" i="5"/>
  <c r="AW430" i="10"/>
  <c r="AX430" i="10"/>
  <c r="AT331" i="5"/>
  <c r="AU331" i="5"/>
  <c r="AU374" i="5"/>
  <c r="AT374" i="5"/>
  <c r="AX465" i="10"/>
  <c r="AW465" i="10"/>
  <c r="AT519" i="5"/>
  <c r="AU519" i="5"/>
  <c r="AX117" i="10"/>
  <c r="AW117" i="10"/>
  <c r="AW524" i="10"/>
  <c r="AX524" i="10"/>
  <c r="AX231" i="10"/>
  <c r="AW231" i="10"/>
  <c r="AT421" i="5"/>
  <c r="AU421" i="5"/>
  <c r="AW512" i="10"/>
  <c r="AX512" i="10"/>
  <c r="AX370" i="10"/>
  <c r="AW370" i="10"/>
  <c r="AU364" i="5"/>
  <c r="AT364" i="5"/>
  <c r="AX301" i="10"/>
  <c r="AW301" i="10"/>
  <c r="AU125" i="5"/>
  <c r="AT125" i="5"/>
  <c r="AT266" i="5"/>
  <c r="AU266" i="5"/>
  <c r="AX531" i="10"/>
  <c r="AW531" i="10"/>
  <c r="AT226" i="5"/>
  <c r="AU226" i="5"/>
  <c r="AU41" i="5"/>
  <c r="AT41" i="5"/>
  <c r="AX263" i="10"/>
  <c r="AW263" i="10"/>
  <c r="AU442" i="5"/>
  <c r="AT442" i="5"/>
  <c r="AX143" i="10"/>
  <c r="AW143" i="10"/>
  <c r="AT531" i="5"/>
  <c r="AU531" i="5"/>
  <c r="AT403" i="5"/>
  <c r="AU403" i="5"/>
  <c r="AX247" i="10"/>
  <c r="AW247" i="10"/>
  <c r="AX19" i="10"/>
  <c r="AW19" i="10"/>
  <c r="AU175" i="5"/>
  <c r="AT175" i="5"/>
  <c r="AU244" i="5"/>
  <c r="AT244" i="5"/>
  <c r="AW393" i="10"/>
  <c r="AX393" i="10"/>
  <c r="AW52" i="10"/>
  <c r="AX52" i="10"/>
  <c r="AU42" i="5"/>
  <c r="AT42" i="5"/>
  <c r="AU438" i="5"/>
  <c r="AT438" i="5"/>
  <c r="AW421" i="10"/>
  <c r="AX421" i="10"/>
  <c r="AX295" i="10"/>
  <c r="AW295" i="10"/>
  <c r="AT395" i="5"/>
  <c r="AU395" i="5"/>
  <c r="AU235" i="5"/>
  <c r="AT235" i="5"/>
  <c r="AW135" i="10"/>
  <c r="AX135" i="10"/>
  <c r="AW344" i="10"/>
  <c r="AX344" i="10"/>
  <c r="AU550" i="5"/>
  <c r="AT550" i="5"/>
  <c r="AT469" i="5"/>
  <c r="AU469" i="5"/>
  <c r="AT158" i="5"/>
  <c r="AU158" i="5"/>
  <c r="AW498" i="10"/>
  <c r="AX498" i="10"/>
  <c r="AT172" i="5"/>
  <c r="AU172" i="5"/>
  <c r="AW160" i="10"/>
  <c r="AX160" i="10"/>
  <c r="AU500" i="5"/>
  <c r="AT500" i="5"/>
  <c r="AT483" i="5"/>
  <c r="AU483" i="5"/>
  <c r="AX290" i="10"/>
  <c r="AW290" i="10"/>
  <c r="AX256" i="10"/>
  <c r="AW256" i="10"/>
  <c r="AX495" i="10"/>
  <c r="AW495" i="10"/>
  <c r="AU60" i="5"/>
  <c r="AT60" i="5"/>
  <c r="AW142" i="10"/>
  <c r="AX142" i="10"/>
  <c r="AT62" i="5"/>
  <c r="AU62" i="5"/>
  <c r="AW128" i="10"/>
  <c r="AX128" i="10"/>
  <c r="AX254" i="10"/>
  <c r="AW254" i="10"/>
  <c r="AT81" i="5"/>
  <c r="AU81" i="5"/>
  <c r="AX375" i="10"/>
  <c r="AW375" i="10"/>
  <c r="AU380" i="5"/>
  <c r="AT380" i="5"/>
  <c r="AT391" i="5"/>
  <c r="AU391" i="5"/>
  <c r="AX313" i="10"/>
  <c r="AW313" i="10"/>
  <c r="AT548" i="5"/>
  <c r="AU548" i="5"/>
  <c r="AT159" i="5"/>
  <c r="AU159" i="5"/>
  <c r="AX510" i="10"/>
  <c r="AW510" i="10"/>
  <c r="AX21" i="10"/>
  <c r="AW21" i="10"/>
  <c r="AW267" i="10"/>
  <c r="AX267" i="10"/>
  <c r="AD13" i="5"/>
  <c r="AE13" i="5"/>
  <c r="AS13" i="5"/>
  <c r="AT10" i="5"/>
  <c r="AU10" i="5"/>
  <c r="AX207" i="10"/>
  <c r="AW207" i="10"/>
  <c r="AW425" i="10"/>
  <c r="AX425" i="10"/>
  <c r="AW194" i="10"/>
  <c r="AX194" i="10"/>
  <c r="AU474" i="5"/>
  <c r="AT474" i="5"/>
  <c r="AT47" i="5"/>
  <c r="AU47" i="5"/>
  <c r="AX360" i="10"/>
  <c r="AW360" i="10"/>
  <c r="AW505" i="10"/>
  <c r="AX505" i="10"/>
  <c r="AT335" i="5"/>
  <c r="AU335" i="5"/>
  <c r="AW468" i="10"/>
  <c r="AX468" i="10"/>
  <c r="AW173" i="10"/>
  <c r="AX173" i="10"/>
  <c r="AW10" i="10"/>
  <c r="AX10" i="10"/>
  <c r="AT396" i="5"/>
  <c r="AU396" i="5"/>
  <c r="AW275" i="10"/>
  <c r="AX275" i="10"/>
  <c r="AU12" i="10"/>
  <c r="AT12" i="10"/>
  <c r="AT49" i="5"/>
  <c r="AU49" i="5"/>
  <c r="AX543" i="10"/>
  <c r="AW543" i="10"/>
  <c r="AT92" i="5"/>
  <c r="AU92" i="5"/>
  <c r="AW440" i="10"/>
  <c r="AX440" i="10"/>
  <c r="AT465" i="5"/>
  <c r="AU465" i="5"/>
  <c r="AT70" i="5"/>
  <c r="AU70" i="5"/>
  <c r="AW172" i="10"/>
  <c r="AX172" i="10"/>
  <c r="AX167" i="10"/>
  <c r="AW167" i="10"/>
  <c r="AU292" i="5"/>
  <c r="AT292" i="5"/>
  <c r="AW97" i="10"/>
  <c r="AX97" i="10"/>
  <c r="AU37" i="5"/>
  <c r="AT37" i="5"/>
  <c r="AW120" i="10"/>
  <c r="AX120" i="10"/>
  <c r="AT355" i="5"/>
  <c r="AU355" i="5"/>
  <c r="AU381" i="5"/>
  <c r="AT381" i="5"/>
  <c r="AT142" i="5"/>
  <c r="AU142" i="5"/>
  <c r="AW118" i="10"/>
  <c r="AX118" i="10"/>
  <c r="AU61" i="5"/>
  <c r="AT61" i="5"/>
  <c r="AW545" i="10"/>
  <c r="AX545" i="10"/>
  <c r="AX66" i="10"/>
  <c r="AW66" i="10"/>
  <c r="AW165" i="10"/>
  <c r="AX165" i="10"/>
  <c r="AT187" i="5"/>
  <c r="AU187" i="5"/>
  <c r="AU305" i="5"/>
  <c r="AT305" i="5"/>
  <c r="AT77" i="5"/>
  <c r="AU77" i="5"/>
  <c r="AW202" i="10"/>
  <c r="AX202" i="10"/>
  <c r="AX397" i="10"/>
  <c r="AW397" i="10"/>
  <c r="AT471" i="5"/>
  <c r="AU471" i="5"/>
  <c r="AW62" i="10"/>
  <c r="AX62" i="10"/>
  <c r="AU478" i="5"/>
  <c r="AT478" i="5"/>
  <c r="AU382" i="5"/>
  <c r="AT382" i="5"/>
  <c r="AW328" i="10"/>
  <c r="AX328" i="10"/>
  <c r="AX492" i="10"/>
  <c r="AW492" i="10"/>
  <c r="AU501" i="5"/>
  <c r="AT501" i="5"/>
  <c r="AW395" i="10"/>
  <c r="AX395" i="10"/>
  <c r="AU185" i="5"/>
  <c r="AT185" i="5"/>
  <c r="AX450" i="10"/>
  <c r="AW450" i="10"/>
  <c r="AT287" i="5"/>
  <c r="AU287" i="5"/>
  <c r="AX316" i="10"/>
  <c r="AW316" i="10"/>
  <c r="AX294" i="10"/>
  <c r="AW294" i="10"/>
  <c r="AU27" i="5"/>
  <c r="AT27" i="5"/>
  <c r="AX480" i="10"/>
  <c r="AW480" i="10"/>
  <c r="AW494" i="10"/>
  <c r="AX494" i="10"/>
  <c r="AT440" i="5"/>
  <c r="AU440" i="5"/>
  <c r="AX232" i="10"/>
  <c r="AW232" i="10"/>
  <c r="AX461" i="10"/>
  <c r="AW461" i="10"/>
  <c r="AU282" i="5"/>
  <c r="AT282" i="5"/>
  <c r="AU258" i="5"/>
  <c r="AT258" i="5"/>
  <c r="AX332" i="10"/>
  <c r="AW332" i="10"/>
  <c r="AT73" i="5"/>
  <c r="AU73" i="5"/>
  <c r="AT551" i="5"/>
  <c r="AU551" i="5"/>
  <c r="AX398" i="10"/>
  <c r="AW398" i="10"/>
  <c r="AW9" i="10"/>
  <c r="AX9" i="10"/>
  <c r="AU482" i="5"/>
  <c r="AT482" i="5"/>
  <c r="AW67" i="10"/>
  <c r="AX67" i="10"/>
  <c r="AU25" i="5"/>
  <c r="AT25" i="5"/>
  <c r="AW532" i="10"/>
  <c r="AX532" i="10"/>
  <c r="AT285" i="5"/>
  <c r="AU285" i="5"/>
  <c r="AX552" i="10"/>
  <c r="AW552" i="10"/>
  <c r="AT334" i="5"/>
  <c r="AU334" i="5"/>
  <c r="AT170" i="5"/>
  <c r="AU170" i="5"/>
  <c r="AW417" i="10"/>
  <c r="AX417" i="10"/>
  <c r="AX139" i="10"/>
  <c r="AW139" i="10"/>
  <c r="AU524" i="5"/>
  <c r="AT524" i="5"/>
  <c r="AT7" i="5"/>
  <c r="AU7" i="5"/>
  <c r="AX429" i="10"/>
  <c r="AW429" i="10"/>
  <c r="AT423" i="5"/>
  <c r="AU423" i="5"/>
  <c r="AX331" i="10"/>
  <c r="AW331" i="10"/>
  <c r="AT496" i="5"/>
  <c r="AU496" i="5"/>
  <c r="AX79" i="10"/>
  <c r="AW79" i="10"/>
  <c r="AU217" i="5"/>
  <c r="AT217" i="5"/>
  <c r="AX147" i="10"/>
  <c r="AW147" i="10"/>
  <c r="AT205" i="5"/>
  <c r="AU205" i="5"/>
  <c r="AX315" i="10"/>
  <c r="AW315" i="10"/>
  <c r="AT115" i="5"/>
  <c r="AU115" i="5"/>
  <c r="AW482" i="10"/>
  <c r="AX482" i="10"/>
  <c r="AU363" i="5"/>
  <c r="AT363" i="5"/>
  <c r="AX264" i="10"/>
  <c r="AW264" i="10"/>
  <c r="AW171" i="10"/>
  <c r="AX171" i="10"/>
  <c r="AU298" i="5"/>
  <c r="AT298" i="5"/>
  <c r="AT126" i="5"/>
  <c r="AU126" i="5"/>
  <c r="AX386" i="10"/>
  <c r="AW386" i="10"/>
  <c r="AT133" i="5"/>
  <c r="AU133" i="5"/>
  <c r="AU549" i="5"/>
  <c r="AT549" i="5"/>
  <c r="AX229" i="10"/>
  <c r="AW229" i="10"/>
  <c r="AT313" i="5"/>
  <c r="AU313" i="5"/>
  <c r="AT223" i="5"/>
  <c r="AU223" i="5"/>
  <c r="AX452" i="10"/>
  <c r="AW452" i="10"/>
  <c r="AU261" i="5"/>
  <c r="AT261" i="5"/>
  <c r="AX318" i="10"/>
  <c r="AW318" i="10"/>
  <c r="AT456" i="5"/>
  <c r="AU456" i="5"/>
  <c r="AX483" i="10"/>
  <c r="AW483" i="10"/>
  <c r="AU256" i="5"/>
  <c r="AT256" i="5"/>
  <c r="AW283" i="10"/>
  <c r="AX283" i="10"/>
  <c r="AX304" i="10"/>
  <c r="AW304" i="10"/>
  <c r="AX401" i="10"/>
  <c r="AW401" i="10"/>
  <c r="AW517" i="10"/>
  <c r="AX517" i="10"/>
  <c r="AT556" i="5"/>
  <c r="AU556" i="5"/>
  <c r="AU280" i="5"/>
  <c r="AT280" i="5"/>
  <c r="AX279" i="10"/>
  <c r="AW279" i="10"/>
  <c r="AX529" i="10"/>
  <c r="AW529" i="10"/>
  <c r="AU405" i="5"/>
  <c r="AT405" i="5"/>
  <c r="AX197" i="10"/>
  <c r="AW197" i="10"/>
  <c r="AU229" i="5"/>
  <c r="AT229" i="5"/>
  <c r="AU295" i="5"/>
  <c r="AT295" i="5"/>
  <c r="AW361" i="10"/>
  <c r="AX361" i="10"/>
  <c r="AT402" i="5"/>
  <c r="AU402" i="5"/>
  <c r="AU134" i="5"/>
  <c r="AT134" i="5"/>
  <c r="AX438" i="10"/>
  <c r="AW438" i="10"/>
  <c r="AW345" i="10"/>
  <c r="AX345" i="10"/>
  <c r="AT437" i="5"/>
  <c r="AU437" i="5"/>
  <c r="AX460" i="10"/>
  <c r="AW460" i="10"/>
  <c r="AU369" i="5"/>
  <c r="AT369" i="5"/>
  <c r="AU21" i="5"/>
  <c r="AT21" i="5"/>
  <c r="AU48" i="5"/>
  <c r="AT48" i="5"/>
  <c r="AX476" i="10"/>
  <c r="AW476" i="10"/>
  <c r="AW325" i="10"/>
  <c r="AX325" i="10"/>
  <c r="AX447" i="10"/>
  <c r="AW447" i="10"/>
  <c r="AU13" i="5" l="1"/>
  <c r="AT13" i="5"/>
  <c r="AT12" i="5"/>
  <c r="AU12" i="5"/>
  <c r="AW12" i="10"/>
  <c r="AX12"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BMC-BCS</author>
  </authors>
  <commentList>
    <comment ref="A3" authorId="0" shapeId="0" xr:uid="{00000000-0006-0000-0000-000001000000}">
      <text>
        <r>
          <rPr>
            <b/>
            <sz val="11"/>
            <color indexed="10"/>
            <rFont val="Tahoma"/>
            <family val="2"/>
          </rPr>
          <t>Welcome to the LM5155/56 Design Tool</t>
        </r>
        <r>
          <rPr>
            <sz val="9"/>
            <color indexed="81"/>
            <rFont val="Tahoma"/>
            <family val="2"/>
          </rPr>
          <t xml:space="preserve">
This stand-alone tool facilitates and assists the power supply engineer with design of a DC-DC boost converter based on the LM5155/56 controller. As such, the user can expeditiously arrive at an optimized design by virtue of the following:
- Select components
- Optimize compensation values and pole/zero placement in terms of control loop stability using crossover frquency as a performance metric
- Inspect regulator efficiency and component power dissipation
- Analyze efficiency based on selected MOSFET, inductor and diode parameters
IMPORTANT: You must enable macros if Microsoft Excel asks as the file is being opened. U.S. English notation is used throughout. Make sure to input or select values in all of the yellow shaded cells even if a value already exists in that cell. Do not over write equations in cells, as this may result in calculation errors.
</t>
        </r>
      </text>
    </comment>
    <comment ref="H7" authorId="0" shapeId="0" xr:uid="{2E6E75BD-C0D2-45A5-BEB5-8AAEA45E9FD0}">
      <text>
        <r>
          <rPr>
            <b/>
            <sz val="9"/>
            <color indexed="81"/>
            <rFont val="Tahoma"/>
            <family val="2"/>
          </rPr>
          <t xml:space="preserve">Minimum Input Voltage:
</t>
        </r>
        <r>
          <rPr>
            <sz val="9"/>
            <color indexed="81"/>
            <rFont val="Tahoma"/>
            <family val="2"/>
          </rPr>
          <t>Enter the minimum operating input voltage.
The LM5155 BIAS pin voltage operating range is 3.5V to 45V.
The LM5156 BIAS pin voltage operating range is 3.5V to 60V.
If low voltage operation is required the BIAS pin can be supplied with V</t>
        </r>
        <r>
          <rPr>
            <vertAlign val="subscript"/>
            <sz val="9"/>
            <color indexed="81"/>
            <rFont val="Tahoma"/>
            <family val="2"/>
          </rPr>
          <t>OUT</t>
        </r>
        <r>
          <rPr>
            <sz val="9"/>
            <color indexed="81"/>
            <rFont val="Tahoma"/>
            <family val="2"/>
          </rPr>
          <t xml:space="preserve"> extending operation to 1.5V</t>
        </r>
        <r>
          <rPr>
            <b/>
            <sz val="9"/>
            <color indexed="81"/>
            <rFont val="Tahoma"/>
            <family val="2"/>
          </rPr>
          <t xml:space="preserve">
</t>
        </r>
        <r>
          <rPr>
            <b/>
            <sz val="9"/>
            <color indexed="52"/>
            <rFont val="Tahoma"/>
            <family val="2"/>
          </rPr>
          <t>The text in the cell is flagged orange if:</t>
        </r>
        <r>
          <rPr>
            <b/>
            <sz val="9"/>
            <color indexed="81"/>
            <rFont val="Tahoma"/>
            <family val="2"/>
          </rPr>
          <t xml:space="preserve">
</t>
        </r>
        <r>
          <rPr>
            <sz val="9"/>
            <color indexed="81"/>
            <rFont val="Tahoma"/>
            <family val="2"/>
          </rPr>
          <t>-The input voltage is above 45V</t>
        </r>
        <r>
          <rPr>
            <b/>
            <sz val="9"/>
            <color indexed="81"/>
            <rFont val="Tahoma"/>
            <family val="2"/>
          </rPr>
          <t xml:space="preserve">
</t>
        </r>
        <r>
          <rPr>
            <b/>
            <sz val="9"/>
            <color indexed="10"/>
            <rFont val="Tahoma"/>
            <family val="2"/>
          </rPr>
          <t>The text in the cell is flagged red if:</t>
        </r>
        <r>
          <rPr>
            <b/>
            <sz val="9"/>
            <color indexed="81"/>
            <rFont val="Tahoma"/>
            <family val="2"/>
          </rPr>
          <t xml:space="preserve">
</t>
        </r>
        <r>
          <rPr>
            <sz val="9"/>
            <color indexed="81"/>
            <rFont val="Tahoma"/>
            <family val="2"/>
          </rPr>
          <t>-The input voltage is above 60V
-The input voltage is below 1.5V</t>
        </r>
      </text>
    </comment>
    <comment ref="N7" authorId="0" shapeId="0" xr:uid="{00000000-0006-0000-0000-000004000000}">
      <text>
        <r>
          <rPr>
            <b/>
            <sz val="11"/>
            <color indexed="81"/>
            <rFont val="Tahoma"/>
            <family val="2"/>
          </rPr>
          <t>Output Voltage Load 1:</t>
        </r>
        <r>
          <rPr>
            <b/>
            <sz val="9"/>
            <color indexed="81"/>
            <rFont val="Tahoma"/>
            <family val="2"/>
          </rPr>
          <t xml:space="preserve">
</t>
        </r>
        <r>
          <rPr>
            <sz val="10"/>
            <color indexed="81"/>
            <rFont val="Tahoma"/>
            <family val="2"/>
          </rPr>
          <t xml:space="preserve">Selected the desired voltage of load 1.
</t>
        </r>
        <r>
          <rPr>
            <b/>
            <sz val="10"/>
            <color indexed="10"/>
            <rFont val="Tahoma"/>
            <family val="2"/>
          </rPr>
          <t>Load 1 voltage should be entered as the regulated load regardless of the feedback type</t>
        </r>
        <r>
          <rPr>
            <sz val="9"/>
            <color indexed="81"/>
            <rFont val="Tahoma"/>
            <family val="2"/>
          </rPr>
          <t xml:space="preserve">
</t>
        </r>
      </text>
    </comment>
    <comment ref="H8" authorId="0" shapeId="0" xr:uid="{A6C3AFD2-6488-45FB-8704-49B373F744E0}">
      <text>
        <r>
          <rPr>
            <b/>
            <sz val="9"/>
            <color indexed="81"/>
            <rFont val="Tahoma"/>
            <family val="2"/>
          </rPr>
          <t xml:space="preserve">Nominal Input Voltage:
</t>
        </r>
        <r>
          <rPr>
            <sz val="9"/>
            <color indexed="81"/>
            <rFont val="Tahoma"/>
            <family val="2"/>
          </rPr>
          <t>Enter the nominal operating input voltage.
The LM5155 input voltage operating range is 1.5V to 45V.</t>
        </r>
        <r>
          <rPr>
            <b/>
            <sz val="9"/>
            <color indexed="81"/>
            <rFont val="Tahoma"/>
            <family val="2"/>
          </rPr>
          <t xml:space="preserve">
</t>
        </r>
        <r>
          <rPr>
            <sz val="9"/>
            <color indexed="81"/>
            <rFont val="Tahoma"/>
            <family val="2"/>
          </rPr>
          <t xml:space="preserve">The LM5156 input voltage operating range is 1.5V to 60V.
</t>
        </r>
        <r>
          <rPr>
            <b/>
            <sz val="9"/>
            <color indexed="81"/>
            <rFont val="Tahoma"/>
            <family val="2"/>
          </rPr>
          <t xml:space="preserve">
</t>
        </r>
        <r>
          <rPr>
            <b/>
            <sz val="9"/>
            <color indexed="10"/>
            <rFont val="Tahoma"/>
            <family val="2"/>
          </rPr>
          <t>The text in the cell is flagged red if:</t>
        </r>
        <r>
          <rPr>
            <b/>
            <sz val="9"/>
            <color indexed="81"/>
            <rFont val="Tahoma"/>
            <family val="2"/>
          </rPr>
          <t xml:space="preserve">
</t>
        </r>
        <r>
          <rPr>
            <sz val="9"/>
            <color indexed="81"/>
            <rFont val="Tahoma"/>
            <family val="2"/>
          </rPr>
          <t>-The input voltage is above V</t>
        </r>
        <r>
          <rPr>
            <vertAlign val="subscript"/>
            <sz val="9"/>
            <color indexed="81"/>
            <rFont val="Tahoma"/>
            <family val="2"/>
          </rPr>
          <t>SUPPLY</t>
        </r>
        <r>
          <rPr>
            <sz val="9"/>
            <color indexed="81"/>
            <rFont val="Tahoma"/>
            <family val="2"/>
          </rPr>
          <t>(max)
-The input voltage is below V</t>
        </r>
        <r>
          <rPr>
            <vertAlign val="subscript"/>
            <sz val="9"/>
            <color indexed="81"/>
            <rFont val="Tahoma"/>
            <family val="2"/>
          </rPr>
          <t>SUPPLY</t>
        </r>
        <r>
          <rPr>
            <sz val="9"/>
            <color indexed="81"/>
            <rFont val="Tahoma"/>
            <family val="2"/>
          </rPr>
          <t>(min)</t>
        </r>
      </text>
    </comment>
    <comment ref="H9" authorId="0" shapeId="0" xr:uid="{56DD16C7-B95F-462F-94AB-5E68A4E70794}">
      <text>
        <r>
          <rPr>
            <b/>
            <sz val="9"/>
            <color indexed="81"/>
            <rFont val="Tahoma"/>
            <family val="2"/>
          </rPr>
          <t>Maximum Input Voltage:</t>
        </r>
        <r>
          <rPr>
            <sz val="9"/>
            <color indexed="81"/>
            <rFont val="Tahoma"/>
            <family val="2"/>
          </rPr>
          <t xml:space="preserve">
Enter the maximum operating input voltage.
The LM5155 input voltage operating range is 1.5V to 45V.
The LM5156 input voltage operating range is 1.5V to 60V.
</t>
        </r>
        <r>
          <rPr>
            <b/>
            <sz val="9"/>
            <color indexed="10"/>
            <rFont val="Tahoma"/>
            <family val="2"/>
          </rPr>
          <t xml:space="preserve">
</t>
        </r>
        <r>
          <rPr>
            <b/>
            <sz val="9"/>
            <color indexed="52"/>
            <rFont val="Tahoma"/>
            <family val="2"/>
          </rPr>
          <t>The text in the cell is flagged orange if:</t>
        </r>
        <r>
          <rPr>
            <b/>
            <sz val="9"/>
            <color indexed="10"/>
            <rFont val="Tahoma"/>
            <family val="2"/>
          </rPr>
          <t xml:space="preserve">
</t>
        </r>
        <r>
          <rPr>
            <sz val="9"/>
            <color indexed="81"/>
            <rFont val="Tahoma"/>
            <family val="2"/>
          </rPr>
          <t>-The input voltage is above 45V</t>
        </r>
        <r>
          <rPr>
            <b/>
            <sz val="9"/>
            <color indexed="10"/>
            <rFont val="Tahoma"/>
            <family val="2"/>
          </rPr>
          <t xml:space="preserve">
The text in the cell is flagged red if:</t>
        </r>
        <r>
          <rPr>
            <sz val="9"/>
            <color indexed="81"/>
            <rFont val="Tahoma"/>
            <family val="2"/>
          </rPr>
          <t xml:space="preserve">
-The input voltage is above 60V
-The input voltage is below 1.5V
</t>
        </r>
      </text>
    </comment>
    <comment ref="N10" authorId="0" shapeId="0" xr:uid="{00000000-0006-0000-0000-000007000000}">
      <text>
        <r>
          <rPr>
            <b/>
            <u/>
            <sz val="9"/>
            <color indexed="81"/>
            <rFont val="Tahoma"/>
            <family val="2"/>
          </rPr>
          <t>Load 1 Turns Ratio</t>
        </r>
        <r>
          <rPr>
            <sz val="9"/>
            <color indexed="81"/>
            <rFont val="Tahoma"/>
            <family val="2"/>
          </rPr>
          <t xml:space="preserve">
The turns ratio on the secondary winding of load 1. 
</t>
        </r>
        <r>
          <rPr>
            <b/>
            <sz val="9"/>
            <color indexed="10"/>
            <rFont val="Tahoma"/>
            <family val="2"/>
          </rPr>
          <t>The primary turns ratio (Np) is assumed to be 1</t>
        </r>
      </text>
    </comment>
    <comment ref="N11" authorId="0" shapeId="0" xr:uid="{00000000-0006-0000-0000-000008000000}">
      <text>
        <r>
          <rPr>
            <b/>
            <u/>
            <sz val="9"/>
            <color indexed="81"/>
            <rFont val="Tahoma"/>
            <family val="2"/>
          </rPr>
          <t>DC Resistance of Load 1 Winding</t>
        </r>
        <r>
          <rPr>
            <sz val="9"/>
            <color indexed="81"/>
            <rFont val="Tahoma"/>
            <family val="2"/>
          </rPr>
          <t xml:space="preserve">
Resistance of load 1 winding. For high current outputs this value should be minimized</t>
        </r>
      </text>
    </comment>
    <comment ref="H14" authorId="0" shapeId="0" xr:uid="{00000000-0006-0000-0000-000009000000}">
      <text>
        <r>
          <rPr>
            <b/>
            <u/>
            <sz val="11"/>
            <color indexed="81"/>
            <rFont val="Tahoma"/>
            <family val="2"/>
          </rPr>
          <t>Operating Frequency Set by RT</t>
        </r>
        <r>
          <rPr>
            <b/>
            <sz val="9"/>
            <color indexed="81"/>
            <rFont val="Tahoma"/>
            <family val="2"/>
          </rPr>
          <t xml:space="preserve">
</t>
        </r>
        <r>
          <rPr>
            <sz val="10"/>
            <color indexed="81"/>
            <rFont val="Tahoma"/>
            <family val="2"/>
          </rPr>
          <t>This cell defines the free running switching frequency</t>
        </r>
        <r>
          <rPr>
            <b/>
            <sz val="9"/>
            <color indexed="81"/>
            <rFont val="Tahoma"/>
            <family val="2"/>
          </rPr>
          <t xml:space="preserve">
Text turns red if:
</t>
        </r>
        <r>
          <rPr>
            <sz val="10"/>
            <color indexed="81"/>
            <rFont val="Tahoma"/>
            <family val="2"/>
          </rPr>
          <t xml:space="preserve">Frequency is set below: </t>
        </r>
        <r>
          <rPr>
            <sz val="10"/>
            <color indexed="10"/>
            <rFont val="Tahoma"/>
            <family val="2"/>
          </rPr>
          <t>50kHz</t>
        </r>
        <r>
          <rPr>
            <sz val="10"/>
            <color indexed="81"/>
            <rFont val="Tahoma"/>
            <family val="2"/>
          </rPr>
          <t xml:space="preserve">
Frequenyc is set above: </t>
        </r>
        <r>
          <rPr>
            <sz val="10"/>
            <color indexed="10"/>
            <rFont val="Tahoma"/>
            <family val="2"/>
          </rPr>
          <t>2.2MHz</t>
        </r>
        <r>
          <rPr>
            <sz val="9"/>
            <color indexed="81"/>
            <rFont val="Tahoma"/>
            <family val="2"/>
          </rPr>
          <t xml:space="preserve">
</t>
        </r>
      </text>
    </comment>
    <comment ref="H17" authorId="0" shapeId="0" xr:uid="{00000000-0006-0000-0000-00000A000000}">
      <text>
        <r>
          <rPr>
            <b/>
            <u/>
            <sz val="10"/>
            <color indexed="81"/>
            <rFont val="Tahoma"/>
            <family val="2"/>
          </rPr>
          <t xml:space="preserve">Maximum duty cycle </t>
        </r>
        <r>
          <rPr>
            <sz val="9"/>
            <color indexed="81"/>
            <rFont val="Tahoma"/>
            <family val="2"/>
          </rPr>
          <t xml:space="preserve">
</t>
        </r>
        <r>
          <rPr>
            <sz val="10"/>
            <color indexed="81"/>
            <rFont val="Tahoma"/>
            <family val="2"/>
          </rPr>
          <t>Desired maximum duty cycle of the regulator. If the duty cycle the is set less than 50% the need for external slope compensation is removed. 
Typically between 30% to 70% is  a good starting point.</t>
        </r>
        <r>
          <rPr>
            <sz val="9"/>
            <color indexed="81"/>
            <rFont val="Tahoma"/>
            <family val="2"/>
          </rPr>
          <t xml:space="preserve">
</t>
        </r>
      </text>
    </comment>
    <comment ref="H22" authorId="0" shapeId="0" xr:uid="{00000000-0006-0000-0000-00000B000000}">
      <text>
        <r>
          <rPr>
            <b/>
            <u/>
            <sz val="9"/>
            <color indexed="81"/>
            <rFont val="Tahoma"/>
            <family val="2"/>
          </rPr>
          <t>Primary winding current ripple ratio</t>
        </r>
        <r>
          <rPr>
            <b/>
            <sz val="9"/>
            <color indexed="81"/>
            <rFont val="Tahoma"/>
            <family val="2"/>
          </rPr>
          <t xml:space="preserve">
</t>
        </r>
        <r>
          <rPr>
            <sz val="9"/>
            <color indexed="81"/>
            <rFont val="Tahoma"/>
            <family val="2"/>
          </rPr>
          <t>The ratio between the ripple current vs the average current in the primary winding
30% to 70% ripple is a good starting point.</t>
        </r>
      </text>
    </comment>
    <comment ref="H24" authorId="0" shapeId="0" xr:uid="{00000000-0006-0000-0000-00000C000000}">
      <text>
        <r>
          <rPr>
            <b/>
            <sz val="9"/>
            <color indexed="81"/>
            <rFont val="Tahoma"/>
            <family val="2"/>
          </rPr>
          <t>Primary Winding Inductance</t>
        </r>
        <r>
          <rPr>
            <sz val="9"/>
            <color indexed="81"/>
            <rFont val="Tahoma"/>
            <family val="2"/>
          </rPr>
          <t xml:space="preserve">
Enter the primary winding magnetizing inductance here.
This cell will</t>
        </r>
      </text>
    </comment>
    <comment ref="H25" authorId="0" shapeId="0" xr:uid="{00000000-0006-0000-0000-00000D000000}">
      <text>
        <r>
          <rPr>
            <b/>
            <u/>
            <sz val="9"/>
            <color indexed="81"/>
            <rFont val="Tahoma"/>
            <family val="2"/>
          </rPr>
          <t>DC Resistance of Primary Winding</t>
        </r>
        <r>
          <rPr>
            <b/>
            <sz val="9"/>
            <color indexed="81"/>
            <rFont val="Tahoma"/>
            <family val="2"/>
          </rPr>
          <t xml:space="preserve">
</t>
        </r>
        <r>
          <rPr>
            <sz val="9"/>
            <color indexed="81"/>
            <rFont val="Tahoma"/>
            <family val="2"/>
          </rPr>
          <t xml:space="preserve">Resistance of Primary winding. For high power applications this value should be minimized
</t>
        </r>
      </text>
    </comment>
    <comment ref="H26" authorId="0" shapeId="0" xr:uid="{00000000-0006-0000-0000-00000E000000}">
      <text>
        <r>
          <rPr>
            <b/>
            <u/>
            <sz val="9"/>
            <color indexed="81"/>
            <rFont val="Tahoma"/>
            <family val="2"/>
          </rPr>
          <t>Primary Winding Peak Current:</t>
        </r>
        <r>
          <rPr>
            <b/>
            <sz val="9"/>
            <color indexed="81"/>
            <rFont val="Tahoma"/>
            <family val="2"/>
          </rPr>
          <t xml:space="preserve">
</t>
        </r>
        <r>
          <rPr>
            <sz val="9"/>
            <color indexed="81"/>
            <rFont val="Tahoma"/>
            <family val="2"/>
          </rPr>
          <t xml:space="preserve">Peak current in the primary winding at full output power.
</t>
        </r>
      </text>
    </comment>
    <comment ref="H30" authorId="0" shapeId="0" xr:uid="{00000000-0006-0000-0000-00000F000000}">
      <text>
        <r>
          <rPr>
            <b/>
            <u/>
            <sz val="9"/>
            <color indexed="81"/>
            <rFont val="Tahoma"/>
            <family val="2"/>
          </rPr>
          <t>Peak current Limit Margin</t>
        </r>
        <r>
          <rPr>
            <b/>
            <sz val="9"/>
            <color indexed="81"/>
            <rFont val="Tahoma"/>
            <family val="2"/>
          </rPr>
          <t xml:space="preserve">
</t>
        </r>
        <r>
          <rPr>
            <sz val="9"/>
            <color indexed="81"/>
            <rFont val="Tahoma"/>
            <family val="2"/>
          </rPr>
          <t xml:space="preserve">Percentage above the calculate maximum peak current in the primimary winding. This value sets the required peak current limit
</t>
        </r>
        <r>
          <rPr>
            <sz val="9"/>
            <color indexed="10"/>
            <rFont val="Tahoma"/>
            <family val="2"/>
          </rPr>
          <t>Typically this value should be above 20%, allowing for component tolerances and efficiency</t>
        </r>
        <r>
          <rPr>
            <sz val="9"/>
            <color indexed="81"/>
            <rFont val="Tahoma"/>
            <family val="2"/>
          </rPr>
          <t xml:space="preserve">
</t>
        </r>
      </text>
    </comment>
    <comment ref="H32" authorId="0" shapeId="0" xr:uid="{00000000-0006-0000-0000-000010000000}">
      <text>
        <r>
          <rPr>
            <b/>
            <u/>
            <sz val="9"/>
            <color indexed="81"/>
            <rFont val="Tahoma"/>
            <family val="2"/>
          </rPr>
          <t>Recommended Current Sense Resistor (R</t>
        </r>
        <r>
          <rPr>
            <b/>
            <u/>
            <vertAlign val="subscript"/>
            <sz val="9"/>
            <color indexed="81"/>
            <rFont val="Tahoma"/>
            <family val="2"/>
          </rPr>
          <t>S</t>
        </r>
        <r>
          <rPr>
            <b/>
            <u/>
            <sz val="9"/>
            <color indexed="81"/>
            <rFont val="Tahoma"/>
            <family val="2"/>
          </rPr>
          <t>)</t>
        </r>
        <r>
          <rPr>
            <sz val="9"/>
            <color indexed="81"/>
            <rFont val="Tahoma"/>
            <family val="2"/>
          </rPr>
          <t xml:space="preserve">
Use this resistor to sense current and set the peak overcurrent protection. As such, the calculation takes the required current limit setpoint and the primary winding ripple current amplitude to calculate R</t>
        </r>
        <r>
          <rPr>
            <vertAlign val="subscript"/>
            <sz val="9"/>
            <color indexed="81"/>
            <rFont val="Tahoma"/>
            <family val="2"/>
          </rPr>
          <t>S</t>
        </r>
        <r>
          <rPr>
            <sz val="9"/>
            <color indexed="81"/>
            <rFont val="Tahoma"/>
            <family val="2"/>
          </rPr>
          <t xml:space="preserve">.
The current limit threshold voltage is 100mV with ±10% tolerance.
</t>
        </r>
      </text>
    </comment>
    <comment ref="H33" authorId="0" shapeId="0" xr:uid="{00000000-0006-0000-0000-000011000000}">
      <text>
        <r>
          <rPr>
            <b/>
            <u/>
            <sz val="9"/>
            <color indexed="81"/>
            <rFont val="Tahoma"/>
            <family val="2"/>
          </rPr>
          <t>Recommended External Slope Compensation (R</t>
        </r>
        <r>
          <rPr>
            <b/>
            <u/>
            <vertAlign val="subscript"/>
            <sz val="9"/>
            <color indexed="81"/>
            <rFont val="Tahoma"/>
            <family val="2"/>
          </rPr>
          <t>SL</t>
        </r>
        <r>
          <rPr>
            <b/>
            <u/>
            <sz val="9"/>
            <color indexed="81"/>
            <rFont val="Tahoma"/>
            <family val="2"/>
          </rPr>
          <t>)</t>
        </r>
        <r>
          <rPr>
            <sz val="9"/>
            <color indexed="81"/>
            <rFont val="Tahoma"/>
            <family val="2"/>
          </rPr>
          <t xml:space="preserve">
External Slope compensation. This is only required when operting in CCM mode.</t>
        </r>
      </text>
    </comment>
    <comment ref="H36" authorId="0" shapeId="0" xr:uid="{00000000-0006-0000-0000-000012000000}">
      <text>
        <r>
          <rPr>
            <b/>
            <u/>
            <sz val="9"/>
            <color indexed="81"/>
            <rFont val="Tahoma"/>
            <family val="2"/>
          </rPr>
          <t>Transformer Primary Winding peak current limit</t>
        </r>
        <r>
          <rPr>
            <b/>
            <sz val="9"/>
            <color indexed="81"/>
            <rFont val="Tahoma"/>
            <family val="2"/>
          </rPr>
          <t xml:space="preserve">
</t>
        </r>
        <r>
          <rPr>
            <sz val="9"/>
            <color indexed="81"/>
            <rFont val="Tahoma"/>
            <family val="2"/>
          </rPr>
          <t>Maximum current in the inductor usually occurs at VIN(min). The result is corresponds to onset of current limit and is intended as a guide to transformer selection as it relates to saturation current</t>
        </r>
        <r>
          <rPr>
            <b/>
            <sz val="9"/>
            <color indexed="81"/>
            <rFont val="Tahoma"/>
            <family val="2"/>
          </rPr>
          <t>.</t>
        </r>
      </text>
    </comment>
    <comment ref="H40" authorId="0" shapeId="0" xr:uid="{00000000-0006-0000-0000-000013000000}">
      <text>
        <r>
          <rPr>
            <b/>
            <u/>
            <sz val="9"/>
            <color indexed="81"/>
            <rFont val="Tahoma"/>
            <family val="2"/>
          </rPr>
          <t>Load 1 Load Transient Voltage Ripple</t>
        </r>
        <r>
          <rPr>
            <sz val="9"/>
            <color indexed="81"/>
            <rFont val="Tahoma"/>
            <family val="2"/>
          </rPr>
          <t xml:space="preserve">
Desired output voltage transient for 50% load to 100% load step.
</t>
        </r>
      </text>
    </comment>
    <comment ref="H42" authorId="0" shapeId="0" xr:uid="{00000000-0006-0000-0000-000014000000}">
      <text>
        <r>
          <rPr>
            <b/>
            <u/>
            <sz val="9"/>
            <color indexed="81"/>
            <rFont val="Tahoma"/>
            <family val="2"/>
          </rPr>
          <t>Load 1 Output Capacitance:</t>
        </r>
        <r>
          <rPr>
            <b/>
            <sz val="9"/>
            <color indexed="81"/>
            <rFont val="Tahoma"/>
            <family val="2"/>
          </rPr>
          <t xml:space="preserve">
</t>
        </r>
        <r>
          <rPr>
            <sz val="9"/>
            <color indexed="81"/>
            <rFont val="Tahoma"/>
            <family val="2"/>
          </rPr>
          <t xml:space="preserve">Enter the output capacitance here based on the minimum calculated result. Make sure that the nominal capacitance is appropriately derated for applied voltage, particularly with ceramics.
</t>
        </r>
      </text>
    </comment>
    <comment ref="G47" authorId="0" shapeId="0" xr:uid="{00000000-0006-0000-0000-000015000000}">
      <text>
        <r>
          <rPr>
            <b/>
            <u/>
            <sz val="9"/>
            <color indexed="81"/>
            <rFont val="Tahoma"/>
            <family val="2"/>
          </rPr>
          <t>Soft-start Capacitor</t>
        </r>
        <r>
          <rPr>
            <sz val="9"/>
            <color indexed="81"/>
            <rFont val="Tahoma"/>
            <family val="2"/>
          </rPr>
          <t xml:space="preserve">
If the feedback is selected to be isolated a secondary side soft-start cirucuit should be implemented.</t>
        </r>
      </text>
    </comment>
    <comment ref="H52" authorId="0" shapeId="0" xr:uid="{00000000-0006-0000-0000-000016000000}">
      <text>
        <r>
          <rPr>
            <b/>
            <u/>
            <sz val="9"/>
            <color indexed="81"/>
            <rFont val="Tahoma"/>
            <family val="2"/>
          </rPr>
          <t>UVLO On Voltage</t>
        </r>
        <r>
          <rPr>
            <sz val="9"/>
            <color indexed="81"/>
            <rFont val="Tahoma"/>
            <family val="2"/>
          </rPr>
          <t xml:space="preserve">
Input voltage when LM5155 starts switching. Assuming the UVLO resistor divider is connected to the input rail. This value should be greater than the V</t>
        </r>
        <r>
          <rPr>
            <vertAlign val="subscript"/>
            <sz val="9"/>
            <color indexed="81"/>
            <rFont val="Tahoma"/>
            <family val="2"/>
          </rPr>
          <t xml:space="preserve">UVLO_OFF  </t>
        </r>
        <r>
          <rPr>
            <sz val="9"/>
            <color indexed="81"/>
            <rFont val="Tahoma"/>
            <family val="2"/>
          </rPr>
          <t>voltage
If more hystersis between V</t>
        </r>
        <r>
          <rPr>
            <vertAlign val="subscript"/>
            <sz val="9"/>
            <color indexed="81"/>
            <rFont val="Tahoma"/>
            <family val="2"/>
          </rPr>
          <t>UVLO_ON</t>
        </r>
        <r>
          <rPr>
            <sz val="9"/>
            <color indexed="81"/>
            <rFont val="Tahoma"/>
            <family val="2"/>
          </rPr>
          <t xml:space="preserve"> and V</t>
        </r>
        <r>
          <rPr>
            <vertAlign val="subscript"/>
            <sz val="9"/>
            <color indexed="81"/>
            <rFont val="Tahoma"/>
            <family val="2"/>
          </rPr>
          <t>UVLO_OFF</t>
        </r>
        <r>
          <rPr>
            <sz val="9"/>
            <color indexed="81"/>
            <rFont val="Tahoma"/>
            <family val="2"/>
          </rPr>
          <t xml:space="preserve"> see the datasheet.
</t>
        </r>
      </text>
    </comment>
    <comment ref="H53" authorId="0" shapeId="0" xr:uid="{00000000-0006-0000-0000-000017000000}">
      <text>
        <r>
          <rPr>
            <b/>
            <u/>
            <sz val="9"/>
            <color indexed="81"/>
            <rFont val="Tahoma"/>
            <family val="2"/>
          </rPr>
          <t xml:space="preserve">UVLO Off Voltage
</t>
        </r>
        <r>
          <rPr>
            <sz val="9"/>
            <color indexed="81"/>
            <rFont val="Tahoma"/>
            <family val="2"/>
          </rPr>
          <t xml:space="preserve">
Input voltage when LM5155 stops switching. Assuming the UVLO resistor divider is connected to the input rail. This value should be less than the V</t>
        </r>
        <r>
          <rPr>
            <vertAlign val="subscript"/>
            <sz val="9"/>
            <color indexed="81"/>
            <rFont val="Tahoma"/>
            <family val="2"/>
          </rPr>
          <t>UVLO_ON</t>
        </r>
        <r>
          <rPr>
            <sz val="9"/>
            <color indexed="81"/>
            <rFont val="Tahoma"/>
            <family val="2"/>
          </rPr>
          <t xml:space="preserve">  voltage.
If more hystersis between V</t>
        </r>
        <r>
          <rPr>
            <vertAlign val="subscript"/>
            <sz val="9"/>
            <color indexed="81"/>
            <rFont val="Tahoma"/>
            <family val="2"/>
          </rPr>
          <t>UVLO_ON</t>
        </r>
        <r>
          <rPr>
            <sz val="9"/>
            <color indexed="81"/>
            <rFont val="Tahoma"/>
            <family val="2"/>
          </rPr>
          <t xml:space="preserve"> and V</t>
        </r>
        <r>
          <rPr>
            <vertAlign val="subscript"/>
            <sz val="9"/>
            <color indexed="81"/>
            <rFont val="Tahoma"/>
            <family val="2"/>
          </rPr>
          <t>UVLO_OFF</t>
        </r>
        <r>
          <rPr>
            <sz val="9"/>
            <color indexed="81"/>
            <rFont val="Tahoma"/>
            <family val="2"/>
          </rPr>
          <t xml:space="preserve"> see the datasheet.</t>
        </r>
      </text>
    </comment>
    <comment ref="H62" authorId="0" shapeId="0" xr:uid="{00000000-0006-0000-0000-000018000000}">
      <text>
        <r>
          <rPr>
            <b/>
            <u/>
            <sz val="9"/>
            <color indexed="81"/>
            <rFont val="Tahoma"/>
            <family val="2"/>
          </rPr>
          <t xml:space="preserve">External Reference Voltage
</t>
        </r>
        <r>
          <rPr>
            <sz val="9"/>
            <color indexed="81"/>
            <rFont val="Tahoma"/>
            <family val="2"/>
          </rPr>
          <t xml:space="preserve">Isolated feedback requires the use of an external voltage reference on the secondary side. This is the voltage of the external shunt voltage reference. 
For low ouput voltages (&lt;5V) it is recommended to select a reference voltage of ~1.24V to help simplify the loop compensation design.
</t>
        </r>
      </text>
    </comment>
    <comment ref="H68" authorId="0" shapeId="0" xr:uid="{00000000-0006-0000-0000-000019000000}">
      <text>
        <r>
          <rPr>
            <b/>
            <u/>
            <sz val="10"/>
            <color indexed="81"/>
            <rFont val="Tahoma"/>
            <family val="2"/>
          </rPr>
          <t>Minimum Current Transfer Ratio</t>
        </r>
        <r>
          <rPr>
            <sz val="9"/>
            <color indexed="81"/>
            <rFont val="Tahoma"/>
            <family val="2"/>
          </rPr>
          <t xml:space="preserve">
</t>
        </r>
        <r>
          <rPr>
            <sz val="10"/>
            <color indexed="81"/>
            <rFont val="Tahoma"/>
            <family val="2"/>
          </rPr>
          <t xml:space="preserve">Minimum specified current transfer ratio (CTR) of the selected optocoupler. This is the gain of the optocoupler and is the ratio of the phototransistor collector current to the diode forward current.
As the minimum CTR and the maximum CTR become closer the easier the loop compensation becomes. </t>
        </r>
      </text>
    </comment>
    <comment ref="H69" authorId="0" shapeId="0" xr:uid="{00000000-0006-0000-0000-00001A000000}">
      <text>
        <r>
          <rPr>
            <b/>
            <sz val="9"/>
            <color indexed="81"/>
            <rFont val="Tahoma"/>
            <family val="2"/>
          </rPr>
          <t xml:space="preserve">Minimum Current Transfer Ratio
</t>
        </r>
        <r>
          <rPr>
            <sz val="9"/>
            <color indexed="81"/>
            <rFont val="Tahoma"/>
            <family val="2"/>
          </rPr>
          <t>Minimum specified current transfer ratio (CTR) of the selected optocoupler. This is the gain of the optocoupler and is the ratio of the phototransistor collector current to the diode forward current.
As the minimum CTR and the maximum CTR become closer the easier the loop compensation becomes.</t>
        </r>
        <r>
          <rPr>
            <b/>
            <sz val="9"/>
            <color indexed="81"/>
            <rFont val="Tahoma"/>
            <family val="2"/>
          </rPr>
          <t xml:space="preserve"> </t>
        </r>
        <r>
          <rPr>
            <sz val="9"/>
            <color indexed="81"/>
            <rFont val="Tahoma"/>
            <family val="2"/>
          </rPr>
          <t xml:space="preserve">
</t>
        </r>
      </text>
    </comment>
    <comment ref="H70" authorId="0" shapeId="0" xr:uid="{00000000-0006-0000-0000-00001B000000}">
      <text>
        <r>
          <rPr>
            <b/>
            <u/>
            <sz val="9"/>
            <color indexed="81"/>
            <rFont val="Tahoma"/>
            <family val="2"/>
          </rPr>
          <t>Optocoupler Diode Forward Voltage Drop</t>
        </r>
        <r>
          <rPr>
            <sz val="9"/>
            <color indexed="81"/>
            <rFont val="Tahoma"/>
            <family val="2"/>
          </rPr>
          <t xml:space="preserve">
Use the specified voltage diode voltage drop from the optocoupler datasheet. Typically this is specified with a couple milliamperes (mA) of forward current</t>
        </r>
      </text>
    </comment>
    <comment ref="H71" authorId="0" shapeId="0" xr:uid="{00000000-0006-0000-0000-00001C000000}">
      <text>
        <r>
          <rPr>
            <b/>
            <u/>
            <sz val="9"/>
            <color indexed="81"/>
            <rFont val="Tahoma"/>
            <family val="2"/>
          </rPr>
          <t xml:space="preserve">Phototransistor Collector Capacitance
</t>
        </r>
        <r>
          <rPr>
            <sz val="9"/>
            <color indexed="81"/>
            <rFont val="Tahoma"/>
            <family val="2"/>
          </rPr>
          <t>The capacitance of the phototransistor collector. This sets the high frequency pole in the error amplifier frequency response. This can be estimated by using the frequency response of the optocoupler from the datasheet and the pull-up resistor value.
C</t>
        </r>
        <r>
          <rPr>
            <vertAlign val="subscript"/>
            <sz val="9"/>
            <color indexed="81"/>
            <rFont val="Tahoma"/>
            <family val="2"/>
          </rPr>
          <t>OPTO</t>
        </r>
        <r>
          <rPr>
            <sz val="9"/>
            <color indexed="81"/>
            <rFont val="Tahoma"/>
            <family val="2"/>
          </rPr>
          <t xml:space="preserve"> = 1/(2</t>
        </r>
        <r>
          <rPr>
            <sz val="9"/>
            <color indexed="81"/>
            <rFont val="Calibri"/>
            <family val="2"/>
          </rPr>
          <t>π</t>
        </r>
        <r>
          <rPr>
            <sz val="9"/>
            <color indexed="81"/>
            <rFont val="Tahoma"/>
            <family val="2"/>
          </rPr>
          <t>*R</t>
        </r>
        <r>
          <rPr>
            <vertAlign val="subscript"/>
            <sz val="9"/>
            <color indexed="81"/>
            <rFont val="Tahoma"/>
            <family val="2"/>
          </rPr>
          <t>PULLUP</t>
        </r>
        <r>
          <rPr>
            <sz val="9"/>
            <color indexed="81"/>
            <rFont val="Tahoma"/>
            <family val="2"/>
          </rPr>
          <t>*f</t>
        </r>
        <r>
          <rPr>
            <vertAlign val="subscript"/>
            <sz val="9"/>
            <color indexed="81"/>
            <rFont val="Tahoma"/>
            <family val="2"/>
          </rPr>
          <t>CUTOFF</t>
        </r>
        <r>
          <rPr>
            <sz val="9"/>
            <color indexed="81"/>
            <rFont val="Tahoma"/>
            <family val="2"/>
          </rPr>
          <t>)
A capacitor can be added in parallel to the phototransistor to lower the pole frequency as needed.</t>
        </r>
      </text>
    </comment>
    <comment ref="H72" authorId="0" shapeId="0" xr:uid="{00000000-0006-0000-0000-00001D000000}">
      <text>
        <r>
          <rPr>
            <b/>
            <u/>
            <sz val="9"/>
            <color indexed="81"/>
            <rFont val="Tahoma"/>
            <family val="2"/>
          </rPr>
          <t xml:space="preserve">Phototransistor Saturation voltage
</t>
        </r>
        <r>
          <rPr>
            <sz val="9"/>
            <color indexed="81"/>
            <rFont val="Tahoma"/>
            <family val="2"/>
          </rPr>
          <t>Saturation voltage of the phototransistor as specified in the optocoupler datasheet.</t>
        </r>
      </text>
    </comment>
    <comment ref="H75" authorId="0" shapeId="0" xr:uid="{00000000-0006-0000-0000-00001E000000}">
      <text>
        <r>
          <rPr>
            <b/>
            <u/>
            <sz val="9"/>
            <color indexed="81"/>
            <rFont val="Tahoma"/>
            <family val="2"/>
          </rPr>
          <t>Pull up voltage (V</t>
        </r>
        <r>
          <rPr>
            <b/>
            <u/>
            <vertAlign val="subscript"/>
            <sz val="9"/>
            <color indexed="81"/>
            <rFont val="Tahoma"/>
            <family val="2"/>
          </rPr>
          <t>PULLUP</t>
        </r>
        <r>
          <rPr>
            <b/>
            <u/>
            <sz val="9"/>
            <color indexed="81"/>
            <rFont val="Tahoma"/>
            <family val="2"/>
          </rPr>
          <t>)</t>
        </r>
        <r>
          <rPr>
            <sz val="9"/>
            <color indexed="81"/>
            <rFont val="Tahoma"/>
            <family val="2"/>
          </rPr>
          <t xml:space="preserve">
This can be the VCC voltage of the LM5155/56 or can be supplied by an auxillary winding on the primary side. This value will affect the selection of the pull up resistor.</t>
        </r>
      </text>
    </comment>
    <comment ref="H77" authorId="0" shapeId="0" xr:uid="{00000000-0006-0000-0000-00001F000000}">
      <text>
        <r>
          <rPr>
            <b/>
            <u/>
            <sz val="9"/>
            <color indexed="81"/>
            <rFont val="Tahoma"/>
            <family val="2"/>
          </rPr>
          <t>Pullup Resistor Value</t>
        </r>
        <r>
          <rPr>
            <sz val="9"/>
            <color indexed="81"/>
            <rFont val="Tahoma"/>
            <family val="2"/>
          </rPr>
          <t xml:space="preserve">
Resistor between VPULLUP and the collector of the phototransistor of the  optocoupler. This resistor selection directly affects the mid-band gain of the error amplifier bandwidth</t>
        </r>
      </text>
    </comment>
    <comment ref="H79" authorId="0" shapeId="0" xr:uid="{00000000-0006-0000-0000-000020000000}">
      <text>
        <r>
          <rPr>
            <b/>
            <u/>
            <sz val="9"/>
            <color indexed="81"/>
            <rFont val="Tahoma"/>
            <family val="2"/>
          </rPr>
          <t>LED Resistor (R</t>
        </r>
        <r>
          <rPr>
            <b/>
            <u/>
            <vertAlign val="subscript"/>
            <sz val="9"/>
            <color indexed="81"/>
            <rFont val="Tahoma"/>
            <family val="2"/>
          </rPr>
          <t>LED</t>
        </r>
        <r>
          <rPr>
            <b/>
            <u/>
            <sz val="9"/>
            <color indexed="81"/>
            <rFont val="Tahoma"/>
            <family val="2"/>
          </rPr>
          <t>)</t>
        </r>
        <r>
          <rPr>
            <sz val="9"/>
            <color indexed="81"/>
            <rFont val="Tahoma"/>
            <family val="2"/>
          </rPr>
          <t xml:space="preserve">
Resistor connected between the output voltage and the anode of optocoupler diode. This value should be less than the calculated R</t>
        </r>
        <r>
          <rPr>
            <vertAlign val="subscript"/>
            <sz val="9"/>
            <color indexed="81"/>
            <rFont val="Tahoma"/>
            <family val="2"/>
          </rPr>
          <t>LED_max</t>
        </r>
        <r>
          <rPr>
            <sz val="9"/>
            <color indexed="81"/>
            <rFont val="Tahoma"/>
            <family val="2"/>
          </rPr>
          <t xml:space="preserve"> value above.</t>
        </r>
      </text>
    </comment>
    <comment ref="H83" authorId="0" shapeId="0" xr:uid="{00000000-0006-0000-0000-000021000000}">
      <text>
        <r>
          <rPr>
            <b/>
            <u/>
            <sz val="9"/>
            <color indexed="81"/>
            <rFont val="Tahoma"/>
            <family val="2"/>
          </rPr>
          <t>Selected Loop Crossover Frequency</t>
        </r>
        <r>
          <rPr>
            <sz val="9"/>
            <color indexed="81"/>
            <rFont val="Tahoma"/>
            <family val="2"/>
          </rPr>
          <t xml:space="preserve">
Selected crossover frequency of the control loop. It is recommend to select this value to be less than the cell above.</t>
        </r>
      </text>
    </comment>
    <comment ref="H86" authorId="0" shapeId="0" xr:uid="{00000000-0006-0000-0000-000022000000}">
      <text>
        <r>
          <rPr>
            <b/>
            <u/>
            <sz val="9"/>
            <color indexed="81"/>
            <rFont val="Tahoma"/>
            <family val="2"/>
          </rPr>
          <t>Compensation Resistor Selection (R</t>
        </r>
        <r>
          <rPr>
            <b/>
            <u/>
            <vertAlign val="subscript"/>
            <sz val="9"/>
            <color indexed="81"/>
            <rFont val="Tahoma"/>
            <family val="2"/>
          </rPr>
          <t>COMP</t>
        </r>
        <r>
          <rPr>
            <b/>
            <u/>
            <sz val="9"/>
            <color indexed="81"/>
            <rFont val="Tahoma"/>
            <family val="2"/>
          </rPr>
          <t>)</t>
        </r>
        <r>
          <rPr>
            <b/>
            <sz val="9"/>
            <color indexed="81"/>
            <rFont val="Tahoma"/>
            <family val="2"/>
          </rPr>
          <t xml:space="preserve">
</t>
        </r>
        <r>
          <rPr>
            <sz val="9"/>
            <color indexed="81"/>
            <rFont val="Tahoma"/>
            <family val="2"/>
          </rPr>
          <t>Directly affects the location for the compensation zero and the mid-band gain.
Increasing this value will increase the cross over frequency but decrease the phase margin.</t>
        </r>
      </text>
    </comment>
    <comment ref="H87" authorId="0" shapeId="0" xr:uid="{00000000-0006-0000-0000-000023000000}">
      <text>
        <r>
          <rPr>
            <b/>
            <u/>
            <sz val="9"/>
            <color indexed="81"/>
            <rFont val="Tahoma"/>
            <family val="2"/>
          </rPr>
          <t>Compensation Resistor Selection (C</t>
        </r>
        <r>
          <rPr>
            <b/>
            <u/>
            <vertAlign val="subscript"/>
            <sz val="9"/>
            <color indexed="81"/>
            <rFont val="Tahoma"/>
            <family val="2"/>
          </rPr>
          <t>COMP</t>
        </r>
        <r>
          <rPr>
            <b/>
            <u/>
            <sz val="9"/>
            <color indexed="81"/>
            <rFont val="Tahoma"/>
            <family val="2"/>
          </rPr>
          <t>)</t>
        </r>
        <r>
          <rPr>
            <b/>
            <sz val="9"/>
            <color indexed="81"/>
            <rFont val="Tahoma"/>
            <family val="2"/>
          </rPr>
          <t xml:space="preserve">
</t>
        </r>
        <r>
          <rPr>
            <sz val="9"/>
            <color indexed="81"/>
            <rFont val="Tahoma"/>
            <family val="2"/>
          </rPr>
          <t>Directly affects the location for the compensation zero. Increasing this value will decrease compensation zero location and increase the phase margin</t>
        </r>
        <r>
          <rPr>
            <b/>
            <sz val="9"/>
            <color indexed="81"/>
            <rFont val="Tahoma"/>
            <family val="2"/>
          </rPr>
          <t>.</t>
        </r>
        <r>
          <rPr>
            <sz val="9"/>
            <color indexed="81"/>
            <rFont val="Tahoma"/>
            <family val="2"/>
          </rPr>
          <t xml:space="preserve">
</t>
        </r>
      </text>
    </comment>
    <comment ref="H88" authorId="0" shapeId="0" xr:uid="{00000000-0006-0000-0000-000024000000}">
      <text>
        <r>
          <rPr>
            <b/>
            <u/>
            <sz val="9"/>
            <color indexed="81"/>
            <rFont val="Tahoma"/>
            <family val="2"/>
          </rPr>
          <t>Compensation Capacitor Selection (C</t>
        </r>
        <r>
          <rPr>
            <b/>
            <u/>
            <vertAlign val="subscript"/>
            <sz val="9"/>
            <color indexed="81"/>
            <rFont val="Tahoma"/>
            <family val="2"/>
          </rPr>
          <t>HF</t>
        </r>
        <r>
          <rPr>
            <b/>
            <u/>
            <sz val="9"/>
            <color indexed="81"/>
            <rFont val="Tahoma"/>
            <family val="2"/>
          </rPr>
          <t xml:space="preserve">)
</t>
        </r>
        <r>
          <rPr>
            <sz val="9"/>
            <color indexed="81"/>
            <rFont val="Tahoma"/>
            <family val="2"/>
          </rPr>
          <t xml:space="preserve">
Directly affects the location for the compensation pole. Increasing this value will decrease compensation zero frequency.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BMC-BCS</author>
  </authors>
  <commentList>
    <comment ref="K112" authorId="0" shapeId="0" xr:uid="{00000000-0006-0000-0100-000001000000}">
      <text>
        <r>
          <rPr>
            <b/>
            <sz val="9"/>
            <color indexed="81"/>
            <rFont val="Tahoma"/>
            <family val="2"/>
          </rPr>
          <t xml:space="preserve">Slope Compensation flag. If this flag is tripped there is not enough slope compensation. Double check the calculated values
</t>
        </r>
        <r>
          <rPr>
            <sz val="9"/>
            <color indexed="81"/>
            <rFont val="Tahoma"/>
            <family val="2"/>
          </rPr>
          <t xml:space="preserve">
</t>
        </r>
      </text>
    </comment>
    <comment ref="K113" authorId="0" shapeId="0" xr:uid="{00000000-0006-0000-0100-000002000000}">
      <text>
        <r>
          <rPr>
            <sz val="9"/>
            <color indexed="81"/>
            <rFont val="Tahoma"/>
            <family val="2"/>
          </rPr>
          <t xml:space="preserve">Tripped if the current sense resistor results in a lower current limit
</t>
        </r>
      </text>
    </comment>
    <comment ref="B129" authorId="0" shapeId="0" xr:uid="{00000000-0006-0000-0100-000003000000}">
      <text>
        <r>
          <rPr>
            <b/>
            <sz val="9"/>
            <color indexed="81"/>
            <rFont val="Tahoma"/>
            <family val="2"/>
          </rPr>
          <t>BMC-BCS:</t>
        </r>
        <r>
          <rPr>
            <sz val="9"/>
            <color indexed="81"/>
            <rFont val="Tahoma"/>
            <family val="2"/>
          </rPr>
          <t xml:space="preserve">
Needs to be updated for flyback configuration
</t>
        </r>
      </text>
    </comment>
    <comment ref="B137" authorId="0" shapeId="0" xr:uid="{00000000-0006-0000-0100-000004000000}">
      <text>
        <r>
          <rPr>
            <b/>
            <sz val="9"/>
            <color indexed="81"/>
            <rFont val="Tahoma"/>
            <family val="2"/>
          </rPr>
          <t>BMC-BCS:</t>
        </r>
        <r>
          <rPr>
            <sz val="9"/>
            <color indexed="81"/>
            <rFont val="Tahoma"/>
            <family val="2"/>
          </rPr>
          <t xml:space="preserve">
Needs to be updated for flyback configuration
</t>
        </r>
      </text>
    </comment>
    <comment ref="B145" authorId="0" shapeId="0" xr:uid="{00000000-0006-0000-0100-000005000000}">
      <text>
        <r>
          <rPr>
            <b/>
            <sz val="9"/>
            <color indexed="81"/>
            <rFont val="Tahoma"/>
            <family val="2"/>
          </rPr>
          <t>BMC-BCS:</t>
        </r>
        <r>
          <rPr>
            <sz val="9"/>
            <color indexed="81"/>
            <rFont val="Tahoma"/>
            <family val="2"/>
          </rPr>
          <t xml:space="preserve">
Needs to be updated for flyback configuration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BMC-BCS</author>
  </authors>
  <commentList>
    <comment ref="N13" authorId="0" shapeId="0" xr:uid="{00000000-0006-0000-0200-000001000000}">
      <text>
        <r>
          <rPr>
            <b/>
            <sz val="9"/>
            <color indexed="81"/>
            <rFont val="Tahoma"/>
            <family val="2"/>
          </rPr>
          <t>BMC-BCS:</t>
        </r>
        <r>
          <rPr>
            <sz val="9"/>
            <color indexed="81"/>
            <rFont val="Tahoma"/>
            <family val="2"/>
          </rPr>
          <t xml:space="preserve">
Ignore this for the design, Pole is based on optocoupler capacitance</t>
        </r>
      </text>
    </comment>
    <comment ref="O18" authorId="0" shapeId="0" xr:uid="{00000000-0006-0000-0200-000002000000}">
      <text>
        <r>
          <rPr>
            <b/>
            <sz val="9"/>
            <color indexed="81"/>
            <rFont val="Tahoma"/>
            <family val="2"/>
          </rPr>
          <t>BMC-BCS:</t>
        </r>
        <r>
          <rPr>
            <sz val="9"/>
            <color indexed="81"/>
            <rFont val="Tahoma"/>
            <family val="2"/>
          </rPr>
          <t xml:space="preserve">
Need to make this log not linear at some point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BMC-BCS</author>
  </authors>
  <commentList>
    <comment ref="O18" authorId="0" shapeId="0" xr:uid="{00000000-0006-0000-0300-000001000000}">
      <text>
        <r>
          <rPr>
            <b/>
            <sz val="9"/>
            <color indexed="81"/>
            <rFont val="Tahoma"/>
            <family val="2"/>
          </rPr>
          <t>BMC-BCS:</t>
        </r>
        <r>
          <rPr>
            <sz val="9"/>
            <color indexed="81"/>
            <rFont val="Tahoma"/>
            <family val="2"/>
          </rPr>
          <t xml:space="preserve">
Need to make this log not linear at some point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BMC-BCS</author>
  </authors>
  <commentList>
    <comment ref="AF5" authorId="0" shapeId="0" xr:uid="{00000000-0006-0000-0400-000001000000}">
      <text>
        <r>
          <rPr>
            <b/>
            <sz val="9"/>
            <color indexed="81"/>
            <rFont val="Tahoma"/>
            <family val="2"/>
          </rPr>
          <t>BMC-BCS:</t>
        </r>
        <r>
          <rPr>
            <sz val="9"/>
            <color indexed="81"/>
            <rFont val="Tahoma"/>
            <family val="2"/>
          </rPr>
          <t xml:space="preserve">
To simplify the design just assme a fixed loss for the snubber and leakage
</t>
        </r>
      </text>
    </comment>
    <comment ref="U6" authorId="0" shapeId="0" xr:uid="{00000000-0006-0000-0400-000002000000}">
      <text>
        <r>
          <rPr>
            <b/>
            <sz val="9"/>
            <color indexed="81"/>
            <rFont val="Tahoma"/>
            <family val="2"/>
          </rPr>
          <t xml:space="preserve">1 = DCM operation
2 = CCM operation
</t>
        </r>
      </text>
    </comment>
    <comment ref="V6" authorId="0" shapeId="0" xr:uid="{00000000-0006-0000-0400-000003000000}">
      <text>
        <r>
          <rPr>
            <b/>
            <sz val="9"/>
            <color indexed="81"/>
            <rFont val="Tahoma"/>
            <family val="2"/>
          </rPr>
          <t>BMC-BCS:</t>
        </r>
        <r>
          <rPr>
            <sz val="9"/>
            <color indexed="81"/>
            <rFont val="Tahoma"/>
            <family val="2"/>
          </rPr>
          <t xml:space="preserve">
To make the calculations simple the diode is assumed to be idela in CCM operation
</t>
        </r>
      </text>
    </comment>
    <comment ref="AT6" authorId="0" shapeId="0" xr:uid="{00000000-0006-0000-0400-000004000000}">
      <text>
        <r>
          <rPr>
            <b/>
            <sz val="9"/>
            <color indexed="81"/>
            <rFont val="Tahoma"/>
            <family val="2"/>
          </rPr>
          <t>BMC-BCS:</t>
        </r>
        <r>
          <rPr>
            <sz val="9"/>
            <color indexed="81"/>
            <rFont val="Tahoma"/>
            <family val="2"/>
          </rPr>
          <t xml:space="preserve">
Should calculate later
</t>
        </r>
      </text>
    </comment>
    <comment ref="BC6" authorId="0" shapeId="0" xr:uid="{00000000-0006-0000-0400-000005000000}">
      <text>
        <r>
          <rPr>
            <sz val="9"/>
            <color indexed="81"/>
            <rFont val="Tahoma"/>
            <family val="2"/>
          </rPr>
          <t xml:space="preserve">Just use the average current for the approximations
</t>
        </r>
      </text>
    </comment>
    <comment ref="BN6" authorId="0" shapeId="0" xr:uid="{00000000-0006-0000-0400-000006000000}">
      <text>
        <r>
          <rPr>
            <sz val="9"/>
            <color indexed="81"/>
            <rFont val="Tahoma"/>
            <family val="2"/>
          </rPr>
          <t xml:space="preserve">Just use the average current for the approximations
</t>
        </r>
      </text>
    </comment>
  </commentList>
</comments>
</file>

<file path=xl/sharedStrings.xml><?xml version="1.0" encoding="utf-8"?>
<sst xmlns="http://schemas.openxmlformats.org/spreadsheetml/2006/main" count="1394" uniqueCount="711">
  <si>
    <t>TERMS OF USE</t>
  </si>
  <si>
    <t>ABOUT</t>
  </si>
  <si>
    <t>=Input Box</t>
  </si>
  <si>
    <t>Rev 1</t>
  </si>
  <si>
    <t>Step 1: Design Specifications</t>
  </si>
  <si>
    <r>
      <t>Minimum Input Supply Voltage , V</t>
    </r>
    <r>
      <rPr>
        <vertAlign val="subscript"/>
        <sz val="10"/>
        <color theme="1"/>
        <rFont val="Calibri"/>
        <family val="2"/>
        <scheme val="minor"/>
      </rPr>
      <t>SUPPLY(min)</t>
    </r>
    <r>
      <rPr>
        <sz val="10"/>
        <color theme="1"/>
        <rFont val="Calibri"/>
        <family val="2"/>
        <scheme val="minor"/>
      </rPr>
      <t xml:space="preserve"> </t>
    </r>
  </si>
  <si>
    <r>
      <t>Typical Input Supply Voltage, V</t>
    </r>
    <r>
      <rPr>
        <vertAlign val="subscript"/>
        <sz val="10"/>
        <color theme="1"/>
        <rFont val="Calibri"/>
        <family val="2"/>
        <scheme val="minor"/>
      </rPr>
      <t>SUPPLY(typ)</t>
    </r>
    <r>
      <rPr>
        <sz val="10"/>
        <color theme="1"/>
        <rFont val="Calibri"/>
        <family val="2"/>
        <scheme val="minor"/>
      </rPr>
      <t xml:space="preserve"> </t>
    </r>
  </si>
  <si>
    <r>
      <t>Maximum Input Supply Voltage , V</t>
    </r>
    <r>
      <rPr>
        <vertAlign val="subscript"/>
        <sz val="10"/>
        <color theme="1"/>
        <rFont val="Calibri"/>
        <family val="2"/>
        <scheme val="minor"/>
      </rPr>
      <t>SUPPLY(max)</t>
    </r>
    <r>
      <rPr>
        <sz val="10"/>
        <color theme="1"/>
        <rFont val="Calibri"/>
        <family val="2"/>
        <scheme val="minor"/>
      </rPr>
      <t xml:space="preserve"> </t>
    </r>
  </si>
  <si>
    <r>
      <t>Output Target Voltage, V</t>
    </r>
    <r>
      <rPr>
        <vertAlign val="subscript"/>
        <sz val="10"/>
        <color theme="1"/>
        <rFont val="Calibri"/>
        <family val="2"/>
        <scheme val="minor"/>
      </rPr>
      <t>LOAD</t>
    </r>
    <r>
      <rPr>
        <sz val="10"/>
        <color theme="1"/>
        <rFont val="Calibri"/>
        <family val="2"/>
        <scheme val="minor"/>
      </rPr>
      <t xml:space="preserve"> </t>
    </r>
  </si>
  <si>
    <r>
      <t>Maximum Output Current , I</t>
    </r>
    <r>
      <rPr>
        <vertAlign val="subscript"/>
        <sz val="10"/>
        <color theme="1"/>
        <rFont val="Calibri"/>
        <family val="2"/>
        <scheme val="minor"/>
      </rPr>
      <t>LOAD</t>
    </r>
    <r>
      <rPr>
        <sz val="10"/>
        <color theme="1"/>
        <rFont val="Calibri"/>
        <family val="2"/>
        <scheme val="minor"/>
      </rPr>
      <t xml:space="preserve"> </t>
    </r>
  </si>
  <si>
    <r>
      <t>Free Running Switching Frequency, F</t>
    </r>
    <r>
      <rPr>
        <vertAlign val="subscript"/>
        <sz val="10"/>
        <color theme="1"/>
        <rFont val="Calibri"/>
        <family val="2"/>
        <scheme val="minor"/>
      </rPr>
      <t>SW</t>
    </r>
  </si>
  <si>
    <t>V</t>
  </si>
  <si>
    <t>A</t>
  </si>
  <si>
    <t>kHz</t>
  </si>
  <si>
    <t>%</t>
  </si>
  <si>
    <r>
      <t>Output Power, P</t>
    </r>
    <r>
      <rPr>
        <vertAlign val="subscript"/>
        <sz val="10"/>
        <color theme="1"/>
        <rFont val="Calibri"/>
        <family val="2"/>
        <scheme val="minor"/>
      </rPr>
      <t>OUT</t>
    </r>
    <r>
      <rPr>
        <sz val="10"/>
        <color theme="1"/>
        <rFont val="Calibri"/>
        <family val="2"/>
        <scheme val="minor"/>
      </rPr>
      <t xml:space="preserve"> </t>
    </r>
  </si>
  <si>
    <t>EXCEL Variables Names/Calculations</t>
  </si>
  <si>
    <t>Input from user =</t>
  </si>
  <si>
    <t>Output =</t>
  </si>
  <si>
    <t>Constant</t>
  </si>
  <si>
    <t>Variable Name</t>
  </si>
  <si>
    <t>Value</t>
  </si>
  <si>
    <t>STD Units</t>
  </si>
  <si>
    <t>Notes</t>
  </si>
  <si>
    <t>Iteration</t>
  </si>
  <si>
    <t>Step 1: Operational Specs</t>
  </si>
  <si>
    <t>VIN_min</t>
  </si>
  <si>
    <t>VIN_nom</t>
  </si>
  <si>
    <t>VIN_max</t>
  </si>
  <si>
    <t>Minimum input voltage</t>
  </si>
  <si>
    <t>Nominal input voltage</t>
  </si>
  <si>
    <t>Maximum input voltage</t>
  </si>
  <si>
    <t>VOUT</t>
  </si>
  <si>
    <t>IOUT</t>
  </si>
  <si>
    <t>Maximum Output current</t>
  </si>
  <si>
    <t>Ω</t>
  </si>
  <si>
    <t>W</t>
  </si>
  <si>
    <t>EFF_est</t>
  </si>
  <si>
    <t>Total output power</t>
  </si>
  <si>
    <t>Minimum load resistance</t>
  </si>
  <si>
    <t>D_2p2_min</t>
  </si>
  <si>
    <t>D_2p2_nom</t>
  </si>
  <si>
    <t>D_2p2_max</t>
  </si>
  <si>
    <t>Minimum max duty cycle at 2p2MHZ operation</t>
  </si>
  <si>
    <t>t_off_max</t>
  </si>
  <si>
    <t>T_off_nom</t>
  </si>
  <si>
    <t>T_off_min</t>
  </si>
  <si>
    <t>s</t>
  </si>
  <si>
    <t>Minimum forced off time</t>
  </si>
  <si>
    <t>nominal forced off time</t>
  </si>
  <si>
    <t>Maximum forced off time</t>
  </si>
  <si>
    <t xml:space="preserve">IC Duty Cycle Limitation: </t>
  </si>
  <si>
    <t>D_limit_min</t>
  </si>
  <si>
    <t>D_limit_nom</t>
  </si>
  <si>
    <t>D_limit_max</t>
  </si>
  <si>
    <t>Nomminal max duty cycle at low frequency</t>
  </si>
  <si>
    <t>Spec conditions</t>
  </si>
  <si>
    <t>Min max duty cycle at low frequency</t>
  </si>
  <si>
    <t>Maximum max duty cycle at low frequency</t>
  </si>
  <si>
    <t>Nominal right now</t>
  </si>
  <si>
    <t>Fsw</t>
  </si>
  <si>
    <t>Hz</t>
  </si>
  <si>
    <t xml:space="preserve">Switching frequnecy </t>
  </si>
  <si>
    <t>Flag</t>
  </si>
  <si>
    <t>Forced off time limit? [2 True, 1 False]</t>
  </si>
  <si>
    <t>RT</t>
  </si>
  <si>
    <t>Oscillator Set resistor. Based on the datasheet equation</t>
  </si>
  <si>
    <r>
      <t>Free running Oscillator Set Resistor, R</t>
    </r>
    <r>
      <rPr>
        <vertAlign val="subscript"/>
        <sz val="10"/>
        <color theme="1"/>
        <rFont val="Calibri"/>
        <family val="2"/>
        <scheme val="minor"/>
      </rPr>
      <t>T</t>
    </r>
  </si>
  <si>
    <r>
      <t>k</t>
    </r>
    <r>
      <rPr>
        <sz val="11"/>
        <color theme="1"/>
        <rFont val="Calibri"/>
        <family val="2"/>
      </rPr>
      <t>Ω</t>
    </r>
  </si>
  <si>
    <t>Dc_Limit</t>
  </si>
  <si>
    <t>Max duty cycle of LM5155 at Fsw</t>
  </si>
  <si>
    <t>EXCEL Constants / Values / IC Limits</t>
  </si>
  <si>
    <t>ton_min</t>
  </si>
  <si>
    <t>Typical Ton minimum value</t>
  </si>
  <si>
    <t>Lcalc_VIN_min</t>
  </si>
  <si>
    <t>H</t>
  </si>
  <si>
    <t>ILrip</t>
  </si>
  <si>
    <t>Lm</t>
  </si>
  <si>
    <t>Selected filter inductor</t>
  </si>
  <si>
    <t>uH</t>
  </si>
  <si>
    <t>Rdcr</t>
  </si>
  <si>
    <r>
      <t>m</t>
    </r>
    <r>
      <rPr>
        <sz val="11"/>
        <color theme="1"/>
        <rFont val="Calibri"/>
        <family val="2"/>
      </rPr>
      <t>Ω</t>
    </r>
  </si>
  <si>
    <t>.</t>
  </si>
  <si>
    <t>ILp_VINmin</t>
  </si>
  <si>
    <t>Peak inductor current at VIN min. Including estimated efficiency</t>
  </si>
  <si>
    <t>ILrip_VINmin</t>
  </si>
  <si>
    <t xml:space="preserve">Inductor ripple current at VIN min. </t>
  </si>
  <si>
    <t>ILrip_VINnom</t>
  </si>
  <si>
    <t>ILp_VINnom</t>
  </si>
  <si>
    <t>ILrip_VINmax</t>
  </si>
  <si>
    <t>ILp_VINmax</t>
  </si>
  <si>
    <t>Step 3: Current Sense Resistor</t>
  </si>
  <si>
    <t>Selected indutor ripple ratio. Will be changed later to a standard value just to keep things simple</t>
  </si>
  <si>
    <t xml:space="preserve">Inductor ripple current at VIN nom. </t>
  </si>
  <si>
    <t>Peak inductor current at VIN nom. Including estimated efficiency</t>
  </si>
  <si>
    <t xml:space="preserve">Inductor ripple current at VIN max. </t>
  </si>
  <si>
    <t>Peak inductor current at VIN max. Including estimated efficiency</t>
  </si>
  <si>
    <t>Step 3: Current Sense Resistor Selection</t>
  </si>
  <si>
    <t>Ipk_margin</t>
  </si>
  <si>
    <t>Peak current limit margin. 20% is a typical value</t>
  </si>
  <si>
    <t>Ipk_selected</t>
  </si>
  <si>
    <t>Selected peak current limit based on margin selection</t>
  </si>
  <si>
    <t>Filter inductor DCR</t>
  </si>
  <si>
    <t>Ltol</t>
  </si>
  <si>
    <t>Assumed inductor tolerance. Constant to help simplify the user experience</t>
  </si>
  <si>
    <t>Rcs_max</t>
  </si>
  <si>
    <t>Maximum Rcs based on internal slope compensation. Assuming slope ratio of 1/2</t>
  </si>
  <si>
    <t>Rcs_sl_ratio</t>
  </si>
  <si>
    <t>ratio of down slope to slope compensation. This can be updated to give more margin</t>
  </si>
  <si>
    <t>Isl</t>
  </si>
  <si>
    <t>Internal slope compensation ramp</t>
  </si>
  <si>
    <t>Rsl_int</t>
  </si>
  <si>
    <t>Internal Slope compensation resistor</t>
  </si>
  <si>
    <t>Rcs_wo_sl</t>
  </si>
  <si>
    <t>Current sense resistor without slope compensation</t>
  </si>
  <si>
    <t>Vcl</t>
  </si>
  <si>
    <t>Current Limit Value. See datsheet for Parameters</t>
  </si>
  <si>
    <t>Flag_ext_sl</t>
  </si>
  <si>
    <t>Rcs_w_sl</t>
  </si>
  <si>
    <t>Rcs_ext_sl_ratio</t>
  </si>
  <si>
    <t>External Slope compensation ratio. Constant</t>
  </si>
  <si>
    <t>R_sl_ext</t>
  </si>
  <si>
    <t>R_cs_calc</t>
  </si>
  <si>
    <t>R_sl_calc</t>
  </si>
  <si>
    <t>R_cs</t>
  </si>
  <si>
    <t>R_sl</t>
  </si>
  <si>
    <t>Current Sense Resistor calculated</t>
  </si>
  <si>
    <t>External slope compensation resistor</t>
  </si>
  <si>
    <t>Calculated external slope compensation resistor</t>
  </si>
  <si>
    <t>Calculated current sense resistor with slope compensation included</t>
  </si>
  <si>
    <r>
      <t>Recommended external slope compensation Resistor (R</t>
    </r>
    <r>
      <rPr>
        <vertAlign val="subscript"/>
        <sz val="11"/>
        <color theme="1"/>
        <rFont val="Calibri"/>
        <family val="2"/>
        <scheme val="minor"/>
      </rPr>
      <t>SL</t>
    </r>
    <r>
      <rPr>
        <sz val="11"/>
        <color theme="1"/>
        <rFont val="Calibri"/>
        <family val="2"/>
        <scheme val="minor"/>
      </rPr>
      <t>)</t>
    </r>
  </si>
  <si>
    <t>Selected current sense Resistor</t>
  </si>
  <si>
    <t>Selected external slope compensation</t>
  </si>
  <si>
    <r>
      <t>Selected external slope compensation Resistor (R</t>
    </r>
    <r>
      <rPr>
        <vertAlign val="subscript"/>
        <sz val="11"/>
        <color theme="1"/>
        <rFont val="Calibri"/>
        <family val="2"/>
        <scheme val="minor"/>
      </rPr>
      <t>SL</t>
    </r>
    <r>
      <rPr>
        <sz val="11"/>
        <color theme="1"/>
        <rFont val="Calibri"/>
        <family val="2"/>
        <scheme val="minor"/>
      </rPr>
      <t>)</t>
    </r>
  </si>
  <si>
    <t>Check to make sure that slope compensation is high enough at the minimum input voltage</t>
  </si>
  <si>
    <t>Slope Compensation</t>
  </si>
  <si>
    <t>sl_vin_min</t>
  </si>
  <si>
    <t>Actual inductor peak current limit</t>
  </si>
  <si>
    <t>IL_pk</t>
  </si>
  <si>
    <t>IL_pk_max</t>
  </si>
  <si>
    <t>Peak current limit at the minimum input voltage</t>
  </si>
  <si>
    <t>Peak inductor current limit for saturation rating.  VIN max due to the possibility of external slope comp</t>
  </si>
  <si>
    <t>sat_mar</t>
  </si>
  <si>
    <t>Margin for saturation current of the inductor</t>
  </si>
  <si>
    <t>V/V</t>
  </si>
  <si>
    <t>COMP voltage Limit checks</t>
  </si>
  <si>
    <t>Step 4: Output Capacitor Selection</t>
  </si>
  <si>
    <t>mV</t>
  </si>
  <si>
    <t>uF</t>
  </si>
  <si>
    <r>
      <t>Selected Output Capacitance (C</t>
    </r>
    <r>
      <rPr>
        <vertAlign val="subscript"/>
        <sz val="11"/>
        <color theme="1"/>
        <rFont val="Calibri"/>
        <family val="2"/>
        <scheme val="minor"/>
      </rPr>
      <t>OUT</t>
    </r>
    <r>
      <rPr>
        <sz val="11"/>
        <color theme="1"/>
        <rFont val="Calibri"/>
        <family val="2"/>
        <scheme val="minor"/>
      </rPr>
      <t>)</t>
    </r>
  </si>
  <si>
    <t>Desired output ripple</t>
  </si>
  <si>
    <t>F</t>
  </si>
  <si>
    <t>Calculate minimum capacitance based simply on the capacitive ripple</t>
  </si>
  <si>
    <t>IRMS_COUT</t>
  </si>
  <si>
    <t>RMS current of the output capacitor at VIN min IOUT max. RMS current rating should be larger than this.</t>
  </si>
  <si>
    <r>
      <t>Equivalent  COUT ESR (R</t>
    </r>
    <r>
      <rPr>
        <vertAlign val="subscript"/>
        <sz val="11"/>
        <color theme="1"/>
        <rFont val="Calibri"/>
        <family val="2"/>
        <scheme val="minor"/>
      </rPr>
      <t>ESR</t>
    </r>
    <r>
      <rPr>
        <sz val="11"/>
        <color theme="1"/>
        <rFont val="Calibri"/>
        <family val="2"/>
        <scheme val="minor"/>
      </rPr>
      <t>)</t>
    </r>
  </si>
  <si>
    <t>Selected Output Capacitance</t>
  </si>
  <si>
    <t>Selected output capacitance ESR</t>
  </si>
  <si>
    <r>
      <t>Selected Peak Current limit(IL</t>
    </r>
    <r>
      <rPr>
        <vertAlign val="subscript"/>
        <sz val="11"/>
        <color theme="1"/>
        <rFont val="Calibri"/>
        <family val="2"/>
        <scheme val="minor"/>
      </rPr>
      <t>PK_select</t>
    </r>
    <r>
      <rPr>
        <sz val="11"/>
        <color theme="1"/>
        <rFont val="Calibri"/>
        <family val="2"/>
        <scheme val="minor"/>
      </rPr>
      <t>)</t>
    </r>
  </si>
  <si>
    <t>Input Parameters</t>
  </si>
  <si>
    <t>Output Voltage</t>
  </si>
  <si>
    <t>Component Selection</t>
  </si>
  <si>
    <t>LM</t>
  </si>
  <si>
    <t>filter Inductor</t>
  </si>
  <si>
    <t>Current sense resi</t>
  </si>
  <si>
    <t>External Slope Compensation Resistor</t>
  </si>
  <si>
    <t>Interanl Slope Compesnation Resistor</t>
  </si>
  <si>
    <t>Interanl Slope Compesnation current</t>
  </si>
  <si>
    <t>RCOMP</t>
  </si>
  <si>
    <t>kΩ</t>
  </si>
  <si>
    <t>Feedback Resistor Selection</t>
  </si>
  <si>
    <t>pF</t>
  </si>
  <si>
    <t>nF</t>
  </si>
  <si>
    <t>CCOMP</t>
  </si>
  <si>
    <t>CHF</t>
  </si>
  <si>
    <t>Type II compensation Resistort</t>
  </si>
  <si>
    <t>Type II compensation Capacitor</t>
  </si>
  <si>
    <t>Type II high frequency capacitor</t>
  </si>
  <si>
    <t>RFBT</t>
  </si>
  <si>
    <t>RFBB</t>
  </si>
  <si>
    <t>Compensation Components</t>
  </si>
  <si>
    <t>Top feedback resistor</t>
  </si>
  <si>
    <t>Bottom feedback resistor</t>
  </si>
  <si>
    <t>Calculations</t>
  </si>
  <si>
    <t>Frequency</t>
  </si>
  <si>
    <t>Selected VIN</t>
  </si>
  <si>
    <t>VIN_var</t>
  </si>
  <si>
    <t>VIN_VAR</t>
  </si>
  <si>
    <t>Variable input voltage</t>
  </si>
  <si>
    <t>ADC</t>
  </si>
  <si>
    <t>Gcomp</t>
  </si>
  <si>
    <t>Scale down factor of the interal comp voltage divider</t>
  </si>
  <si>
    <t>Intenal step down of the divider</t>
  </si>
  <si>
    <t>DC gain of the plant function</t>
  </si>
  <si>
    <t>Acs</t>
  </si>
  <si>
    <t>Current sense Amplifier Gain (1 for this device)</t>
  </si>
  <si>
    <t>Low Frequency Pole</t>
  </si>
  <si>
    <t>RHPz zero of boost converter</t>
  </si>
  <si>
    <t>ESR zero cause by output capacitance</t>
  </si>
  <si>
    <t>wsl</t>
  </si>
  <si>
    <t>Q</t>
  </si>
  <si>
    <t>Se</t>
  </si>
  <si>
    <t xml:space="preserve">Slope compensation </t>
  </si>
  <si>
    <t>Down slope at the selected input voltage</t>
  </si>
  <si>
    <t>Sn</t>
  </si>
  <si>
    <t>Rad</t>
  </si>
  <si>
    <t>wp_lf</t>
  </si>
  <si>
    <t>wz_rhp</t>
  </si>
  <si>
    <t>wz_esr</t>
  </si>
  <si>
    <t>Gain</t>
  </si>
  <si>
    <t>Phase</t>
  </si>
  <si>
    <t>Sampling</t>
  </si>
  <si>
    <t>Complex</t>
  </si>
  <si>
    <t>Total</t>
  </si>
  <si>
    <t>Plant Transfer Function</t>
  </si>
  <si>
    <t>Error Amplifier</t>
  </si>
  <si>
    <t>Plant Parameters</t>
  </si>
  <si>
    <t>wz_ea</t>
  </si>
  <si>
    <t>Adc_ea</t>
  </si>
  <si>
    <t>gm_ea</t>
  </si>
  <si>
    <t>Error Amplifier Gain</t>
  </si>
  <si>
    <t>A/V</t>
  </si>
  <si>
    <t>wp0_ea</t>
  </si>
  <si>
    <t>wp1_ea</t>
  </si>
  <si>
    <t>ADC_ea</t>
  </si>
  <si>
    <t xml:space="preserve">Gain </t>
  </si>
  <si>
    <t>Open Loop Response</t>
  </si>
  <si>
    <t>COMPLEX</t>
  </si>
  <si>
    <t>dB</t>
  </si>
  <si>
    <t>Selected by user. Feedback resistor should be &gt;100uA to help reject noise</t>
  </si>
  <si>
    <t>Error Amplifier Zero</t>
  </si>
  <si>
    <t>Error Amplifier pole at the origin</t>
  </si>
  <si>
    <t>Error Amplifier pole at high frequencies</t>
  </si>
  <si>
    <t>RFBB_CALC</t>
  </si>
  <si>
    <t>Vref</t>
  </si>
  <si>
    <t>Reference voltage</t>
  </si>
  <si>
    <t>Estimated bottom feedback resistor</t>
  </si>
  <si>
    <t>Selected botton feedback resistor</t>
  </si>
  <si>
    <t>Ifb</t>
  </si>
  <si>
    <t>Current Drawn from the feedback resistors (Typically higher than 100uA to help w/ noise)</t>
  </si>
  <si>
    <r>
      <t xml:space="preserve">Plant low frequency pole. </t>
    </r>
    <r>
      <rPr>
        <b/>
        <sz val="11"/>
        <color theme="1"/>
        <rFont val="Calibri"/>
        <family val="2"/>
        <scheme val="minor"/>
      </rPr>
      <t>IN Hz!!!</t>
    </r>
  </si>
  <si>
    <r>
      <t xml:space="preserve">Plant RHP Zero, </t>
    </r>
    <r>
      <rPr>
        <b/>
        <sz val="11"/>
        <color theme="1"/>
        <rFont val="Calibri"/>
        <family val="2"/>
        <scheme val="minor"/>
      </rPr>
      <t>(IN Hz)</t>
    </r>
  </si>
  <si>
    <r>
      <t xml:space="preserve">Plant capacitor ESR zero </t>
    </r>
    <r>
      <rPr>
        <b/>
        <sz val="11"/>
        <color theme="1"/>
        <rFont val="Calibri"/>
        <family val="2"/>
        <scheme val="minor"/>
      </rPr>
      <t>(In Hz)</t>
    </r>
  </si>
  <si>
    <t>Feedback resistor selection</t>
  </si>
  <si>
    <t>Crossover Frequency Selection</t>
  </si>
  <si>
    <t>Fcross_est</t>
  </si>
  <si>
    <r>
      <t>Calculated bottom feedback resistor (R</t>
    </r>
    <r>
      <rPr>
        <vertAlign val="subscript"/>
        <sz val="11"/>
        <color theme="1"/>
        <rFont val="Calibri"/>
        <family val="2"/>
        <scheme val="minor"/>
      </rPr>
      <t>FBB_cala</t>
    </r>
    <r>
      <rPr>
        <sz val="11"/>
        <color theme="1"/>
        <rFont val="Calibri"/>
        <family val="2"/>
        <scheme val="minor"/>
      </rPr>
      <t>)</t>
    </r>
  </si>
  <si>
    <t>fcross</t>
  </si>
  <si>
    <t>Desired Crossover frequency</t>
  </si>
  <si>
    <t>1/10 the swictching frequency</t>
  </si>
  <si>
    <t>Conservative. Set Fcross to be 1/5th the RHP zero frequency or 1/10th SW: whichever is lower</t>
  </si>
  <si>
    <t>Select the lower crossover frequency</t>
  </si>
  <si>
    <t>Gplant_fc</t>
  </si>
  <si>
    <t>Gain of the plant at the desired crossover frequency</t>
  </si>
  <si>
    <t>Fcross</t>
  </si>
  <si>
    <t>wz_RHP</t>
  </si>
  <si>
    <t>Gplant_fc_dB</t>
  </si>
  <si>
    <t>Plant gain at crossover frequency (dB)</t>
  </si>
  <si>
    <t>Gea_mid_calc</t>
  </si>
  <si>
    <t>Error Amplifier Mid-band gain to set cross over frequency correctly</t>
  </si>
  <si>
    <t>Rcomp_Calc</t>
  </si>
  <si>
    <t>Calculate on based on the desired Mid-band gain needed to set the crossover frequency</t>
  </si>
  <si>
    <t>fz_ea_est</t>
  </si>
  <si>
    <t>Set the fz_ea 1/10th the cross over frequency (Common approach)</t>
  </si>
  <si>
    <t>Set the fz_ea geometerically inbetween crossover and the wp_lf</t>
  </si>
  <si>
    <t>Fz_ea_1</t>
  </si>
  <si>
    <t>Fz_ea_2</t>
  </si>
  <si>
    <t>CCOMP_calc</t>
  </si>
  <si>
    <t>CHF_Calc</t>
  </si>
  <si>
    <t>fp_ea_est</t>
  </si>
  <si>
    <r>
      <t>Select a top feedback resistor(R</t>
    </r>
    <r>
      <rPr>
        <vertAlign val="subscript"/>
        <sz val="11"/>
        <color theme="1"/>
        <rFont val="Calibri"/>
        <family val="2"/>
        <scheme val="minor"/>
      </rPr>
      <t>FBT</t>
    </r>
    <r>
      <rPr>
        <sz val="11"/>
        <color theme="1"/>
        <rFont val="Calibri"/>
        <family val="2"/>
        <scheme val="minor"/>
      </rPr>
      <t>)</t>
    </r>
  </si>
  <si>
    <r>
      <t>Select a bottomresistor based on calculated balue(R</t>
    </r>
    <r>
      <rPr>
        <vertAlign val="subscript"/>
        <sz val="11"/>
        <color theme="1"/>
        <rFont val="Calibri"/>
        <family val="2"/>
        <scheme val="minor"/>
      </rPr>
      <t>FBB</t>
    </r>
    <r>
      <rPr>
        <sz val="11"/>
        <color theme="1"/>
        <rFont val="Calibri"/>
        <family val="2"/>
        <scheme val="minor"/>
      </rPr>
      <t>)</t>
    </r>
  </si>
  <si>
    <t>Step 5: Soft-Start Capacitor Selection</t>
  </si>
  <si>
    <t>Step 6: UVLO Resistor Divider Selection</t>
  </si>
  <si>
    <t>Efficiency / Power Loss Analyzer</t>
  </si>
  <si>
    <r>
      <t>R</t>
    </r>
    <r>
      <rPr>
        <vertAlign val="subscript"/>
        <sz val="11"/>
        <color theme="1"/>
        <rFont val="Calibri"/>
        <family val="2"/>
        <scheme val="minor"/>
      </rPr>
      <t>COMP</t>
    </r>
  </si>
  <si>
    <t>Calculated</t>
  </si>
  <si>
    <t>Selected</t>
  </si>
  <si>
    <t>Steps</t>
  </si>
  <si>
    <t>Step size</t>
  </si>
  <si>
    <t>VIN</t>
  </si>
  <si>
    <t>DCM/CCM</t>
  </si>
  <si>
    <t>DC</t>
  </si>
  <si>
    <t>IIN</t>
  </si>
  <si>
    <t>Icrms_min</t>
  </si>
  <si>
    <t>Minimum required RMS current rating for the output capacitor bank</t>
  </si>
  <si>
    <t>Soft-Start</t>
  </si>
  <si>
    <t>Iss</t>
  </si>
  <si>
    <t>Soft-start capacitor charge current</t>
  </si>
  <si>
    <t>Soft-Start Charge current</t>
  </si>
  <si>
    <t>Css_min</t>
  </si>
  <si>
    <t>Suggested minimum SS capacitor to minize the over shoot.</t>
  </si>
  <si>
    <t>tss</t>
  </si>
  <si>
    <t>Desired Soft-Start Capacitor</t>
  </si>
  <si>
    <r>
      <t>Suggested minimum soft-start capacitor (C</t>
    </r>
    <r>
      <rPr>
        <vertAlign val="subscript"/>
        <sz val="11"/>
        <color theme="1"/>
        <rFont val="Calibri"/>
        <family val="2"/>
        <scheme val="minor"/>
      </rPr>
      <t>SS_MIN</t>
    </r>
    <r>
      <rPr>
        <sz val="11"/>
        <color theme="1"/>
        <rFont val="Calibri"/>
        <family val="2"/>
        <scheme val="minor"/>
      </rPr>
      <t>)</t>
    </r>
  </si>
  <si>
    <t>ms</t>
  </si>
  <si>
    <t>Css_calc</t>
  </si>
  <si>
    <t>Calcualted Soft-start capacitor</t>
  </si>
  <si>
    <r>
      <t>Calculated soft-start capacitor (C</t>
    </r>
    <r>
      <rPr>
        <vertAlign val="subscript"/>
        <sz val="11"/>
        <color theme="1"/>
        <rFont val="Calibri"/>
        <family val="2"/>
        <scheme val="minor"/>
      </rPr>
      <t>SS</t>
    </r>
    <r>
      <rPr>
        <sz val="11"/>
        <color theme="1"/>
        <rFont val="Calibri"/>
        <family val="2"/>
        <scheme val="minor"/>
      </rPr>
      <t>)</t>
    </r>
  </si>
  <si>
    <r>
      <t>Desied soft-start time at minimum input voltage (T</t>
    </r>
    <r>
      <rPr>
        <vertAlign val="subscript"/>
        <sz val="11"/>
        <color theme="1"/>
        <rFont val="Calibri"/>
        <family val="2"/>
        <scheme val="minor"/>
      </rPr>
      <t>SS</t>
    </r>
    <r>
      <rPr>
        <sz val="11"/>
        <color theme="1"/>
        <rFont val="Calibri"/>
        <family val="2"/>
        <scheme val="minor"/>
      </rPr>
      <t>)</t>
    </r>
  </si>
  <si>
    <r>
      <t>Desired voltage OFF (V</t>
    </r>
    <r>
      <rPr>
        <vertAlign val="subscript"/>
        <sz val="11"/>
        <color theme="1"/>
        <rFont val="Calibri"/>
        <family val="2"/>
        <scheme val="minor"/>
      </rPr>
      <t>UVLO_OFF</t>
    </r>
    <r>
      <rPr>
        <sz val="11"/>
        <color theme="1"/>
        <rFont val="Calibri"/>
        <family val="2"/>
        <scheme val="minor"/>
      </rPr>
      <t>)</t>
    </r>
  </si>
  <si>
    <r>
      <t>Desired voltage On (V</t>
    </r>
    <r>
      <rPr>
        <vertAlign val="subscript"/>
        <sz val="11"/>
        <color theme="1"/>
        <rFont val="Calibri"/>
        <family val="2"/>
        <scheme val="minor"/>
      </rPr>
      <t>UVLO_ON</t>
    </r>
    <r>
      <rPr>
        <sz val="11"/>
        <color theme="1"/>
        <rFont val="Calibri"/>
        <family val="2"/>
        <scheme val="minor"/>
      </rPr>
      <t>)</t>
    </r>
  </si>
  <si>
    <t>Step 6: UVLO Resistor Selection</t>
  </si>
  <si>
    <t>Step 5: Soft-start Capacitor selection</t>
  </si>
  <si>
    <t>Vuvlo_on</t>
  </si>
  <si>
    <t>Vuvlo_off</t>
  </si>
  <si>
    <t>Desired turn on voltage</t>
  </si>
  <si>
    <t>Desired turn off voltage</t>
  </si>
  <si>
    <t>UVLO Thresholds</t>
  </si>
  <si>
    <t>UV_rise</t>
  </si>
  <si>
    <t>UV_fall</t>
  </si>
  <si>
    <t>Falling threshold (See datasheet for more details)</t>
  </si>
  <si>
    <t>Rising Threshold (See datasheet for more details)</t>
  </si>
  <si>
    <t>Rising UV threshold</t>
  </si>
  <si>
    <t>Falling  UV threshold</t>
  </si>
  <si>
    <t>UV_I_hyst</t>
  </si>
  <si>
    <t>UVLO current hysteresis</t>
  </si>
  <si>
    <t>UVLO circuit current hysteresis</t>
  </si>
  <si>
    <t>Ruvlo_top_calc</t>
  </si>
  <si>
    <t>Ruvlo_bottom_calc</t>
  </si>
  <si>
    <t>Vuvlo_on_act</t>
  </si>
  <si>
    <t>Vuvlo_off_act</t>
  </si>
  <si>
    <t>Actual turn on voltage</t>
  </si>
  <si>
    <t>Actual turn off voltage</t>
  </si>
  <si>
    <t>Step  7: Loop Compensation</t>
  </si>
  <si>
    <t>Operation Variables</t>
  </si>
  <si>
    <t>Duty Cycle</t>
  </si>
  <si>
    <t>dIL</t>
  </si>
  <si>
    <r>
      <t>IL</t>
    </r>
    <r>
      <rPr>
        <vertAlign val="subscript"/>
        <sz val="11"/>
        <color theme="1"/>
        <rFont val="Calibri"/>
        <family val="2"/>
        <scheme val="minor"/>
      </rPr>
      <t>RMS</t>
    </r>
  </si>
  <si>
    <r>
      <t>IL</t>
    </r>
    <r>
      <rPr>
        <vertAlign val="subscript"/>
        <sz val="11"/>
        <color theme="1"/>
        <rFont val="Calibri"/>
        <family val="2"/>
        <scheme val="minor"/>
      </rPr>
      <t>PEAK</t>
    </r>
  </si>
  <si>
    <t>Step 7: Component Selection</t>
  </si>
  <si>
    <r>
      <t>P</t>
    </r>
    <r>
      <rPr>
        <vertAlign val="subscript"/>
        <sz val="11"/>
        <color theme="1"/>
        <rFont val="Calibri"/>
        <family val="2"/>
        <scheme val="minor"/>
      </rPr>
      <t>Lac</t>
    </r>
    <r>
      <rPr>
        <sz val="11"/>
        <color theme="1"/>
        <rFont val="Calibri"/>
        <family val="2"/>
        <scheme val="minor"/>
      </rPr>
      <t xml:space="preserve"> (W)</t>
    </r>
  </si>
  <si>
    <r>
      <t>P</t>
    </r>
    <r>
      <rPr>
        <vertAlign val="subscript"/>
        <sz val="11"/>
        <color theme="1"/>
        <rFont val="Calibri"/>
        <family val="2"/>
        <scheme val="minor"/>
      </rPr>
      <t>L_DCR</t>
    </r>
    <r>
      <rPr>
        <sz val="11"/>
        <color theme="1"/>
        <rFont val="Calibri"/>
        <family val="2"/>
        <scheme val="minor"/>
      </rPr>
      <t xml:space="preserve"> (W)</t>
    </r>
  </si>
  <si>
    <r>
      <t>On-State Resistance, R</t>
    </r>
    <r>
      <rPr>
        <vertAlign val="subscript"/>
        <sz val="10"/>
        <rFont val="Arial"/>
        <family val="2"/>
      </rPr>
      <t>DS(on)</t>
    </r>
    <r>
      <rPr>
        <sz val="10"/>
        <rFont val="Arial"/>
        <family val="2"/>
      </rPr>
      <t xml:space="preserve"> </t>
    </r>
  </si>
  <si>
    <r>
      <t>Total Gate Charge, Q</t>
    </r>
    <r>
      <rPr>
        <vertAlign val="subscript"/>
        <sz val="10"/>
        <rFont val="Arial"/>
        <family val="2"/>
      </rPr>
      <t>G</t>
    </r>
    <r>
      <rPr>
        <sz val="10"/>
        <rFont val="Arial"/>
        <family val="2"/>
      </rPr>
      <t xml:space="preserve"> </t>
    </r>
  </si>
  <si>
    <r>
      <t>Gate-Drain Charge, Q</t>
    </r>
    <r>
      <rPr>
        <vertAlign val="subscript"/>
        <sz val="10"/>
        <rFont val="Arial"/>
        <family val="2"/>
      </rPr>
      <t>GD</t>
    </r>
    <r>
      <rPr>
        <sz val="10"/>
        <rFont val="Arial"/>
        <family val="2"/>
      </rPr>
      <t xml:space="preserve"> </t>
    </r>
  </si>
  <si>
    <r>
      <t>Gate-Source Charge, Q</t>
    </r>
    <r>
      <rPr>
        <vertAlign val="subscript"/>
        <sz val="10"/>
        <rFont val="Arial"/>
        <family val="2"/>
      </rPr>
      <t>GS</t>
    </r>
    <r>
      <rPr>
        <sz val="10"/>
        <rFont val="Arial"/>
        <family val="2"/>
      </rPr>
      <t xml:space="preserve"> </t>
    </r>
  </si>
  <si>
    <r>
      <t>Gate Resistance, R</t>
    </r>
    <r>
      <rPr>
        <vertAlign val="subscript"/>
        <sz val="10"/>
        <rFont val="Arial"/>
        <family val="2"/>
      </rPr>
      <t>G</t>
    </r>
    <r>
      <rPr>
        <sz val="10"/>
        <rFont val="Arial"/>
        <family val="2"/>
      </rPr>
      <t xml:space="preserve"> </t>
    </r>
  </si>
  <si>
    <r>
      <t>Gate-Source Threshold Voltage, V</t>
    </r>
    <r>
      <rPr>
        <vertAlign val="subscript"/>
        <sz val="10"/>
        <rFont val="Arial"/>
        <family val="2"/>
      </rPr>
      <t>TH</t>
    </r>
    <r>
      <rPr>
        <sz val="10"/>
        <rFont val="Arial"/>
        <family val="2"/>
      </rPr>
      <t xml:space="preserve"> </t>
    </r>
  </si>
  <si>
    <t>mΩ</t>
  </si>
  <si>
    <t>nC</t>
  </si>
  <si>
    <t>Ω</t>
  </si>
  <si>
    <t>S</t>
  </si>
  <si>
    <t>Diode Parameters</t>
  </si>
  <si>
    <t>MOSFET parameters</t>
  </si>
  <si>
    <t>MOSFET Parameters</t>
  </si>
  <si>
    <t>Qg_tot</t>
  </si>
  <si>
    <t>Qgs</t>
  </si>
  <si>
    <t>Qgd</t>
  </si>
  <si>
    <t>Rgate</t>
  </si>
  <si>
    <t>gfs</t>
  </si>
  <si>
    <t>Vth</t>
  </si>
  <si>
    <t>C</t>
  </si>
  <si>
    <t>RDS_on</t>
  </si>
  <si>
    <t>Rgate_int</t>
  </si>
  <si>
    <t>Internal Gate resistance of the MOSFET driver.</t>
  </si>
  <si>
    <t>Vsp</t>
  </si>
  <si>
    <t>Gate voltage when MOSFET begins conducting current</t>
  </si>
  <si>
    <t>Rise time of the switch node</t>
  </si>
  <si>
    <t>Fall time of the switch node</t>
  </si>
  <si>
    <t>VCC</t>
  </si>
  <si>
    <t>VCC regulator</t>
  </si>
  <si>
    <t>Vcc</t>
  </si>
  <si>
    <t>Regulated output voltage of internal LDO. Can change if this is externally biased.</t>
  </si>
  <si>
    <t>Need to double check this value</t>
  </si>
  <si>
    <t xml:space="preserve">VCC voltage. Can be changed with external bias. </t>
  </si>
  <si>
    <t>tr_sw</t>
  </si>
  <si>
    <t>tf_sw</t>
  </si>
  <si>
    <r>
      <t>P</t>
    </r>
    <r>
      <rPr>
        <vertAlign val="subscript"/>
        <sz val="11"/>
        <color theme="1"/>
        <rFont val="Calibri"/>
        <family val="2"/>
        <scheme val="minor"/>
      </rPr>
      <t xml:space="preserve">Q_SW </t>
    </r>
    <r>
      <rPr>
        <sz val="11"/>
        <color theme="1"/>
        <rFont val="Calibri"/>
        <family val="2"/>
        <scheme val="minor"/>
      </rPr>
      <t>(W)</t>
    </r>
  </si>
  <si>
    <r>
      <t>P</t>
    </r>
    <r>
      <rPr>
        <vertAlign val="subscript"/>
        <sz val="11"/>
        <color theme="1"/>
        <rFont val="Calibri"/>
        <family val="2"/>
        <scheme val="minor"/>
      </rPr>
      <t xml:space="preserve">Q_COND </t>
    </r>
    <r>
      <rPr>
        <sz val="11"/>
        <color theme="1"/>
        <rFont val="Calibri"/>
        <family val="2"/>
        <scheme val="minor"/>
      </rPr>
      <t>(W)</t>
    </r>
  </si>
  <si>
    <r>
      <t>P</t>
    </r>
    <r>
      <rPr>
        <vertAlign val="subscript"/>
        <sz val="11"/>
        <color theme="1"/>
        <rFont val="Calibri"/>
        <family val="2"/>
        <scheme val="minor"/>
      </rPr>
      <t xml:space="preserve">Q_tot </t>
    </r>
    <r>
      <rPr>
        <sz val="11"/>
        <color theme="1"/>
        <rFont val="Calibri"/>
        <family val="2"/>
        <scheme val="minor"/>
      </rPr>
      <t>(W)</t>
    </r>
  </si>
  <si>
    <r>
      <t>P</t>
    </r>
    <r>
      <rPr>
        <vertAlign val="subscript"/>
        <sz val="11"/>
        <color theme="1"/>
        <rFont val="Calibri"/>
        <family val="2"/>
        <scheme val="minor"/>
      </rPr>
      <t>L_tot</t>
    </r>
    <r>
      <rPr>
        <sz val="11"/>
        <color theme="1"/>
        <rFont val="Calibri"/>
        <family val="2"/>
        <scheme val="minor"/>
      </rPr>
      <t xml:space="preserve"> (W)</t>
    </r>
  </si>
  <si>
    <r>
      <t>P</t>
    </r>
    <r>
      <rPr>
        <vertAlign val="subscript"/>
        <sz val="11"/>
        <color theme="1"/>
        <rFont val="Calibri"/>
        <family val="2"/>
        <scheme val="minor"/>
      </rPr>
      <t>RCS</t>
    </r>
    <r>
      <rPr>
        <sz val="11"/>
        <color theme="1"/>
        <rFont val="Calibri"/>
        <family val="2"/>
        <scheme val="minor"/>
      </rPr>
      <t xml:space="preserve"> (W)</t>
    </r>
  </si>
  <si>
    <r>
      <t>P</t>
    </r>
    <r>
      <rPr>
        <vertAlign val="subscript"/>
        <sz val="11"/>
        <color theme="1"/>
        <rFont val="Calibri"/>
        <family val="2"/>
        <scheme val="minor"/>
      </rPr>
      <t>G_drv</t>
    </r>
    <r>
      <rPr>
        <sz val="11"/>
        <color theme="1"/>
        <rFont val="Calibri"/>
        <family val="2"/>
        <scheme val="minor"/>
      </rPr>
      <t xml:space="preserve"> (W)</t>
    </r>
  </si>
  <si>
    <r>
      <t>P</t>
    </r>
    <r>
      <rPr>
        <vertAlign val="subscript"/>
        <sz val="11"/>
        <color theme="1"/>
        <rFont val="Calibri"/>
        <family val="2"/>
        <scheme val="minor"/>
      </rPr>
      <t>IQ</t>
    </r>
    <r>
      <rPr>
        <sz val="11"/>
        <color theme="1"/>
        <rFont val="Calibri"/>
        <family val="2"/>
        <scheme val="minor"/>
      </rPr>
      <t xml:space="preserve"> (W)</t>
    </r>
  </si>
  <si>
    <t>IQ current</t>
  </si>
  <si>
    <t xml:space="preserve">IQ </t>
  </si>
  <si>
    <t>Non-switching IQ current</t>
  </si>
  <si>
    <t>Other Losses</t>
  </si>
  <si>
    <r>
      <t>C</t>
    </r>
    <r>
      <rPr>
        <vertAlign val="subscript"/>
        <sz val="11"/>
        <color theme="1"/>
        <rFont val="Calibri"/>
        <family val="2"/>
        <scheme val="minor"/>
      </rPr>
      <t>COMP</t>
    </r>
  </si>
  <si>
    <r>
      <t>C</t>
    </r>
    <r>
      <rPr>
        <vertAlign val="subscript"/>
        <sz val="11"/>
        <color theme="1"/>
        <rFont val="Calibri"/>
        <family val="2"/>
        <scheme val="minor"/>
      </rPr>
      <t>HF</t>
    </r>
  </si>
  <si>
    <t>RHP_zero location based on the minimum input voltage</t>
  </si>
  <si>
    <t>Low frequency pole based on the minimum input voltage</t>
  </si>
  <si>
    <t>rad</t>
  </si>
  <si>
    <t>raf</t>
  </si>
  <si>
    <t>ESR zero based on the minimum input voltage</t>
  </si>
  <si>
    <t>This is based on the minimum input voltage. T</t>
  </si>
  <si>
    <t>Input Voltage</t>
  </si>
  <si>
    <r>
      <t>Selected band width (F</t>
    </r>
    <r>
      <rPr>
        <vertAlign val="subscript"/>
        <sz val="11"/>
        <color theme="1"/>
        <rFont val="Calibri"/>
        <family val="2"/>
        <scheme val="minor"/>
      </rPr>
      <t>CO</t>
    </r>
    <r>
      <rPr>
        <sz val="11"/>
        <color theme="1"/>
        <rFont val="Calibri"/>
        <family val="2"/>
        <scheme val="minor"/>
      </rPr>
      <t>)</t>
    </r>
  </si>
  <si>
    <r>
      <t>Calculated top UVLO resistor value (R</t>
    </r>
    <r>
      <rPr>
        <vertAlign val="subscript"/>
        <sz val="11"/>
        <color theme="1"/>
        <rFont val="Calibri"/>
        <family val="2"/>
        <scheme val="minor"/>
      </rPr>
      <t>UVT_CALC</t>
    </r>
    <r>
      <rPr>
        <sz val="11"/>
        <color theme="1"/>
        <rFont val="Calibri"/>
        <family val="2"/>
        <scheme val="minor"/>
      </rPr>
      <t>)</t>
    </r>
  </si>
  <si>
    <r>
      <t>Selected top UVLO resistor value (R</t>
    </r>
    <r>
      <rPr>
        <vertAlign val="subscript"/>
        <sz val="11"/>
        <color theme="1"/>
        <rFont val="Calibri"/>
        <family val="2"/>
        <scheme val="minor"/>
      </rPr>
      <t>UVT</t>
    </r>
    <r>
      <rPr>
        <sz val="11"/>
        <color theme="1"/>
        <rFont val="Calibri"/>
        <family val="2"/>
        <scheme val="minor"/>
      </rPr>
      <t>)</t>
    </r>
  </si>
  <si>
    <r>
      <t>Bottom UVLO Resistor (R</t>
    </r>
    <r>
      <rPr>
        <vertAlign val="subscript"/>
        <sz val="11"/>
        <color theme="1"/>
        <rFont val="Calibri"/>
        <family val="2"/>
        <scheme val="minor"/>
      </rPr>
      <t>UVB</t>
    </r>
    <r>
      <rPr>
        <sz val="11"/>
        <color theme="1"/>
        <rFont val="Calibri"/>
        <family val="2"/>
        <scheme val="minor"/>
      </rPr>
      <t>)</t>
    </r>
  </si>
  <si>
    <t>Calcualted top UVLO resistor</t>
  </si>
  <si>
    <t>Selected top UVLO resistor</t>
  </si>
  <si>
    <t>Calcualted Bottom UBLO Resistor</t>
  </si>
  <si>
    <t>Frcoss (VIN)min</t>
  </si>
  <si>
    <t>ADC_VINmin</t>
  </si>
  <si>
    <t>wp_lf_VINmin</t>
  </si>
  <si>
    <t>fp_lf_VINmin</t>
  </si>
  <si>
    <t>wz_esr_VINmin</t>
  </si>
  <si>
    <t>fz_esr_VINmin</t>
  </si>
  <si>
    <t>wz_RHP_VINmin</t>
  </si>
  <si>
    <t>fz_rhp_VINmin</t>
  </si>
  <si>
    <t>Se_VINmin</t>
  </si>
  <si>
    <t>Sn_VINmin</t>
  </si>
  <si>
    <t>wsl_VINmin</t>
  </si>
  <si>
    <t>Q_VINmin</t>
  </si>
  <si>
    <t>Operation Raange</t>
  </si>
  <si>
    <t>Vin_op_min</t>
  </si>
  <si>
    <t>Minimum operating voltage</t>
  </si>
  <si>
    <t>Maximum BIAS pin operating voltage</t>
  </si>
  <si>
    <t>Vin_op_max</t>
  </si>
  <si>
    <r>
      <t>Desired Maximum Inductor Current Ripple Ratio (I</t>
    </r>
    <r>
      <rPr>
        <vertAlign val="subscript"/>
        <sz val="10"/>
        <color theme="1"/>
        <rFont val="Calibri"/>
        <family val="2"/>
        <scheme val="minor"/>
      </rPr>
      <t>RR_MAX</t>
    </r>
    <r>
      <rPr>
        <sz val="10"/>
        <color theme="1"/>
        <rFont val="Calibri"/>
        <family val="2"/>
        <scheme val="minor"/>
      </rPr>
      <t>)</t>
    </r>
  </si>
  <si>
    <t>Peak Current Limit Margin</t>
  </si>
  <si>
    <r>
      <t>Voltage selected (V</t>
    </r>
    <r>
      <rPr>
        <vertAlign val="subscript"/>
        <sz val="11"/>
        <rFont val="Calibri"/>
        <family val="2"/>
        <scheme val="minor"/>
      </rPr>
      <t>IN_VAR</t>
    </r>
    <r>
      <rPr>
        <sz val="11"/>
        <rFont val="Calibri"/>
        <family val="2"/>
        <scheme val="minor"/>
      </rPr>
      <t>)</t>
    </r>
  </si>
  <si>
    <t>This should be set at or near the lowest RHP zero Frequency</t>
  </si>
  <si>
    <t>Set between 1/2 fsw and the RHPz in the application note. This is aggressive</t>
  </si>
  <si>
    <r>
      <t>Recommended current sense Resistor (R</t>
    </r>
    <r>
      <rPr>
        <vertAlign val="subscript"/>
        <sz val="11"/>
        <color theme="1"/>
        <rFont val="Calibri"/>
        <family val="2"/>
        <scheme val="minor"/>
      </rPr>
      <t>S</t>
    </r>
    <r>
      <rPr>
        <sz val="11"/>
        <color theme="1"/>
        <rFont val="Calibri"/>
        <family val="2"/>
        <scheme val="minor"/>
      </rPr>
      <t>)</t>
    </r>
  </si>
  <si>
    <r>
      <t>Selected current sense Resistor (R</t>
    </r>
    <r>
      <rPr>
        <vertAlign val="subscript"/>
        <sz val="11"/>
        <color theme="1"/>
        <rFont val="Calibri"/>
        <family val="2"/>
        <scheme val="minor"/>
      </rPr>
      <t>S</t>
    </r>
    <r>
      <rPr>
        <sz val="11"/>
        <color theme="1"/>
        <rFont val="Calibri"/>
        <family val="2"/>
        <scheme val="minor"/>
      </rPr>
      <t>)</t>
    </r>
  </si>
  <si>
    <t>VOUT1</t>
  </si>
  <si>
    <t>IOUT1</t>
  </si>
  <si>
    <t>ROUT1</t>
  </si>
  <si>
    <t>POUT1</t>
  </si>
  <si>
    <t>VOUT2</t>
  </si>
  <si>
    <t>IOUT2</t>
  </si>
  <si>
    <t>ROUT2</t>
  </si>
  <si>
    <t>POUT2</t>
  </si>
  <si>
    <t>VOUT3</t>
  </si>
  <si>
    <t>IOUT3</t>
  </si>
  <si>
    <t>ROUT3</t>
  </si>
  <si>
    <t>POUT3</t>
  </si>
  <si>
    <t>POUT_Total</t>
  </si>
  <si>
    <t>Enable</t>
  </si>
  <si>
    <t>EN_OUT_3</t>
  </si>
  <si>
    <t>EN_OUT_2</t>
  </si>
  <si>
    <t>Enable the second output voltage</t>
  </si>
  <si>
    <t>Enable the third output voltage</t>
  </si>
  <si>
    <t>Target Output Voltage, First output voltage should always be the one regulated, and should be active</t>
  </si>
  <si>
    <t>Step 2: Transformer Specifications</t>
  </si>
  <si>
    <r>
      <t>Recommended Inductance Primary Inductance (L</t>
    </r>
    <r>
      <rPr>
        <vertAlign val="subscript"/>
        <sz val="10"/>
        <color theme="1"/>
        <rFont val="Calibri"/>
        <family val="2"/>
        <scheme val="minor"/>
      </rPr>
      <t>M_CALC</t>
    </r>
    <r>
      <rPr>
        <sz val="10"/>
        <color theme="1"/>
        <rFont val="Calibri"/>
        <family val="2"/>
        <scheme val="minor"/>
      </rPr>
      <t>)</t>
    </r>
  </si>
  <si>
    <r>
      <t>User Selected Primary Inductance, (L</t>
    </r>
    <r>
      <rPr>
        <vertAlign val="subscript"/>
        <sz val="10"/>
        <color theme="1"/>
        <rFont val="Calibri"/>
        <family val="2"/>
        <scheme val="minor"/>
      </rPr>
      <t>M</t>
    </r>
    <r>
      <rPr>
        <sz val="10"/>
        <color theme="1"/>
        <rFont val="Calibri"/>
        <family val="2"/>
        <scheme val="minor"/>
      </rPr>
      <t>)</t>
    </r>
  </si>
  <si>
    <t>Np</t>
  </si>
  <si>
    <t>Step 2: Transformer Specs</t>
  </si>
  <si>
    <t>The number of turns on the primary side. Can change to help ease calculations</t>
  </si>
  <si>
    <t>Maximum duty cycle for the design</t>
  </si>
  <si>
    <r>
      <t>Desired Maximum Duty Cycle (D</t>
    </r>
    <r>
      <rPr>
        <vertAlign val="subscript"/>
        <sz val="11"/>
        <color theme="1"/>
        <rFont val="Calibri"/>
        <family val="2"/>
        <scheme val="minor"/>
      </rPr>
      <t>MAX</t>
    </r>
    <r>
      <rPr>
        <sz val="11"/>
        <color theme="1"/>
        <rFont val="Calibri"/>
        <family val="2"/>
        <scheme val="minor"/>
      </rPr>
      <t>)</t>
    </r>
  </si>
  <si>
    <t>System Constants</t>
  </si>
  <si>
    <t>Vd</t>
  </si>
  <si>
    <t>This is just the standard voltage drop of a diode allows for some head room on duty cycle calculations</t>
  </si>
  <si>
    <t>Dmax_limit</t>
  </si>
  <si>
    <t>Calcualted secondary side (VOUT1) Turns Ratio (Assuming CCM operation)</t>
  </si>
  <si>
    <t>Selected Turns Ratio for regulated primary rail</t>
  </si>
  <si>
    <t>NS2_calc</t>
  </si>
  <si>
    <t>NS2</t>
  </si>
  <si>
    <t>Calcualted secondary side (VOUT2)</t>
  </si>
  <si>
    <t xml:space="preserve">Selected Turns Ratio for VOUT2 </t>
  </si>
  <si>
    <t>N1S_calc</t>
  </si>
  <si>
    <t>Ns1_</t>
  </si>
  <si>
    <t>Turns</t>
  </si>
  <si>
    <t>Target Output Voltage (Absolute Maximum)</t>
  </si>
  <si>
    <t>Target Output Voltage (Absolute Maximum Voltage)</t>
  </si>
  <si>
    <r>
      <t>Calculated Secondary Side turns (N</t>
    </r>
    <r>
      <rPr>
        <vertAlign val="subscript"/>
        <sz val="11"/>
        <color theme="1"/>
        <rFont val="Calibri"/>
        <family val="2"/>
        <scheme val="minor"/>
      </rPr>
      <t>Sx_calc</t>
    </r>
    <r>
      <rPr>
        <sz val="11"/>
        <color theme="1"/>
        <rFont val="Calibri"/>
        <family val="2"/>
        <scheme val="minor"/>
      </rPr>
      <t>)</t>
    </r>
  </si>
  <si>
    <r>
      <t>Selected Secondary Side turns (N</t>
    </r>
    <r>
      <rPr>
        <vertAlign val="subscript"/>
        <sz val="11"/>
        <color theme="1"/>
        <rFont val="Calibri"/>
        <family val="2"/>
        <scheme val="minor"/>
      </rPr>
      <t>Sx_</t>
    </r>
    <r>
      <rPr>
        <sz val="11"/>
        <color theme="1"/>
        <rFont val="Calibri"/>
        <family val="2"/>
        <scheme val="minor"/>
      </rPr>
      <t>)</t>
    </r>
  </si>
  <si>
    <t>Ns3_calc</t>
  </si>
  <si>
    <t>NS3_</t>
  </si>
  <si>
    <t>Calcualted secondary side (VOUT3)</t>
  </si>
  <si>
    <t xml:space="preserve">Selected Turns Ratio for VOUT3 </t>
  </si>
  <si>
    <r>
      <t>Adjusted output voltage (V</t>
    </r>
    <r>
      <rPr>
        <vertAlign val="subscript"/>
        <sz val="11"/>
        <color theme="1"/>
        <rFont val="Calibri"/>
        <family val="2"/>
        <scheme val="minor"/>
      </rPr>
      <t>LOADx</t>
    </r>
    <r>
      <rPr>
        <sz val="11"/>
        <color theme="1"/>
        <rFont val="Calibri"/>
        <family val="2"/>
        <scheme val="minor"/>
      </rPr>
      <t>)</t>
    </r>
  </si>
  <si>
    <t>VOUT2_act</t>
  </si>
  <si>
    <t>Actual Output voltage</t>
  </si>
  <si>
    <t>VOUT3_act</t>
  </si>
  <si>
    <t>Dmax_act</t>
  </si>
  <si>
    <r>
      <t>Approximate Maximum Duty Cycle (D</t>
    </r>
    <r>
      <rPr>
        <vertAlign val="subscript"/>
        <sz val="11"/>
        <color theme="1"/>
        <rFont val="Calibri"/>
        <family val="2"/>
        <scheme val="minor"/>
      </rPr>
      <t>MAX</t>
    </r>
    <r>
      <rPr>
        <sz val="11"/>
        <color theme="1"/>
        <rFont val="Calibri"/>
        <family val="2"/>
        <scheme val="minor"/>
      </rPr>
      <t>)</t>
    </r>
  </si>
  <si>
    <t>Occurs at the minimum input voltage</t>
  </si>
  <si>
    <t>VIN nom nominal Duty cycle</t>
  </si>
  <si>
    <t>VIN max nominal Duty cycle</t>
  </si>
  <si>
    <t>Estimated efficiency of the conveter. For right now need to just keep this 1</t>
  </si>
  <si>
    <t>Vreflect</t>
  </si>
  <si>
    <t>Inductor at Maximum input voltage (Includes the diode drop in the duty cycle calculation)</t>
  </si>
  <si>
    <t>IL_avg_VIN_min</t>
  </si>
  <si>
    <t>average input current</t>
  </si>
  <si>
    <t>Vout1_rip_sel</t>
  </si>
  <si>
    <t>Cout1_min</t>
  </si>
  <si>
    <t>Resr1</t>
  </si>
  <si>
    <t>Vout3_rip_sel</t>
  </si>
  <si>
    <t>Cout3_min</t>
  </si>
  <si>
    <t>Resr3</t>
  </si>
  <si>
    <t>Load 2</t>
  </si>
  <si>
    <t>Load 3</t>
  </si>
  <si>
    <t>Load 1</t>
  </si>
  <si>
    <t>Cout_total</t>
  </si>
  <si>
    <t>Resr_total</t>
  </si>
  <si>
    <t>Vout2_rip_sel</t>
  </si>
  <si>
    <t>Cout2_min</t>
  </si>
  <si>
    <t>Cout2</t>
  </si>
  <si>
    <t>Resr2</t>
  </si>
  <si>
    <t>Resr2_Trans</t>
  </si>
  <si>
    <t>ESR tranfered to the regualted winding of the transformer</t>
  </si>
  <si>
    <t>Total output cap ESR refered to the pregulated winding (VOUT1). Used for loop modeling</t>
  </si>
  <si>
    <t>Total output capacitance refered to the regulated winding (VOUT1). Used for loop modeling</t>
  </si>
  <si>
    <t>Need to finish updating from here</t>
  </si>
  <si>
    <t>POUT_Var</t>
  </si>
  <si>
    <t>Variable output Power (Need to add this in</t>
  </si>
  <si>
    <t>COUT_total</t>
  </si>
  <si>
    <t>CCM Model</t>
  </si>
  <si>
    <t>Dc</t>
  </si>
  <si>
    <t>Duty cycle at Vin_var</t>
  </si>
  <si>
    <t>mc</t>
  </si>
  <si>
    <r>
      <t>External voltage reference voltage (V</t>
    </r>
    <r>
      <rPr>
        <vertAlign val="subscript"/>
        <sz val="11"/>
        <color theme="1"/>
        <rFont val="Calibri"/>
        <family val="2"/>
        <scheme val="minor"/>
      </rPr>
      <t>ref_iso</t>
    </r>
    <r>
      <rPr>
        <sz val="11"/>
        <color theme="1"/>
        <rFont val="Calibri"/>
        <family val="2"/>
        <scheme val="minor"/>
      </rPr>
      <t>)</t>
    </r>
  </si>
  <si>
    <t>Otpocoupler selection Resistor Selection</t>
  </si>
  <si>
    <r>
      <t>Minimum current transfer Ratio (k</t>
    </r>
    <r>
      <rPr>
        <vertAlign val="subscript"/>
        <sz val="11"/>
        <color theme="1"/>
        <rFont val="Calibri"/>
        <family val="2"/>
        <scheme val="minor"/>
      </rPr>
      <t>OPTO_min</t>
    </r>
    <r>
      <rPr>
        <sz val="11"/>
        <color theme="1"/>
        <rFont val="Calibri"/>
        <family val="2"/>
        <scheme val="minor"/>
      </rPr>
      <t>)</t>
    </r>
  </si>
  <si>
    <r>
      <t>Maximum current transfer Ratio (k</t>
    </r>
    <r>
      <rPr>
        <vertAlign val="subscript"/>
        <sz val="11"/>
        <color theme="1"/>
        <rFont val="Calibri"/>
        <family val="2"/>
        <scheme val="minor"/>
      </rPr>
      <t>OPTO_max</t>
    </r>
    <r>
      <rPr>
        <sz val="11"/>
        <color theme="1"/>
        <rFont val="Calibri"/>
        <family val="2"/>
        <scheme val="minor"/>
      </rPr>
      <t>)</t>
    </r>
  </si>
  <si>
    <r>
      <t>Worst case diode voltage drop (V</t>
    </r>
    <r>
      <rPr>
        <vertAlign val="subscript"/>
        <sz val="11"/>
        <color theme="1"/>
        <rFont val="Calibri"/>
        <family val="2"/>
        <scheme val="minor"/>
      </rPr>
      <t>D_opto</t>
    </r>
    <r>
      <rPr>
        <sz val="11"/>
        <color theme="1"/>
        <rFont val="Calibri"/>
        <family val="2"/>
        <scheme val="minor"/>
      </rPr>
      <t>)</t>
    </r>
  </si>
  <si>
    <t>Select Feedback type</t>
  </si>
  <si>
    <t>Feedback type</t>
  </si>
  <si>
    <t>Isolated</t>
  </si>
  <si>
    <t>Non-isolated</t>
  </si>
  <si>
    <t>FB_type</t>
  </si>
  <si>
    <t>The type of feedback selected. 1 isolated feedback, 2 non-isolated feedback</t>
  </si>
  <si>
    <t>isolate Feedback calculations</t>
  </si>
  <si>
    <t>Vref_iso</t>
  </si>
  <si>
    <t>External reference voltage. This is needed for isolated feedback designs</t>
  </si>
  <si>
    <t>RFBT_iso</t>
  </si>
  <si>
    <t>RFBB_iso_calc</t>
  </si>
  <si>
    <t>RFBB_iso</t>
  </si>
  <si>
    <t>Calcualted bottom feedback resistor</t>
  </si>
  <si>
    <t>Selected top feedback resistor</t>
  </si>
  <si>
    <t>Selected bottom feedback resistor</t>
  </si>
  <si>
    <t>A/A</t>
  </si>
  <si>
    <r>
      <t>Minimum value for pullup resistor (R</t>
    </r>
    <r>
      <rPr>
        <vertAlign val="subscript"/>
        <sz val="11"/>
        <color theme="1"/>
        <rFont val="Calibri"/>
        <family val="2"/>
        <scheme val="minor"/>
      </rPr>
      <t>PULLUP_min</t>
    </r>
    <r>
      <rPr>
        <sz val="11"/>
        <color theme="1"/>
        <rFont val="Calibri"/>
        <family val="2"/>
        <scheme val="minor"/>
      </rPr>
      <t>)</t>
    </r>
  </si>
  <si>
    <t>Feedback resistors</t>
  </si>
  <si>
    <t>Opto coupler parameters</t>
  </si>
  <si>
    <t>Non-isolated feedback</t>
  </si>
  <si>
    <t>kopto_min</t>
  </si>
  <si>
    <t>kopto_max</t>
  </si>
  <si>
    <t>Minimum CTR of the optocoupler</t>
  </si>
  <si>
    <t>Maximum CTR of the optocoupler</t>
  </si>
  <si>
    <t>Vd_opto</t>
  </si>
  <si>
    <t>Should be the worst case diode drop to ensure feedback works properly over operating conditions</t>
  </si>
  <si>
    <t>Copto</t>
  </si>
  <si>
    <t>Vcomp_max</t>
  </si>
  <si>
    <t>Maximum voltage on the COMP pin</t>
  </si>
  <si>
    <t>Icomp_sink_max</t>
  </si>
  <si>
    <t>Maximum current the COMP pin can sink to keep voltage at 2.5V</t>
  </si>
  <si>
    <t>Rpullup_min</t>
  </si>
  <si>
    <r>
      <t>Pullup voltage (V</t>
    </r>
    <r>
      <rPr>
        <vertAlign val="subscript"/>
        <sz val="11"/>
        <color theme="1"/>
        <rFont val="Calibri"/>
        <family val="2"/>
        <scheme val="minor"/>
      </rPr>
      <t>PULLUP</t>
    </r>
    <r>
      <rPr>
        <sz val="11"/>
        <color theme="1"/>
        <rFont val="Calibri"/>
        <family val="2"/>
        <scheme val="minor"/>
      </rPr>
      <t>)</t>
    </r>
  </si>
  <si>
    <t>This can be selected once the pull up resistor is known. This value will change with Rpullup</t>
  </si>
  <si>
    <t>Vpullup</t>
  </si>
  <si>
    <t>voltage connected to the pullup resistor. This can be the auxwinding or the VCC voltage.</t>
  </si>
  <si>
    <r>
      <t>Selected Pullup Resistor (R</t>
    </r>
    <r>
      <rPr>
        <vertAlign val="subscript"/>
        <sz val="11"/>
        <color theme="1"/>
        <rFont val="Calibri"/>
        <family val="2"/>
        <scheme val="minor"/>
      </rPr>
      <t>PULLUP</t>
    </r>
    <r>
      <rPr>
        <sz val="11"/>
        <color theme="1"/>
        <rFont val="Calibri"/>
        <family val="2"/>
        <scheme val="minor"/>
      </rPr>
      <t>)</t>
    </r>
  </si>
  <si>
    <t>Rpullup</t>
  </si>
  <si>
    <t>Minimum pullup resistor value that will not damage the VCOMP clamp of the LM5155'</t>
  </si>
  <si>
    <t>Selected pullup resistor</t>
  </si>
  <si>
    <t>Bandwidth selection</t>
  </si>
  <si>
    <t>Compensation placement</t>
  </si>
  <si>
    <t>Suggest crossover frequency for the isolated loop. Should be less the 1/5 WzRHP and lower than optocoupler zero</t>
  </si>
  <si>
    <t>CCM Plant Model</t>
  </si>
  <si>
    <t>Step 5: Loop Compensation (CCM operation)</t>
  </si>
  <si>
    <t>RLED</t>
  </si>
  <si>
    <t>DC gain at the minimum input voltage</t>
  </si>
  <si>
    <t>1/5 f RHP</t>
  </si>
  <si>
    <t>fopto</t>
  </si>
  <si>
    <t>optocoupler pole.</t>
  </si>
  <si>
    <t xml:space="preserve">The pole set by the pull up resistor and the opto-coupler capcaitance. </t>
  </si>
  <si>
    <t>fcross_iso</t>
  </si>
  <si>
    <t>fcross_iso_est</t>
  </si>
  <si>
    <t>Selected crossover frequency for the isolated feedback design</t>
  </si>
  <si>
    <t>RLED_max</t>
  </si>
  <si>
    <t>Maximum LED resistor value</t>
  </si>
  <si>
    <r>
      <t>Pullup Resistor (R</t>
    </r>
    <r>
      <rPr>
        <b/>
        <vertAlign val="subscript"/>
        <sz val="11"/>
        <color theme="1"/>
        <rFont val="Calibri"/>
        <family val="2"/>
        <scheme val="minor"/>
      </rPr>
      <t>PULLUP</t>
    </r>
    <r>
      <rPr>
        <b/>
        <sz val="11"/>
        <color theme="1"/>
        <rFont val="Calibri"/>
        <family val="2"/>
        <scheme val="minor"/>
      </rPr>
      <t>) and LED Resistor (R</t>
    </r>
    <r>
      <rPr>
        <b/>
        <vertAlign val="subscript"/>
        <sz val="11"/>
        <color theme="1"/>
        <rFont val="Calibri"/>
        <family val="2"/>
        <scheme val="minor"/>
      </rPr>
      <t>LED</t>
    </r>
    <r>
      <rPr>
        <b/>
        <sz val="11"/>
        <color theme="1"/>
        <rFont val="Calibri"/>
        <family val="2"/>
        <scheme val="minor"/>
      </rPr>
      <t xml:space="preserve">) Selection </t>
    </r>
  </si>
  <si>
    <r>
      <t>Selected LED Resistor (R</t>
    </r>
    <r>
      <rPr>
        <vertAlign val="subscript"/>
        <sz val="11"/>
        <color theme="1"/>
        <rFont val="Calibri"/>
        <family val="2"/>
        <scheme val="minor"/>
      </rPr>
      <t>LED</t>
    </r>
    <r>
      <rPr>
        <sz val="11"/>
        <color theme="1"/>
        <rFont val="Calibri"/>
        <family val="2"/>
        <scheme val="minor"/>
      </rPr>
      <t>)</t>
    </r>
  </si>
  <si>
    <t>Selected LED resistor value</t>
  </si>
  <si>
    <t>RCOMP_iso_calc</t>
  </si>
  <si>
    <t>Rcomp_iso</t>
  </si>
  <si>
    <t>Selecte RCOMP value</t>
  </si>
  <si>
    <t>Ccomp_iso_calc</t>
  </si>
  <si>
    <t>Calcualted Compensation resistor value at the minimum input votlage. WzRHP is the lowest here</t>
  </si>
  <si>
    <t>Ccomp_iso</t>
  </si>
  <si>
    <t>wz_ea_1</t>
  </si>
  <si>
    <t>wz_ea_2</t>
  </si>
  <si>
    <t>wz2_ea</t>
  </si>
  <si>
    <t>wz1_ea</t>
  </si>
  <si>
    <t>Low frequency error complifier 0</t>
  </si>
  <si>
    <t>wpA_ea</t>
  </si>
  <si>
    <t>wpB_ea</t>
  </si>
  <si>
    <t>wpC_ea</t>
  </si>
  <si>
    <t>Pole Coefficients: A</t>
  </si>
  <si>
    <t>Pole Coefficients: C</t>
  </si>
  <si>
    <t>Pole Coefficients: B</t>
  </si>
  <si>
    <t>Suggested bandwidth maximum bandwidth</t>
  </si>
  <si>
    <r>
      <t>Desired Output  ripple voltage (</t>
    </r>
    <r>
      <rPr>
        <sz val="11"/>
        <color theme="1"/>
        <rFont val="Calibri"/>
        <family val="2"/>
      </rPr>
      <t>ΔV</t>
    </r>
    <r>
      <rPr>
        <vertAlign val="subscript"/>
        <sz val="11"/>
        <color theme="1"/>
        <rFont val="Calibri"/>
        <family val="2"/>
      </rPr>
      <t>OUT</t>
    </r>
    <r>
      <rPr>
        <sz val="11"/>
        <color theme="1"/>
        <rFont val="Calibri"/>
        <family val="2"/>
      </rPr>
      <t>)</t>
    </r>
  </si>
  <si>
    <r>
      <t>Maximum LED resistor (R</t>
    </r>
    <r>
      <rPr>
        <vertAlign val="subscript"/>
        <sz val="11"/>
        <color theme="1"/>
        <rFont val="Calibri"/>
        <family val="2"/>
        <scheme val="minor"/>
      </rPr>
      <t>LED_max</t>
    </r>
    <r>
      <rPr>
        <sz val="11"/>
        <color theme="1"/>
        <rFont val="Calibri"/>
        <family val="2"/>
        <scheme val="minor"/>
      </rPr>
      <t>)</t>
    </r>
  </si>
  <si>
    <t xml:space="preserve">POUT3 </t>
  </si>
  <si>
    <t>POUT1_step</t>
  </si>
  <si>
    <t>POUT2_step</t>
  </si>
  <si>
    <t>POUT3_step</t>
  </si>
  <si>
    <t>Primary Winding losses</t>
  </si>
  <si>
    <t>Ptotal</t>
  </si>
  <si>
    <t>ILAVG</t>
  </si>
  <si>
    <t>Primary Winding calculations</t>
  </si>
  <si>
    <t>Doff</t>
  </si>
  <si>
    <t>Ddead</t>
  </si>
  <si>
    <t>Ls1</t>
  </si>
  <si>
    <t>Secondary DCR</t>
  </si>
  <si>
    <t>Rdcr1</t>
  </si>
  <si>
    <t>LOAD1 secondary winding resistance</t>
  </si>
  <si>
    <t>Rdcr2</t>
  </si>
  <si>
    <t>Rdcr3</t>
  </si>
  <si>
    <t>ILAVG2</t>
  </si>
  <si>
    <t>ILAVG1</t>
  </si>
  <si>
    <t>(1-D)sec</t>
  </si>
  <si>
    <t xml:space="preserve">Iripple </t>
  </si>
  <si>
    <t>Ipeak</t>
  </si>
  <si>
    <t>ILRMS1</t>
  </si>
  <si>
    <t>VLOAD1 Power Losses</t>
  </si>
  <si>
    <t>Transformer Losses</t>
  </si>
  <si>
    <t>Diode Losses</t>
  </si>
  <si>
    <r>
      <t>P</t>
    </r>
    <r>
      <rPr>
        <vertAlign val="subscript"/>
        <sz val="11"/>
        <color theme="1"/>
        <rFont val="Calibri"/>
        <family val="2"/>
        <scheme val="minor"/>
      </rPr>
      <t>Qrr</t>
    </r>
    <r>
      <rPr>
        <sz val="11"/>
        <color theme="1"/>
        <rFont val="Calibri"/>
        <family val="2"/>
        <scheme val="minor"/>
      </rPr>
      <t xml:space="preserve"> (W)</t>
    </r>
  </si>
  <si>
    <r>
      <t>P</t>
    </r>
    <r>
      <rPr>
        <vertAlign val="subscript"/>
        <sz val="11"/>
        <color theme="1"/>
        <rFont val="Calibri"/>
        <family val="2"/>
        <scheme val="minor"/>
      </rPr>
      <t>CON</t>
    </r>
    <r>
      <rPr>
        <sz val="11"/>
        <color theme="1"/>
        <rFont val="Calibri"/>
        <family val="2"/>
        <scheme val="minor"/>
      </rPr>
      <t xml:space="preserve"> (W)</t>
    </r>
  </si>
  <si>
    <r>
      <t>PD1</t>
    </r>
    <r>
      <rPr>
        <vertAlign val="subscript"/>
        <sz val="11"/>
        <color theme="1"/>
        <rFont val="Calibri"/>
        <family val="2"/>
        <scheme val="minor"/>
      </rPr>
      <t>_tot</t>
    </r>
    <r>
      <rPr>
        <sz val="11"/>
        <color theme="1"/>
        <rFont val="Calibri"/>
        <family val="2"/>
        <scheme val="minor"/>
      </rPr>
      <t xml:space="preserve"> (W)</t>
    </r>
  </si>
  <si>
    <t>Vd1</t>
  </si>
  <si>
    <t>Qrr1</t>
  </si>
  <si>
    <t>Vd3</t>
  </si>
  <si>
    <t>Qrr3</t>
  </si>
  <si>
    <t>Vd2</t>
  </si>
  <si>
    <t>Qrr2</t>
  </si>
  <si>
    <t>ILAVG3</t>
  </si>
  <si>
    <t>LOAD3</t>
  </si>
  <si>
    <t>MOSFET Losses</t>
  </si>
  <si>
    <t>Leakage and Snubber</t>
  </si>
  <si>
    <t>Psnub</t>
  </si>
  <si>
    <t>Pleak</t>
  </si>
  <si>
    <t>Total Losses</t>
  </si>
  <si>
    <t>Transformer</t>
  </si>
  <si>
    <t>Number of output</t>
  </si>
  <si>
    <t xml:space="preserve">Single </t>
  </si>
  <si>
    <t xml:space="preserve">Double </t>
  </si>
  <si>
    <t>Triple</t>
  </si>
  <si>
    <r>
      <t>Calculated Secondary Side turns (N</t>
    </r>
    <r>
      <rPr>
        <vertAlign val="subscript"/>
        <sz val="11"/>
        <color theme="1"/>
        <rFont val="Calibri"/>
        <family val="2"/>
        <scheme val="minor"/>
      </rPr>
      <t>S2_calc</t>
    </r>
    <r>
      <rPr>
        <sz val="11"/>
        <color theme="1"/>
        <rFont val="Calibri"/>
        <family val="2"/>
        <scheme val="minor"/>
      </rPr>
      <t>)</t>
    </r>
  </si>
  <si>
    <r>
      <t>Maximum Output Current , I</t>
    </r>
    <r>
      <rPr>
        <vertAlign val="subscript"/>
        <sz val="10"/>
        <color theme="1"/>
        <rFont val="Calibri"/>
        <family val="2"/>
        <scheme val="minor"/>
      </rPr>
      <t>LOAD2</t>
    </r>
    <r>
      <rPr>
        <sz val="10"/>
        <color theme="1"/>
        <rFont val="Calibri"/>
        <family val="2"/>
        <scheme val="minor"/>
      </rPr>
      <t xml:space="preserve"> </t>
    </r>
  </si>
  <si>
    <r>
      <t>Output Target Voltage, V</t>
    </r>
    <r>
      <rPr>
        <vertAlign val="subscript"/>
        <sz val="10"/>
        <color theme="1"/>
        <rFont val="Calibri"/>
        <family val="2"/>
        <scheme val="minor"/>
      </rPr>
      <t>LOAD2</t>
    </r>
    <r>
      <rPr>
        <sz val="10"/>
        <color theme="1"/>
        <rFont val="Calibri"/>
        <family val="2"/>
        <scheme val="minor"/>
      </rPr>
      <t xml:space="preserve"> </t>
    </r>
  </si>
  <si>
    <r>
      <t>Selected Secondary Side turns (N</t>
    </r>
    <r>
      <rPr>
        <vertAlign val="subscript"/>
        <sz val="11"/>
        <color theme="1"/>
        <rFont val="Calibri"/>
        <family val="2"/>
        <scheme val="minor"/>
      </rPr>
      <t>S2_</t>
    </r>
    <r>
      <rPr>
        <sz val="11"/>
        <color theme="1"/>
        <rFont val="Calibri"/>
        <family val="2"/>
        <scheme val="minor"/>
      </rPr>
      <t>)</t>
    </r>
  </si>
  <si>
    <t>Number of output rails</t>
  </si>
  <si>
    <t>Load 2 Specificaitons</t>
  </si>
  <si>
    <t>Load 1 Specifications</t>
  </si>
  <si>
    <t>Load 3 Specifications</t>
  </si>
  <si>
    <t>fcross_est</t>
  </si>
  <si>
    <t>Estimated cross over frequency based on the primary winding. 1/5 the cross over frequency. Follows app note</t>
  </si>
  <si>
    <t>Iout1_step</t>
  </si>
  <si>
    <t>50% load step to calculate the output voltage transient.</t>
  </si>
  <si>
    <t>Variable input voltage to model the loop and efficiency calculations</t>
  </si>
  <si>
    <t>LOOP_ISO</t>
  </si>
  <si>
    <t>LOOP_nISO</t>
  </si>
  <si>
    <t xml:space="preserve">Will add this later. </t>
  </si>
  <si>
    <t>Updated</t>
  </si>
  <si>
    <t xml:space="preserve">Mode of operation: </t>
  </si>
  <si>
    <t>CCM</t>
  </si>
  <si>
    <t>Base Calculations of :</t>
  </si>
  <si>
    <t>Can base this value on the capacitve ripple of the output</t>
  </si>
  <si>
    <t xml:space="preserve">Can base this value on the capacitve output </t>
  </si>
  <si>
    <t>should inclued the total capacitance of this calculation</t>
  </si>
  <si>
    <t>50% load step</t>
  </si>
  <si>
    <t>Not Correct. Can just leave this one out for now.</t>
  </si>
  <si>
    <t>Assuming that the voltage drop of the diode is ideal</t>
  </si>
  <si>
    <t>External Compensation? (0-no, 1-yes) If DCM operation always no</t>
  </si>
  <si>
    <t>"Need to update this for isolated. A secondary soft-start should be used</t>
  </si>
  <si>
    <t>"Need to update this for being pulled up on the AUX winding</t>
  </si>
  <si>
    <t>*Need to find a good reference for this</t>
  </si>
  <si>
    <t>Conduction losses are just the average current</t>
  </si>
  <si>
    <r>
      <t>50 S to simplify equations Transconductance, g</t>
    </r>
    <r>
      <rPr>
        <vertAlign val="subscript"/>
        <sz val="10"/>
        <rFont val="Arial"/>
        <family val="2"/>
      </rPr>
      <t>FS,</t>
    </r>
  </si>
  <si>
    <t>LM5155/56  CCM Flyback Controller Design Tool</t>
  </si>
  <si>
    <t>Load 2 Capacitance</t>
  </si>
  <si>
    <r>
      <t>Peak Primary Winding current, IL</t>
    </r>
    <r>
      <rPr>
        <vertAlign val="subscript"/>
        <sz val="10"/>
        <color theme="1"/>
        <rFont val="Calibri"/>
        <family val="2"/>
        <scheme val="minor"/>
      </rPr>
      <t>PK</t>
    </r>
  </si>
  <si>
    <t>Load 1 Diode Specifications</t>
  </si>
  <si>
    <t>Load 2 Diode Specifications</t>
  </si>
  <si>
    <t>Load 3 Diode Specifications</t>
  </si>
  <si>
    <r>
      <t>Secondary (N</t>
    </r>
    <r>
      <rPr>
        <vertAlign val="subscript"/>
        <sz val="11"/>
        <color theme="1"/>
        <rFont val="Calibri"/>
        <family val="2"/>
        <scheme val="minor"/>
      </rPr>
      <t>S1</t>
    </r>
    <r>
      <rPr>
        <sz val="11"/>
        <color theme="1"/>
        <rFont val="Calibri"/>
        <family val="2"/>
        <scheme val="minor"/>
      </rPr>
      <t>) DCR</t>
    </r>
  </si>
  <si>
    <r>
      <t>Selected Secondary Side turns (N</t>
    </r>
    <r>
      <rPr>
        <vertAlign val="subscript"/>
        <sz val="11"/>
        <color theme="1"/>
        <rFont val="Calibri"/>
        <family val="2"/>
        <scheme val="minor"/>
      </rPr>
      <t>S1</t>
    </r>
    <r>
      <rPr>
        <sz val="11"/>
        <color theme="1"/>
        <rFont val="Calibri"/>
        <family val="2"/>
        <scheme val="minor"/>
      </rPr>
      <t>)</t>
    </r>
  </si>
  <si>
    <r>
      <t>Calculated Secondary Side turns (N</t>
    </r>
    <r>
      <rPr>
        <vertAlign val="subscript"/>
        <sz val="11"/>
        <color theme="1"/>
        <rFont val="Calibri"/>
        <family val="2"/>
        <scheme val="minor"/>
      </rPr>
      <t>S1_calc</t>
    </r>
    <r>
      <rPr>
        <sz val="11"/>
        <color theme="1"/>
        <rFont val="Calibri"/>
        <family val="2"/>
        <scheme val="minor"/>
      </rPr>
      <t>)</t>
    </r>
  </si>
  <si>
    <t>Load 3 Capacitance</t>
  </si>
  <si>
    <t xml:space="preserve">Minimum Load 1 output capacitance </t>
  </si>
  <si>
    <t xml:space="preserve">Minimum Load 2 output capacitance </t>
  </si>
  <si>
    <t xml:space="preserve">Minimum Load 3 output capacitance </t>
  </si>
  <si>
    <t>DCM_VIN_min</t>
  </si>
  <si>
    <t>Discontinous conduction mode at minimum input voltage</t>
  </si>
  <si>
    <t>DCM_VIN_nom</t>
  </si>
  <si>
    <t>DCM_VIN_max</t>
  </si>
  <si>
    <t>Discontinous conduction mode at nominal input voltage</t>
  </si>
  <si>
    <t>Discontinous conduction mode at maximum input voltage</t>
  </si>
  <si>
    <r>
      <t>Phototransistor output capacitance Capacitance (C</t>
    </r>
    <r>
      <rPr>
        <vertAlign val="subscript"/>
        <sz val="11"/>
        <color theme="1"/>
        <rFont val="Calibri"/>
        <family val="2"/>
        <scheme val="minor"/>
      </rPr>
      <t>OPTO</t>
    </r>
    <r>
      <rPr>
        <sz val="11"/>
        <color theme="1"/>
        <rFont val="Calibri"/>
        <family val="2"/>
        <scheme val="minor"/>
      </rPr>
      <t>)</t>
    </r>
  </si>
  <si>
    <r>
      <t>Phototransistor collector to emitter saturation votltage (V</t>
    </r>
    <r>
      <rPr>
        <vertAlign val="subscript"/>
        <sz val="11"/>
        <color theme="1"/>
        <rFont val="Calibri"/>
        <family val="2"/>
        <scheme val="minor"/>
      </rPr>
      <t>CE_sat</t>
    </r>
    <r>
      <rPr>
        <sz val="11"/>
        <color theme="1"/>
        <rFont val="Calibri"/>
        <family val="2"/>
        <scheme val="minor"/>
      </rPr>
      <t>)</t>
    </r>
  </si>
  <si>
    <r>
      <t>Reverse Recovery Charge (Q</t>
    </r>
    <r>
      <rPr>
        <vertAlign val="subscript"/>
        <sz val="11"/>
        <color theme="1"/>
        <rFont val="Calibri"/>
        <family val="2"/>
        <scheme val="minor"/>
      </rPr>
      <t>RR_3</t>
    </r>
    <r>
      <rPr>
        <sz val="11"/>
        <color theme="1"/>
        <rFont val="Calibri"/>
        <family val="2"/>
        <scheme val="minor"/>
      </rPr>
      <t>)</t>
    </r>
  </si>
  <si>
    <r>
      <t>Reverse Recovery Charge (Q</t>
    </r>
    <r>
      <rPr>
        <vertAlign val="subscript"/>
        <sz val="11"/>
        <color theme="1"/>
        <rFont val="Calibri"/>
        <family val="2"/>
        <scheme val="minor"/>
      </rPr>
      <t>RR_1</t>
    </r>
    <r>
      <rPr>
        <sz val="11"/>
        <color theme="1"/>
        <rFont val="Calibri"/>
        <family val="2"/>
        <scheme val="minor"/>
      </rPr>
      <t>)</t>
    </r>
  </si>
  <si>
    <r>
      <t>Reverse Recovery Charge (Q</t>
    </r>
    <r>
      <rPr>
        <vertAlign val="subscript"/>
        <sz val="11"/>
        <color theme="1"/>
        <rFont val="Calibri"/>
        <family val="2"/>
        <scheme val="minor"/>
      </rPr>
      <t>RR_2</t>
    </r>
    <r>
      <rPr>
        <sz val="11"/>
        <color theme="1"/>
        <rFont val="Calibri"/>
        <family val="2"/>
        <scheme val="minor"/>
      </rPr>
      <t>)</t>
    </r>
  </si>
  <si>
    <r>
      <t>Diode Forward Voltage drop (V</t>
    </r>
    <r>
      <rPr>
        <vertAlign val="subscript"/>
        <sz val="11"/>
        <color theme="1"/>
        <rFont val="Calibri"/>
        <family val="2"/>
        <scheme val="minor"/>
      </rPr>
      <t>D1</t>
    </r>
    <r>
      <rPr>
        <sz val="11"/>
        <color theme="1"/>
        <rFont val="Calibri"/>
        <family val="2"/>
        <scheme val="minor"/>
      </rPr>
      <t>)</t>
    </r>
  </si>
  <si>
    <r>
      <t>Diode Forward Voltage drop (V</t>
    </r>
    <r>
      <rPr>
        <vertAlign val="subscript"/>
        <sz val="11"/>
        <color theme="1"/>
        <rFont val="Calibri"/>
        <family val="2"/>
        <scheme val="minor"/>
      </rPr>
      <t>D2</t>
    </r>
    <r>
      <rPr>
        <sz val="11"/>
        <color theme="1"/>
        <rFont val="Calibri"/>
        <family val="2"/>
        <scheme val="minor"/>
      </rPr>
      <t>)</t>
    </r>
  </si>
  <si>
    <r>
      <t>Diode Forward Voltage drop (V</t>
    </r>
    <r>
      <rPr>
        <vertAlign val="subscript"/>
        <sz val="11"/>
        <color theme="1"/>
        <rFont val="Calibri"/>
        <family val="2"/>
        <scheme val="minor"/>
      </rPr>
      <t>D3</t>
    </r>
    <r>
      <rPr>
        <sz val="11"/>
        <color theme="1"/>
        <rFont val="Calibri"/>
        <family val="2"/>
        <scheme val="minor"/>
      </rPr>
      <t>)</t>
    </r>
  </si>
  <si>
    <r>
      <t>Primary Winding Resistance (R</t>
    </r>
    <r>
      <rPr>
        <vertAlign val="subscript"/>
        <sz val="10"/>
        <color theme="1"/>
        <rFont val="Calibri"/>
        <family val="2"/>
        <scheme val="minor"/>
      </rPr>
      <t>DCR</t>
    </r>
    <r>
      <rPr>
        <sz val="10"/>
        <color theme="1"/>
        <rFont val="Calibri"/>
        <family val="2"/>
        <scheme val="minor"/>
      </rPr>
      <t>)</t>
    </r>
  </si>
  <si>
    <t>Mar-2020</t>
  </si>
  <si>
    <t>Version Number</t>
  </si>
  <si>
    <t>Version History</t>
  </si>
  <si>
    <t>Version</t>
  </si>
  <si>
    <t>Change List Description</t>
  </si>
  <si>
    <t>1.0.0</t>
  </si>
  <si>
    <t>Initial Release</t>
  </si>
  <si>
    <t>1.0.1</t>
  </si>
  <si>
    <t>Rev 1.0.1</t>
  </si>
  <si>
    <t>VIN_op_max_56</t>
  </si>
  <si>
    <t>Maximum BIAS pin operating voltage LM5156</t>
  </si>
  <si>
    <t>Updated Schematics</t>
  </si>
  <si>
    <t>June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</si>
</sst>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000"/>
    <numFmt numFmtId="165" formatCode="0.000E+00"/>
    <numFmt numFmtId="166" formatCode="0.0000"/>
    <numFmt numFmtId="167" formatCode="0.0000E+00"/>
    <numFmt numFmtId="168" formatCode="0.0"/>
    <numFmt numFmtId="169" formatCode="0.0000000E+00"/>
    <numFmt numFmtId="170" formatCode="0.00000000"/>
    <numFmt numFmtId="171" formatCode="0.0000000"/>
  </numFmts>
  <fonts count="59" x14ac:knownFonts="1">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sz val="10"/>
      <name val="Arial"/>
      <family val="2"/>
    </font>
    <font>
      <b/>
      <sz val="10"/>
      <name val="Arial"/>
      <family val="2"/>
    </font>
    <font>
      <b/>
      <sz val="22"/>
      <color indexed="44"/>
      <name val="Arial"/>
      <family val="2"/>
    </font>
    <font>
      <b/>
      <sz val="9"/>
      <color indexed="81"/>
      <name val="Tahoma"/>
      <family val="2"/>
    </font>
    <font>
      <sz val="9"/>
      <color indexed="81"/>
      <name val="Tahoma"/>
      <family val="2"/>
    </font>
    <font>
      <b/>
      <sz val="12"/>
      <color rgb="FF0000FF"/>
      <name val="Arial"/>
      <family val="2"/>
    </font>
    <font>
      <sz val="28"/>
      <color theme="0"/>
      <name val="Calibri"/>
      <family val="2"/>
      <scheme val="minor"/>
    </font>
    <font>
      <b/>
      <sz val="11"/>
      <color indexed="10"/>
      <name val="Tahoma"/>
      <family val="2"/>
    </font>
    <font>
      <sz val="10"/>
      <color theme="1"/>
      <name val="Calibri"/>
      <family val="2"/>
      <scheme val="minor"/>
    </font>
    <font>
      <vertAlign val="subscript"/>
      <sz val="10"/>
      <color theme="1"/>
      <name val="Calibri"/>
      <family val="2"/>
      <scheme val="minor"/>
    </font>
    <font>
      <sz val="11"/>
      <name val="Calibri"/>
      <family val="2"/>
      <scheme val="minor"/>
    </font>
    <font>
      <b/>
      <sz val="11"/>
      <color rgb="FF0070C0"/>
      <name val="Calibri"/>
      <family val="2"/>
      <scheme val="minor"/>
    </font>
    <font>
      <sz val="11"/>
      <color theme="1"/>
      <name val="Calibri"/>
      <family val="2"/>
    </font>
    <font>
      <u/>
      <sz val="11"/>
      <color theme="1"/>
      <name val="Calibri"/>
      <family val="2"/>
      <scheme val="minor"/>
    </font>
    <font>
      <vertAlign val="subscript"/>
      <sz val="11"/>
      <color theme="1"/>
      <name val="Calibri"/>
      <family val="2"/>
      <scheme val="minor"/>
    </font>
    <font>
      <b/>
      <sz val="12"/>
      <color theme="1"/>
      <name val="Calibri"/>
      <family val="2"/>
      <scheme val="minor"/>
    </font>
    <font>
      <vertAlign val="subscript"/>
      <sz val="11"/>
      <color theme="1"/>
      <name val="Calibri"/>
      <family val="2"/>
    </font>
    <font>
      <b/>
      <sz val="11"/>
      <color theme="3" tint="0.39997558519241921"/>
      <name val="Calibri"/>
      <family val="2"/>
      <scheme val="minor"/>
    </font>
    <font>
      <b/>
      <sz val="11"/>
      <color theme="1"/>
      <name val="Calibri"/>
      <family val="2"/>
      <scheme val="minor"/>
    </font>
    <font>
      <sz val="10"/>
      <name val="Calibri"/>
      <family val="2"/>
      <scheme val="minor"/>
    </font>
    <font>
      <b/>
      <sz val="12"/>
      <color rgb="FF00B0F0"/>
      <name val="Calibri"/>
      <family val="2"/>
      <scheme val="minor"/>
    </font>
    <font>
      <b/>
      <sz val="11"/>
      <color rgb="FF00B0F0"/>
      <name val="Calibri"/>
      <family val="2"/>
      <scheme val="minor"/>
    </font>
    <font>
      <b/>
      <sz val="10"/>
      <color rgb="FF00B0F0"/>
      <name val="Arial"/>
      <family val="2"/>
    </font>
    <font>
      <sz val="18"/>
      <color theme="0"/>
      <name val="Calibri"/>
      <family val="2"/>
      <scheme val="minor"/>
    </font>
    <font>
      <vertAlign val="subscript"/>
      <sz val="10"/>
      <name val="Arial"/>
      <family val="2"/>
    </font>
    <font>
      <vertAlign val="subscript"/>
      <sz val="11"/>
      <name val="Calibri"/>
      <family val="2"/>
      <scheme val="minor"/>
    </font>
    <font>
      <sz val="11"/>
      <color rgb="FFFF0000"/>
      <name val="Calibri"/>
      <family val="2"/>
      <scheme val="minor"/>
    </font>
    <font>
      <b/>
      <vertAlign val="subscript"/>
      <sz val="11"/>
      <color theme="1"/>
      <name val="Calibri"/>
      <family val="2"/>
      <scheme val="minor"/>
    </font>
    <font>
      <b/>
      <sz val="11"/>
      <name val="Calibri"/>
      <family val="2"/>
      <scheme val="minor"/>
    </font>
    <font>
      <u/>
      <sz val="10"/>
      <name val="Calibri"/>
      <family val="2"/>
      <scheme val="minor"/>
    </font>
    <font>
      <b/>
      <sz val="12"/>
      <color rgb="FF0070C0"/>
      <name val="Calibri"/>
      <family val="2"/>
      <scheme val="minor"/>
    </font>
    <font>
      <sz val="11"/>
      <color rgb="FF0070C0"/>
      <name val="Calibri"/>
      <family val="2"/>
      <scheme val="minor"/>
    </font>
    <font>
      <sz val="14"/>
      <color theme="1"/>
      <name val="Calibri"/>
      <family val="2"/>
      <scheme val="minor"/>
    </font>
    <font>
      <b/>
      <sz val="14"/>
      <color rgb="FF0070C0"/>
      <name val="Calibri"/>
      <family val="2"/>
      <scheme val="minor"/>
    </font>
    <font>
      <b/>
      <sz val="14"/>
      <color theme="4"/>
      <name val="Calibri"/>
      <family val="2"/>
      <scheme val="minor"/>
    </font>
    <font>
      <b/>
      <u/>
      <sz val="9"/>
      <color indexed="81"/>
      <name val="Tahoma"/>
      <family val="2"/>
    </font>
    <font>
      <sz val="9"/>
      <color indexed="10"/>
      <name val="Tahoma"/>
      <family val="2"/>
    </font>
    <font>
      <b/>
      <u/>
      <sz val="11"/>
      <color indexed="81"/>
      <name val="Tahoma"/>
      <family val="2"/>
    </font>
    <font>
      <sz val="10"/>
      <color indexed="81"/>
      <name val="Tahoma"/>
      <family val="2"/>
    </font>
    <font>
      <b/>
      <sz val="11"/>
      <color indexed="81"/>
      <name val="Tahoma"/>
      <family val="2"/>
    </font>
    <font>
      <sz val="10"/>
      <color indexed="10"/>
      <name val="Tahoma"/>
      <family val="2"/>
    </font>
    <font>
      <b/>
      <sz val="10"/>
      <color indexed="10"/>
      <name val="Tahoma"/>
      <family val="2"/>
    </font>
    <font>
      <b/>
      <sz val="9"/>
      <color indexed="10"/>
      <name val="Tahoma"/>
      <family val="2"/>
    </font>
    <font>
      <b/>
      <u/>
      <vertAlign val="subscript"/>
      <sz val="9"/>
      <color indexed="81"/>
      <name val="Tahoma"/>
      <family val="2"/>
    </font>
    <font>
      <vertAlign val="subscript"/>
      <sz val="9"/>
      <color indexed="81"/>
      <name val="Tahoma"/>
      <family val="2"/>
    </font>
    <font>
      <b/>
      <u/>
      <sz val="10"/>
      <color indexed="81"/>
      <name val="Tahoma"/>
      <family val="2"/>
    </font>
    <font>
      <sz val="9"/>
      <color indexed="81"/>
      <name val="Calibri"/>
      <family val="2"/>
    </font>
    <font>
      <u/>
      <sz val="11"/>
      <color theme="10"/>
      <name val="Calibri"/>
      <family val="2"/>
      <scheme val="minor"/>
    </font>
    <font>
      <sz val="11"/>
      <color rgb="FF000000"/>
      <name val="Arial"/>
      <family val="2"/>
    </font>
    <font>
      <b/>
      <sz val="10"/>
      <color rgb="FF000000"/>
      <name val="Arial"/>
      <family val="2"/>
    </font>
    <font>
      <sz val="10"/>
      <color rgb="FF000000"/>
      <name val="Arial"/>
      <family val="2"/>
    </font>
    <font>
      <b/>
      <u/>
      <sz val="10"/>
      <color rgb="FF0000FF"/>
      <name val="Arial"/>
      <family val="2"/>
    </font>
    <font>
      <b/>
      <sz val="10"/>
      <color rgb="FFFFFFFF"/>
      <name val="Arial"/>
      <family val="2"/>
    </font>
    <font>
      <b/>
      <u/>
      <sz val="11"/>
      <color rgb="FF0000FF"/>
      <name val="Arial"/>
      <family val="2"/>
    </font>
    <font>
      <b/>
      <sz val="9"/>
      <color indexed="52"/>
      <name val="Tahoma"/>
      <family val="2"/>
    </font>
  </fonts>
  <fills count="20">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52"/>
        <bgColor indexed="64"/>
      </patternFill>
    </fill>
    <fill>
      <patternFill patternType="solid">
        <fgColor indexed="50"/>
        <bgColor indexed="64"/>
      </patternFill>
    </fill>
    <fill>
      <patternFill patternType="solid">
        <fgColor rgb="FFFF0000"/>
        <bgColor indexed="64"/>
      </patternFill>
    </fill>
    <fill>
      <patternFill patternType="solid">
        <fgColor rgb="FFFFFF00"/>
        <bgColor indexed="64"/>
      </patternFill>
    </fill>
    <fill>
      <patternFill patternType="solid">
        <fgColor theme="0" tint="-0.499984740745262"/>
        <bgColor indexed="64"/>
      </patternFill>
    </fill>
    <fill>
      <patternFill patternType="solid">
        <fgColor rgb="FFFFC000"/>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0.34998626667073579"/>
        <bgColor indexed="64"/>
      </patternFill>
    </fill>
    <fill>
      <patternFill patternType="solid">
        <fgColor theme="1" tint="4.9989318521683403E-2"/>
        <bgColor indexed="64"/>
      </patternFill>
    </fill>
    <fill>
      <patternFill patternType="solid">
        <fgColor theme="5" tint="0.79998168889431442"/>
        <bgColor indexed="64"/>
      </patternFill>
    </fill>
    <fill>
      <patternFill patternType="solid">
        <fgColor theme="2" tint="-0.89999084444715716"/>
        <bgColor indexed="64"/>
      </patternFill>
    </fill>
    <fill>
      <patternFill patternType="solid">
        <fgColor theme="0"/>
        <bgColor indexed="64"/>
      </patternFill>
    </fill>
    <fill>
      <patternFill patternType="solid">
        <fgColor theme="1"/>
        <bgColor indexed="64"/>
      </patternFill>
    </fill>
    <fill>
      <patternFill patternType="solid">
        <fgColor rgb="FFDE0000"/>
        <bgColor rgb="FF000000"/>
      </patternFill>
    </fill>
    <fill>
      <patternFill patternType="solid">
        <fgColor rgb="FF000000"/>
        <bgColor rgb="FF000000"/>
      </patternFill>
    </fill>
  </fills>
  <borders count="22">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0"/>
      </left>
      <right style="thin">
        <color theme="0"/>
      </right>
      <top style="thin">
        <color theme="0"/>
      </top>
      <bottom style="thin">
        <color theme="0"/>
      </bottom>
      <diagonal/>
    </border>
    <border>
      <left/>
      <right/>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style="thin">
        <color indexed="64"/>
      </right>
      <top style="thin">
        <color indexed="64"/>
      </top>
      <bottom/>
      <diagonal/>
    </border>
  </borders>
  <cellStyleXfs count="9">
    <xf numFmtId="0" fontId="0" fillId="0" borderId="0"/>
    <xf numFmtId="0" fontId="3" fillId="0" borderId="0"/>
    <xf numFmtId="43" fontId="4" fillId="0" borderId="0" applyFont="0" applyFill="0" applyBorder="0" applyAlignment="0" applyProtection="0"/>
    <xf numFmtId="0" fontId="4" fillId="0" borderId="0"/>
    <xf numFmtId="0" fontId="1" fillId="0" borderId="0"/>
    <xf numFmtId="43" fontId="1" fillId="0" borderId="0" applyFont="0" applyFill="0" applyBorder="0" applyAlignment="0" applyProtection="0"/>
    <xf numFmtId="0" fontId="4" fillId="0" borderId="0"/>
    <xf numFmtId="0" fontId="4" fillId="0" borderId="0"/>
    <xf numFmtId="0" fontId="51" fillId="0" borderId="0" applyNumberFormat="0" applyFill="0" applyBorder="0" applyAlignment="0" applyProtection="0"/>
  </cellStyleXfs>
  <cellXfs count="303">
    <xf numFmtId="0" fontId="0" fillId="0" borderId="0" xfId="0"/>
    <xf numFmtId="0" fontId="0" fillId="9" borderId="0" xfId="0" applyFill="1"/>
    <xf numFmtId="0" fontId="16" fillId="0" borderId="0" xfId="0" applyFont="1"/>
    <xf numFmtId="0" fontId="0" fillId="10" borderId="0" xfId="0" applyFill="1"/>
    <xf numFmtId="0" fontId="0" fillId="0" borderId="0" xfId="0"/>
    <xf numFmtId="0" fontId="4" fillId="0" borderId="0" xfId="3"/>
    <xf numFmtId="0" fontId="5" fillId="0" borderId="0" xfId="3" applyFont="1" applyFill="1" applyAlignment="1">
      <alignment horizontal="center"/>
    </xf>
    <xf numFmtId="0" fontId="5" fillId="3" borderId="0" xfId="3" applyFont="1" applyFill="1" applyAlignment="1">
      <alignment horizontal="center"/>
    </xf>
    <xf numFmtId="0" fontId="5" fillId="5" borderId="0" xfId="3" applyFont="1" applyFill="1" applyAlignment="1">
      <alignment horizontal="center"/>
    </xf>
    <xf numFmtId="0" fontId="4" fillId="0" borderId="0" xfId="3"/>
    <xf numFmtId="0" fontId="5" fillId="0" borderId="0" xfId="3" applyFont="1"/>
    <xf numFmtId="0" fontId="5" fillId="0" borderId="0" xfId="3" applyFont="1" applyFill="1" applyAlignment="1">
      <alignment horizontal="center"/>
    </xf>
    <xf numFmtId="0" fontId="5" fillId="3" borderId="0" xfId="3" applyFont="1" applyFill="1" applyAlignment="1">
      <alignment horizontal="center"/>
    </xf>
    <xf numFmtId="0" fontId="5" fillId="4" borderId="0" xfId="3" applyFont="1" applyFill="1" applyAlignment="1">
      <alignment horizontal="center"/>
    </xf>
    <xf numFmtId="0" fontId="5" fillId="5" borderId="0" xfId="3" applyFont="1" applyFill="1" applyAlignment="1">
      <alignment horizontal="center"/>
    </xf>
    <xf numFmtId="0" fontId="5" fillId="0" borderId="0" xfId="3" applyFont="1" applyBorder="1"/>
    <xf numFmtId="0" fontId="5" fillId="0" borderId="0" xfId="3" applyFont="1" applyBorder="1" applyAlignment="1">
      <alignment horizontal="center"/>
    </xf>
    <xf numFmtId="0" fontId="4" fillId="0" borderId="0" xfId="3"/>
    <xf numFmtId="0" fontId="9" fillId="0" borderId="0" xfId="3" applyFont="1" applyBorder="1"/>
    <xf numFmtId="0" fontId="5" fillId="0" borderId="0" xfId="3" applyFont="1" applyAlignment="1">
      <alignment horizontal="center"/>
    </xf>
    <xf numFmtId="2" fontId="0" fillId="10" borderId="0" xfId="0" applyNumberFormat="1" applyFill="1"/>
    <xf numFmtId="0" fontId="0" fillId="11" borderId="0" xfId="0" applyFill="1"/>
    <xf numFmtId="165" fontId="0" fillId="9" borderId="0" xfId="0" applyNumberFormat="1" applyFill="1"/>
    <xf numFmtId="0" fontId="5" fillId="0" borderId="0" xfId="3" applyFont="1" applyFill="1" applyAlignment="1">
      <alignment horizontal="right"/>
    </xf>
    <xf numFmtId="0" fontId="4" fillId="0" borderId="0" xfId="3" applyFont="1" applyFill="1" applyAlignment="1">
      <alignment horizontal="center"/>
    </xf>
    <xf numFmtId="0" fontId="5" fillId="0" borderId="0" xfId="3" applyFont="1" applyFill="1"/>
    <xf numFmtId="0" fontId="0" fillId="0" borderId="0" xfId="0" applyFill="1"/>
    <xf numFmtId="164" fontId="0" fillId="9" borderId="0" xfId="0" applyNumberFormat="1" applyFill="1"/>
    <xf numFmtId="2" fontId="0" fillId="9" borderId="0" xfId="0" applyNumberFormat="1" applyFill="1"/>
    <xf numFmtId="1" fontId="0" fillId="9" borderId="0" xfId="0" applyNumberFormat="1" applyFill="1"/>
    <xf numFmtId="0" fontId="15" fillId="0" borderId="0" xfId="0" applyFont="1" applyFill="1" applyBorder="1"/>
    <xf numFmtId="0" fontId="0" fillId="0" borderId="0" xfId="0"/>
    <xf numFmtId="164" fontId="0" fillId="0" borderId="0" xfId="0" applyNumberFormat="1"/>
    <xf numFmtId="11" fontId="14" fillId="10" borderId="0" xfId="0" applyNumberFormat="1" applyFont="1" applyFill="1"/>
    <xf numFmtId="0" fontId="17" fillId="0" borderId="0" xfId="0" applyFont="1"/>
    <xf numFmtId="0" fontId="5" fillId="0" borderId="0" xfId="3" applyFont="1" applyAlignment="1">
      <alignment horizontal="center"/>
    </xf>
    <xf numFmtId="167" fontId="0" fillId="9" borderId="0" xfId="0" applyNumberFormat="1" applyFill="1"/>
    <xf numFmtId="11" fontId="0" fillId="9" borderId="0" xfId="0" applyNumberFormat="1" applyFill="1"/>
    <xf numFmtId="0" fontId="5" fillId="0" borderId="0" xfId="3" applyFont="1" applyFill="1" applyAlignment="1">
      <alignment horizontal="left"/>
    </xf>
    <xf numFmtId="166" fontId="0" fillId="9" borderId="0" xfId="0" applyNumberFormat="1" applyFill="1"/>
    <xf numFmtId="0" fontId="14" fillId="10" borderId="0" xfId="0" applyFont="1" applyFill="1"/>
    <xf numFmtId="0" fontId="19" fillId="0" borderId="0" xfId="0" applyFont="1"/>
    <xf numFmtId="0" fontId="21" fillId="0" borderId="0" xfId="0" applyFont="1"/>
    <xf numFmtId="0" fontId="0" fillId="12" borderId="0" xfId="0" applyFill="1"/>
    <xf numFmtId="1" fontId="0" fillId="0" borderId="0" xfId="0" applyNumberFormat="1"/>
    <xf numFmtId="0" fontId="5" fillId="0" borderId="0" xfId="3" applyFont="1" applyAlignment="1">
      <alignment horizontal="center"/>
    </xf>
    <xf numFmtId="0" fontId="22" fillId="0" borderId="0" xfId="0" applyFont="1"/>
    <xf numFmtId="0" fontId="23" fillId="0" borderId="0" xfId="0" applyFont="1"/>
    <xf numFmtId="164" fontId="4" fillId="0" borderId="0" xfId="3" applyNumberFormat="1"/>
    <xf numFmtId="0" fontId="0" fillId="0" borderId="0" xfId="0" applyBorder="1"/>
    <xf numFmtId="2" fontId="0" fillId="0" borderId="0" xfId="0" applyNumberFormat="1" applyBorder="1"/>
    <xf numFmtId="0" fontId="24" fillId="0" borderId="0" xfId="0" applyFont="1"/>
    <xf numFmtId="2" fontId="0" fillId="0" borderId="5" xfId="0" applyNumberFormat="1" applyBorder="1"/>
    <xf numFmtId="2" fontId="0" fillId="0" borderId="7" xfId="0" applyNumberFormat="1" applyBorder="1"/>
    <xf numFmtId="0" fontId="4" fillId="0" borderId="8" xfId="3" applyBorder="1"/>
    <xf numFmtId="0" fontId="0" fillId="0" borderId="8" xfId="0" applyBorder="1"/>
    <xf numFmtId="0" fontId="4" fillId="0" borderId="8" xfId="3" applyFill="1" applyBorder="1"/>
    <xf numFmtId="0" fontId="4" fillId="0" borderId="9" xfId="3" applyFill="1" applyBorder="1"/>
    <xf numFmtId="0" fontId="0" fillId="0" borderId="5" xfId="0" applyBorder="1"/>
    <xf numFmtId="0" fontId="4" fillId="0" borderId="7" xfId="3" applyBorder="1"/>
    <xf numFmtId="0" fontId="4" fillId="0" borderId="7" xfId="3" applyFill="1" applyBorder="1"/>
    <xf numFmtId="0" fontId="0" fillId="0" borderId="6" xfId="0" applyBorder="1"/>
    <xf numFmtId="0" fontId="0" fillId="0" borderId="7" xfId="0" applyBorder="1"/>
    <xf numFmtId="0" fontId="0" fillId="0" borderId="9" xfId="0" applyBorder="1"/>
    <xf numFmtId="164" fontId="0" fillId="0" borderId="0" xfId="0" applyNumberFormat="1" applyBorder="1"/>
    <xf numFmtId="164" fontId="0" fillId="0" borderId="8" xfId="0" applyNumberFormat="1" applyBorder="1"/>
    <xf numFmtId="0" fontId="4" fillId="0" borderId="5" xfId="3" applyBorder="1"/>
    <xf numFmtId="2" fontId="0" fillId="0" borderId="10" xfId="0" applyNumberFormat="1" applyBorder="1"/>
    <xf numFmtId="0" fontId="25" fillId="0" borderId="0" xfId="0" applyFont="1"/>
    <xf numFmtId="0" fontId="26" fillId="0" borderId="0" xfId="3" applyFont="1"/>
    <xf numFmtId="168" fontId="0" fillId="0" borderId="0" xfId="0" applyNumberFormat="1"/>
    <xf numFmtId="0" fontId="0" fillId="0" borderId="2" xfId="0" applyBorder="1"/>
    <xf numFmtId="164" fontId="4" fillId="0" borderId="3" xfId="3" applyNumberFormat="1" applyBorder="1"/>
    <xf numFmtId="0" fontId="4" fillId="0" borderId="3" xfId="3" applyBorder="1"/>
    <xf numFmtId="0" fontId="0" fillId="0" borderId="3" xfId="0" applyBorder="1"/>
    <xf numFmtId="0" fontId="4" fillId="0" borderId="2" xfId="3" applyBorder="1"/>
    <xf numFmtId="164" fontId="0" fillId="0" borderId="3" xfId="0" applyNumberFormat="1" applyBorder="1"/>
    <xf numFmtId="0" fontId="0" fillId="0" borderId="4" xfId="0" applyBorder="1"/>
    <xf numFmtId="164" fontId="4" fillId="0" borderId="0" xfId="3" applyNumberFormat="1" applyBorder="1"/>
    <xf numFmtId="0" fontId="4" fillId="0" borderId="0" xfId="3" applyBorder="1"/>
    <xf numFmtId="164" fontId="4" fillId="0" borderId="8" xfId="3" applyNumberFormat="1" applyBorder="1"/>
    <xf numFmtId="0" fontId="4" fillId="0" borderId="0" xfId="3" applyFill="1" applyBorder="1"/>
    <xf numFmtId="0" fontId="4" fillId="0" borderId="5" xfId="3" applyFill="1" applyBorder="1"/>
    <xf numFmtId="0" fontId="4" fillId="0" borderId="6" xfId="3" applyFill="1" applyBorder="1"/>
    <xf numFmtId="0" fontId="0" fillId="0" borderId="10" xfId="0" applyBorder="1"/>
    <xf numFmtId="0" fontId="0" fillId="0" borderId="11" xfId="0" applyBorder="1"/>
    <xf numFmtId="164" fontId="4" fillId="0" borderId="11" xfId="3" applyNumberFormat="1" applyBorder="1"/>
    <xf numFmtId="0" fontId="4" fillId="0" borderId="11" xfId="3" applyBorder="1"/>
    <xf numFmtId="0" fontId="4" fillId="0" borderId="10" xfId="3" applyBorder="1"/>
    <xf numFmtId="164" fontId="0" fillId="0" borderId="11" xfId="0" applyNumberFormat="1" applyBorder="1"/>
    <xf numFmtId="0" fontId="0" fillId="0" borderId="12" xfId="0" applyBorder="1"/>
    <xf numFmtId="1" fontId="0" fillId="0" borderId="4" xfId="0" applyNumberFormat="1" applyBorder="1"/>
    <xf numFmtId="1" fontId="0" fillId="0" borderId="6" xfId="0" applyNumberFormat="1" applyBorder="1"/>
    <xf numFmtId="1" fontId="0" fillId="0" borderId="9" xfId="0" applyNumberFormat="1" applyBorder="1"/>
    <xf numFmtId="0" fontId="0" fillId="14" borderId="0" xfId="0" applyFill="1"/>
    <xf numFmtId="0" fontId="4" fillId="0" borderId="0" xfId="3" applyFont="1" applyFill="1" applyBorder="1" applyAlignment="1" applyProtection="1">
      <alignment horizontal="left"/>
    </xf>
    <xf numFmtId="0" fontId="4" fillId="0" borderId="8" xfId="3" applyFont="1" applyFill="1" applyBorder="1" applyAlignment="1" applyProtection="1">
      <alignment horizontal="left"/>
    </xf>
    <xf numFmtId="0" fontId="5" fillId="0" borderId="0" xfId="3" applyFont="1" applyAlignment="1">
      <alignment horizontal="center"/>
    </xf>
    <xf numFmtId="0" fontId="0" fillId="6" borderId="0" xfId="0" applyFill="1" applyProtection="1">
      <protection hidden="1"/>
    </xf>
    <xf numFmtId="0" fontId="10" fillId="6" borderId="0" xfId="0" applyFont="1" applyFill="1" applyAlignment="1" applyProtection="1">
      <alignment horizontal="left" vertical="center"/>
      <protection hidden="1"/>
    </xf>
    <xf numFmtId="0" fontId="0" fillId="6" borderId="0" xfId="0" applyFill="1" applyAlignment="1" applyProtection="1">
      <alignment horizontal="right"/>
      <protection hidden="1"/>
    </xf>
    <xf numFmtId="0" fontId="0" fillId="6" borderId="0" xfId="0" applyFill="1" applyBorder="1" applyProtection="1">
      <protection hidden="1"/>
    </xf>
    <xf numFmtId="0" fontId="14" fillId="8" borderId="0" xfId="0" applyFont="1" applyFill="1" applyProtection="1">
      <protection hidden="1"/>
    </xf>
    <xf numFmtId="0" fontId="0" fillId="15" borderId="0" xfId="0" applyFill="1" applyProtection="1">
      <protection hidden="1"/>
    </xf>
    <xf numFmtId="0" fontId="0" fillId="8" borderId="0" xfId="0" applyFill="1" applyBorder="1" applyProtection="1">
      <protection hidden="1"/>
    </xf>
    <xf numFmtId="0" fontId="0" fillId="8" borderId="0" xfId="0" applyFill="1" applyBorder="1" applyAlignment="1" applyProtection="1">
      <alignment horizontal="right"/>
      <protection hidden="1"/>
    </xf>
    <xf numFmtId="0" fontId="14" fillId="8" borderId="0" xfId="0" applyFont="1" applyFill="1" applyBorder="1" applyProtection="1">
      <protection hidden="1"/>
    </xf>
    <xf numFmtId="0" fontId="0" fillId="15" borderId="0" xfId="0" applyFill="1" applyBorder="1" applyProtection="1">
      <protection hidden="1"/>
    </xf>
    <xf numFmtId="0" fontId="2" fillId="8" borderId="0" xfId="0" applyFont="1" applyFill="1" applyBorder="1" applyProtection="1">
      <protection hidden="1"/>
    </xf>
    <xf numFmtId="0" fontId="0" fillId="7" borderId="0" xfId="0" applyFill="1" applyBorder="1" applyProtection="1">
      <protection hidden="1"/>
    </xf>
    <xf numFmtId="0" fontId="2" fillId="8" borderId="0" xfId="0" quotePrefix="1" applyFont="1" applyFill="1" applyBorder="1" applyProtection="1">
      <protection hidden="1"/>
    </xf>
    <xf numFmtId="0" fontId="0" fillId="8" borderId="1" xfId="0" applyFill="1" applyBorder="1" applyProtection="1">
      <protection hidden="1"/>
    </xf>
    <xf numFmtId="0" fontId="0" fillId="8" borderId="1" xfId="0" applyFill="1" applyBorder="1" applyAlignment="1" applyProtection="1">
      <alignment horizontal="right"/>
      <protection hidden="1"/>
    </xf>
    <xf numFmtId="0" fontId="14" fillId="8" borderId="1" xfId="0" applyFont="1" applyFill="1" applyBorder="1" applyProtection="1">
      <protection hidden="1"/>
    </xf>
    <xf numFmtId="0" fontId="0" fillId="15" borderId="1" xfId="0" applyFill="1" applyBorder="1" applyProtection="1">
      <protection hidden="1"/>
    </xf>
    <xf numFmtId="0" fontId="0" fillId="16" borderId="0" xfId="0" applyFill="1" applyProtection="1">
      <protection hidden="1"/>
    </xf>
    <xf numFmtId="0" fontId="0" fillId="16" borderId="0" xfId="0" applyFill="1" applyAlignment="1" applyProtection="1">
      <alignment horizontal="right"/>
      <protection hidden="1"/>
    </xf>
    <xf numFmtId="49" fontId="0" fillId="16" borderId="0" xfId="0" applyNumberFormat="1" applyFill="1" applyProtection="1">
      <protection hidden="1"/>
    </xf>
    <xf numFmtId="0" fontId="0" fillId="16" borderId="0" xfId="0" applyFill="1" applyBorder="1" applyProtection="1">
      <protection hidden="1"/>
    </xf>
    <xf numFmtId="0" fontId="0" fillId="16" borderId="2" xfId="0" applyFill="1" applyBorder="1" applyProtection="1">
      <protection hidden="1"/>
    </xf>
    <xf numFmtId="0" fontId="0" fillId="16" borderId="3" xfId="0" applyFill="1" applyBorder="1" applyProtection="1">
      <protection hidden="1"/>
    </xf>
    <xf numFmtId="0" fontId="12" fillId="16" borderId="3" xfId="3" applyFont="1" applyFill="1" applyBorder="1" applyAlignment="1" applyProtection="1">
      <alignment horizontal="right"/>
      <protection hidden="1"/>
    </xf>
    <xf numFmtId="0" fontId="0" fillId="16" borderId="4" xfId="0" applyFill="1" applyBorder="1" applyProtection="1">
      <protection hidden="1"/>
    </xf>
    <xf numFmtId="0" fontId="0" fillId="16" borderId="5" xfId="0" applyFill="1" applyBorder="1" applyProtection="1">
      <protection hidden="1"/>
    </xf>
    <xf numFmtId="0" fontId="12" fillId="16" borderId="0" xfId="3" applyFont="1" applyFill="1" applyBorder="1" applyAlignment="1" applyProtection="1">
      <alignment horizontal="right"/>
      <protection hidden="1"/>
    </xf>
    <xf numFmtId="0" fontId="0" fillId="16" borderId="6" xfId="0" applyFill="1" applyBorder="1" applyProtection="1">
      <protection hidden="1"/>
    </xf>
    <xf numFmtId="0" fontId="12" fillId="16" borderId="0" xfId="0" applyFont="1" applyFill="1" applyBorder="1" applyProtection="1">
      <protection hidden="1"/>
    </xf>
    <xf numFmtId="0" fontId="0" fillId="16" borderId="8" xfId="0" applyFill="1" applyBorder="1" applyProtection="1">
      <protection hidden="1"/>
    </xf>
    <xf numFmtId="0" fontId="0" fillId="16" borderId="9" xfId="0" applyFill="1" applyBorder="1" applyProtection="1">
      <protection hidden="1"/>
    </xf>
    <xf numFmtId="0" fontId="12" fillId="16" borderId="0" xfId="0" applyFont="1" applyFill="1" applyProtection="1">
      <protection hidden="1"/>
    </xf>
    <xf numFmtId="0" fontId="0" fillId="16" borderId="7" xfId="0" applyFill="1" applyBorder="1" applyProtection="1">
      <protection hidden="1"/>
    </xf>
    <xf numFmtId="0" fontId="12" fillId="16" borderId="8" xfId="3" applyFont="1" applyFill="1" applyBorder="1" applyAlignment="1" applyProtection="1">
      <alignment horizontal="right"/>
      <protection hidden="1"/>
    </xf>
    <xf numFmtId="0" fontId="0" fillId="16" borderId="0" xfId="0" applyFill="1" applyBorder="1" applyAlignment="1" applyProtection="1">
      <alignment horizontal="right"/>
      <protection hidden="1"/>
    </xf>
    <xf numFmtId="0" fontId="16" fillId="16" borderId="6" xfId="0" applyFont="1" applyFill="1" applyBorder="1" applyProtection="1">
      <protection hidden="1"/>
    </xf>
    <xf numFmtId="0" fontId="0" fillId="16" borderId="8" xfId="0" applyFill="1" applyBorder="1" applyAlignment="1" applyProtection="1">
      <alignment horizontal="right"/>
      <protection hidden="1"/>
    </xf>
    <xf numFmtId="0" fontId="16" fillId="16" borderId="9" xfId="0" applyFont="1" applyFill="1" applyBorder="1" applyProtection="1">
      <protection hidden="1"/>
    </xf>
    <xf numFmtId="0" fontId="0" fillId="16" borderId="3" xfId="0" applyFill="1" applyBorder="1" applyAlignment="1" applyProtection="1">
      <alignment horizontal="right"/>
      <protection hidden="1"/>
    </xf>
    <xf numFmtId="0" fontId="15" fillId="16" borderId="2" xfId="0" applyFont="1" applyFill="1" applyBorder="1" applyProtection="1">
      <protection hidden="1"/>
    </xf>
    <xf numFmtId="0" fontId="14" fillId="16" borderId="3" xfId="0" applyFont="1" applyFill="1" applyBorder="1" applyAlignment="1" applyProtection="1">
      <alignment horizontal="right"/>
      <protection hidden="1"/>
    </xf>
    <xf numFmtId="0" fontId="15" fillId="16" borderId="5" xfId="0" applyFont="1" applyFill="1" applyBorder="1" applyProtection="1">
      <protection hidden="1"/>
    </xf>
    <xf numFmtId="0" fontId="22" fillId="16" borderId="0" xfId="0" applyFont="1" applyFill="1" applyBorder="1" applyAlignment="1" applyProtection="1">
      <alignment horizontal="right"/>
      <protection hidden="1"/>
    </xf>
    <xf numFmtId="0" fontId="0" fillId="16" borderId="0" xfId="0" applyFill="1" applyBorder="1" applyAlignment="1" applyProtection="1">
      <alignment horizontal="center"/>
      <protection hidden="1"/>
    </xf>
    <xf numFmtId="1" fontId="0" fillId="16" borderId="0" xfId="0" applyNumberFormat="1" applyFill="1" applyProtection="1">
      <protection hidden="1"/>
    </xf>
    <xf numFmtId="0" fontId="0" fillId="0" borderId="0" xfId="0" applyFill="1" applyProtection="1">
      <protection hidden="1"/>
    </xf>
    <xf numFmtId="0" fontId="27" fillId="13" borderId="0" xfId="0" applyFont="1" applyFill="1" applyProtection="1">
      <protection hidden="1"/>
    </xf>
    <xf numFmtId="0" fontId="0" fillId="13" borderId="0" xfId="0" applyFill="1" applyProtection="1">
      <protection hidden="1"/>
    </xf>
    <xf numFmtId="0" fontId="0" fillId="13" borderId="0" xfId="0" applyFill="1" applyAlignment="1" applyProtection="1">
      <alignment horizontal="right"/>
      <protection hidden="1"/>
    </xf>
    <xf numFmtId="0" fontId="0" fillId="17" borderId="0" xfId="0" applyFill="1" applyProtection="1">
      <protection hidden="1"/>
    </xf>
    <xf numFmtId="0" fontId="0" fillId="17" borderId="0" xfId="0" applyFill="1" applyBorder="1" applyProtection="1">
      <protection hidden="1"/>
    </xf>
    <xf numFmtId="0" fontId="4" fillId="16" borderId="3" xfId="3" applyFont="1" applyFill="1" applyBorder="1" applyAlignment="1" applyProtection="1">
      <alignment horizontal="right"/>
      <protection hidden="1"/>
    </xf>
    <xf numFmtId="0" fontId="4" fillId="16" borderId="4" xfId="3" applyFont="1" applyFill="1" applyBorder="1" applyProtection="1">
      <protection hidden="1"/>
    </xf>
    <xf numFmtId="0" fontId="4" fillId="16" borderId="0" xfId="3" applyFont="1" applyFill="1" applyBorder="1" applyAlignment="1" applyProtection="1">
      <alignment horizontal="right"/>
      <protection hidden="1"/>
    </xf>
    <xf numFmtId="0" fontId="4" fillId="16" borderId="6" xfId="3" applyFont="1" applyFill="1" applyBorder="1" applyProtection="1">
      <protection hidden="1"/>
    </xf>
    <xf numFmtId="0" fontId="4" fillId="16" borderId="8" xfId="3" applyFont="1" applyFill="1" applyBorder="1" applyAlignment="1" applyProtection="1">
      <alignment horizontal="right"/>
      <protection hidden="1"/>
    </xf>
    <xf numFmtId="0" fontId="4" fillId="16" borderId="9" xfId="3" applyFont="1" applyFill="1" applyBorder="1" applyProtection="1">
      <protection hidden="1"/>
    </xf>
    <xf numFmtId="0" fontId="0" fillId="8" borderId="0" xfId="0" applyFill="1" applyProtection="1">
      <protection hidden="1"/>
    </xf>
    <xf numFmtId="0" fontId="0" fillId="8" borderId="0" xfId="0" applyFill="1" applyAlignment="1" applyProtection="1">
      <alignment horizontal="right"/>
      <protection hidden="1"/>
    </xf>
    <xf numFmtId="0" fontId="0" fillId="15" borderId="0" xfId="0" applyFill="1" applyAlignment="1" applyProtection="1">
      <alignment horizontal="right"/>
      <protection hidden="1"/>
    </xf>
    <xf numFmtId="0" fontId="14" fillId="15" borderId="0" xfId="0" applyFont="1" applyFill="1" applyProtection="1">
      <protection hidden="1"/>
    </xf>
    <xf numFmtId="0" fontId="30" fillId="16" borderId="0" xfId="0" applyFont="1" applyFill="1" applyProtection="1">
      <protection hidden="1"/>
    </xf>
    <xf numFmtId="0" fontId="0" fillId="7" borderId="14" xfId="0" applyFill="1" applyBorder="1" applyProtection="1">
      <protection locked="0" hidden="1"/>
    </xf>
    <xf numFmtId="0" fontId="0" fillId="7" borderId="15" xfId="0" applyFill="1" applyBorder="1" applyProtection="1">
      <protection locked="0" hidden="1"/>
    </xf>
    <xf numFmtId="2" fontId="0" fillId="16" borderId="15" xfId="0" applyNumberFormat="1" applyFill="1" applyBorder="1" applyProtection="1">
      <protection hidden="1"/>
    </xf>
    <xf numFmtId="0" fontId="0" fillId="16" borderId="15" xfId="0" applyFill="1" applyBorder="1" applyProtection="1">
      <protection hidden="1"/>
    </xf>
    <xf numFmtId="1" fontId="0" fillId="16" borderId="15" xfId="0" applyNumberFormat="1" applyFill="1" applyBorder="1" applyProtection="1">
      <protection hidden="1"/>
    </xf>
    <xf numFmtId="2" fontId="0" fillId="16" borderId="16" xfId="0" applyNumberFormat="1" applyFill="1" applyBorder="1" applyProtection="1">
      <protection hidden="1"/>
    </xf>
    <xf numFmtId="0" fontId="0" fillId="7" borderId="16" xfId="0" applyFill="1" applyBorder="1" applyProtection="1">
      <protection locked="0" hidden="1"/>
    </xf>
    <xf numFmtId="2" fontId="0" fillId="0" borderId="15" xfId="0" applyNumberFormat="1" applyBorder="1" applyProtection="1">
      <protection hidden="1"/>
    </xf>
    <xf numFmtId="164" fontId="0" fillId="0" borderId="16" xfId="0" applyNumberFormat="1" applyBorder="1" applyProtection="1">
      <protection hidden="1"/>
    </xf>
    <xf numFmtId="2" fontId="0" fillId="0" borderId="14" xfId="0" applyNumberFormat="1" applyBorder="1" applyProtection="1">
      <protection hidden="1"/>
    </xf>
    <xf numFmtId="1" fontId="0" fillId="0" borderId="16" xfId="0" applyNumberFormat="1" applyBorder="1" applyProtection="1">
      <protection hidden="1"/>
    </xf>
    <xf numFmtId="0" fontId="0" fillId="16" borderId="15" xfId="0" applyFill="1" applyBorder="1" applyAlignment="1" applyProtection="1">
      <alignment horizontal="center"/>
      <protection hidden="1"/>
    </xf>
    <xf numFmtId="1" fontId="0" fillId="16" borderId="7" xfId="0" applyNumberFormat="1" applyFill="1" applyBorder="1" applyProtection="1">
      <protection hidden="1"/>
    </xf>
    <xf numFmtId="2" fontId="0" fillId="16" borderId="10" xfId="0" applyNumberFormat="1" applyFill="1" applyBorder="1" applyProtection="1">
      <protection hidden="1"/>
    </xf>
    <xf numFmtId="2" fontId="0" fillId="0" borderId="0" xfId="0" applyNumberFormat="1" applyFill="1"/>
    <xf numFmtId="0" fontId="5" fillId="0" borderId="0" xfId="3" applyFont="1" applyAlignment="1">
      <alignment horizontal="center"/>
    </xf>
    <xf numFmtId="0" fontId="0" fillId="0" borderId="0" xfId="0" applyNumberFormat="1" applyFill="1"/>
    <xf numFmtId="0" fontId="0" fillId="16" borderId="16" xfId="0" applyFill="1" applyBorder="1" applyProtection="1">
      <protection hidden="1"/>
    </xf>
    <xf numFmtId="2" fontId="0" fillId="11" borderId="0" xfId="0" applyNumberFormat="1" applyFill="1"/>
    <xf numFmtId="0" fontId="3" fillId="0" borderId="0" xfId="3" applyFont="1"/>
    <xf numFmtId="0" fontId="3" fillId="11" borderId="0" xfId="3" applyFont="1" applyFill="1"/>
    <xf numFmtId="0" fontId="5" fillId="9" borderId="0" xfId="3" applyFont="1" applyFill="1" applyAlignment="1">
      <alignment horizontal="center"/>
    </xf>
    <xf numFmtId="2" fontId="0" fillId="16" borderId="0" xfId="0" applyNumberFormat="1" applyFill="1" applyBorder="1" applyProtection="1">
      <protection hidden="1"/>
    </xf>
    <xf numFmtId="0" fontId="0" fillId="16" borderId="14" xfId="0" applyFill="1" applyBorder="1" applyProtection="1">
      <protection hidden="1"/>
    </xf>
    <xf numFmtId="2" fontId="30" fillId="0" borderId="0" xfId="0" applyNumberFormat="1" applyFont="1" applyFill="1"/>
    <xf numFmtId="169" fontId="0" fillId="9" borderId="0" xfId="0" applyNumberFormat="1" applyFill="1"/>
    <xf numFmtId="0" fontId="0" fillId="6" borderId="0" xfId="0" applyFill="1"/>
    <xf numFmtId="0" fontId="30" fillId="0" borderId="0" xfId="0" applyFont="1" applyFill="1"/>
    <xf numFmtId="0" fontId="5" fillId="0" borderId="0" xfId="3" applyFont="1" applyAlignment="1">
      <alignment horizontal="center"/>
    </xf>
    <xf numFmtId="0" fontId="0" fillId="16" borderId="15" xfId="0" applyFont="1" applyFill="1" applyBorder="1" applyAlignment="1" applyProtection="1">
      <alignment vertical="top"/>
      <protection hidden="1"/>
    </xf>
    <xf numFmtId="0" fontId="0" fillId="0" borderId="15" xfId="0" applyFill="1" applyBorder="1" applyProtection="1">
      <protection hidden="1"/>
    </xf>
    <xf numFmtId="0" fontId="16" fillId="16" borderId="10" xfId="0" applyFont="1" applyFill="1" applyBorder="1" applyAlignment="1" applyProtection="1">
      <alignment horizontal="left"/>
      <protection hidden="1"/>
    </xf>
    <xf numFmtId="0" fontId="0" fillId="16" borderId="7" xfId="0" applyFill="1" applyBorder="1" applyAlignment="1" applyProtection="1">
      <alignment horizontal="left"/>
      <protection hidden="1"/>
    </xf>
    <xf numFmtId="0" fontId="32" fillId="0" borderId="0" xfId="0" applyFont="1"/>
    <xf numFmtId="0" fontId="0" fillId="0" borderId="0" xfId="0" applyFont="1"/>
    <xf numFmtId="0" fontId="33" fillId="0" borderId="0" xfId="0" applyFont="1"/>
    <xf numFmtId="0" fontId="0" fillId="0" borderId="0" xfId="0" applyFill="1" applyAlignment="1" applyProtection="1">
      <alignment horizontal="right"/>
      <protection hidden="1"/>
    </xf>
    <xf numFmtId="0" fontId="16" fillId="16" borderId="15" xfId="0" applyFont="1" applyFill="1" applyBorder="1" applyProtection="1">
      <protection hidden="1"/>
    </xf>
    <xf numFmtId="0" fontId="14" fillId="16" borderId="0" xfId="0" applyFont="1" applyFill="1" applyBorder="1" applyAlignment="1" applyProtection="1">
      <alignment horizontal="right"/>
      <protection hidden="1"/>
    </xf>
    <xf numFmtId="0" fontId="0" fillId="7" borderId="14" xfId="0" applyFont="1" applyFill="1" applyBorder="1" applyAlignment="1" applyProtection="1">
      <alignment horizontal="right" vertical="top"/>
      <protection hidden="1"/>
    </xf>
    <xf numFmtId="170" fontId="0" fillId="10" borderId="0" xfId="0" applyNumberFormat="1" applyFill="1"/>
    <xf numFmtId="0" fontId="0" fillId="0" borderId="0" xfId="0" applyAlignment="1">
      <alignment horizontal="right"/>
    </xf>
    <xf numFmtId="0" fontId="12" fillId="16" borderId="3" xfId="0" applyFont="1" applyFill="1" applyBorder="1" applyProtection="1">
      <protection hidden="1"/>
    </xf>
    <xf numFmtId="168" fontId="0" fillId="0" borderId="15" xfId="0" applyNumberFormat="1" applyFill="1" applyBorder="1" applyProtection="1">
      <protection hidden="1"/>
    </xf>
    <xf numFmtId="168" fontId="0" fillId="0" borderId="15" xfId="0" applyNumberFormat="1" applyBorder="1" applyProtection="1">
      <protection hidden="1"/>
    </xf>
    <xf numFmtId="2" fontId="0" fillId="0" borderId="16" xfId="0" applyNumberFormat="1" applyBorder="1" applyProtection="1">
      <protection hidden="1"/>
    </xf>
    <xf numFmtId="0" fontId="0" fillId="16" borderId="0" xfId="0" applyFill="1" applyBorder="1"/>
    <xf numFmtId="0" fontId="0" fillId="0" borderId="0" xfId="0" applyBorder="1" applyAlignment="1">
      <alignment horizontal="center"/>
    </xf>
    <xf numFmtId="0" fontId="0" fillId="0" borderId="3" xfId="0" applyBorder="1" applyAlignment="1">
      <alignment horizontal="center"/>
    </xf>
    <xf numFmtId="0" fontId="0" fillId="0" borderId="0" xfId="0" applyBorder="1" applyAlignment="1"/>
    <xf numFmtId="0" fontId="0" fillId="0" borderId="6" xfId="0" applyBorder="1" applyAlignment="1"/>
    <xf numFmtId="171" fontId="0" fillId="10" borderId="0" xfId="0" applyNumberFormat="1" applyFill="1"/>
    <xf numFmtId="0" fontId="0" fillId="0" borderId="0" xfId="0" applyBorder="1" applyAlignment="1">
      <alignment horizontal="center" wrapText="1"/>
    </xf>
    <xf numFmtId="0" fontId="0" fillId="0" borderId="0" xfId="0" applyFill="1" applyBorder="1"/>
    <xf numFmtId="0" fontId="0" fillId="14" borderId="0" xfId="0" applyFill="1" applyBorder="1"/>
    <xf numFmtId="0" fontId="0" fillId="7" borderId="0" xfId="0" applyFill="1" applyBorder="1"/>
    <xf numFmtId="0" fontId="0" fillId="14" borderId="6" xfId="0" applyFill="1" applyBorder="1"/>
    <xf numFmtId="0" fontId="0" fillId="0" borderId="5" xfId="0" applyFill="1" applyBorder="1"/>
    <xf numFmtId="0" fontId="0" fillId="0" borderId="6" xfId="0" applyFill="1" applyBorder="1"/>
    <xf numFmtId="0" fontId="0" fillId="0" borderId="7" xfId="0" applyFill="1" applyBorder="1"/>
    <xf numFmtId="0" fontId="0" fillId="0" borderId="8" xfId="0" applyFill="1" applyBorder="1"/>
    <xf numFmtId="0" fontId="0" fillId="0" borderId="9" xfId="0" applyFill="1" applyBorder="1"/>
    <xf numFmtId="0" fontId="0" fillId="14" borderId="5" xfId="0" applyFill="1" applyBorder="1"/>
    <xf numFmtId="0" fontId="0" fillId="7" borderId="6" xfId="0" applyFill="1" applyBorder="1"/>
    <xf numFmtId="0" fontId="0" fillId="0" borderId="5" xfId="0" applyBorder="1" applyAlignment="1"/>
    <xf numFmtId="168" fontId="0" fillId="16" borderId="0" xfId="0" applyNumberFormat="1" applyFill="1" applyBorder="1" applyProtection="1">
      <protection hidden="1"/>
    </xf>
    <xf numFmtId="0" fontId="16" fillId="16" borderId="0" xfId="0" applyFont="1" applyFill="1" applyBorder="1" applyProtection="1">
      <protection hidden="1"/>
    </xf>
    <xf numFmtId="0" fontId="0" fillId="0" borderId="0" xfId="0" applyFill="1" applyBorder="1" applyProtection="1">
      <protection hidden="1"/>
    </xf>
    <xf numFmtId="0" fontId="4" fillId="16" borderId="0" xfId="3" applyFont="1" applyFill="1" applyBorder="1" applyProtection="1">
      <protection hidden="1"/>
    </xf>
    <xf numFmtId="0" fontId="12" fillId="16" borderId="0" xfId="0" applyFont="1" applyFill="1" applyBorder="1" applyAlignment="1" applyProtection="1">
      <alignment horizontal="right"/>
      <protection hidden="1"/>
    </xf>
    <xf numFmtId="0" fontId="35" fillId="16" borderId="0" xfId="0" applyFont="1" applyFill="1" applyBorder="1" applyProtection="1">
      <protection hidden="1"/>
    </xf>
    <xf numFmtId="0" fontId="35" fillId="16" borderId="0" xfId="0" applyFont="1" applyFill="1" applyBorder="1" applyAlignment="1" applyProtection="1">
      <alignment horizontal="center"/>
      <protection hidden="1"/>
    </xf>
    <xf numFmtId="0" fontId="35" fillId="16" borderId="0" xfId="0" applyFont="1" applyFill="1" applyProtection="1">
      <protection hidden="1"/>
    </xf>
    <xf numFmtId="0" fontId="12" fillId="16" borderId="2" xfId="0" applyFont="1" applyFill="1" applyBorder="1" applyProtection="1">
      <protection hidden="1"/>
    </xf>
    <xf numFmtId="0" fontId="34" fillId="16" borderId="0" xfId="0" applyFont="1" applyFill="1" applyBorder="1" applyAlignment="1" applyProtection="1">
      <alignment horizontal="right"/>
      <protection hidden="1"/>
    </xf>
    <xf numFmtId="0" fontId="0" fillId="0" borderId="17" xfId="0" applyBorder="1"/>
    <xf numFmtId="0" fontId="0" fillId="0" borderId="17" xfId="0" applyFill="1" applyBorder="1"/>
    <xf numFmtId="0" fontId="0" fillId="16" borderId="18" xfId="0" applyFill="1" applyBorder="1" applyProtection="1">
      <protection hidden="1"/>
    </xf>
    <xf numFmtId="0" fontId="15" fillId="16" borderId="0" xfId="0" applyFont="1" applyFill="1" applyBorder="1" applyAlignment="1" applyProtection="1">
      <alignment horizontal="right"/>
      <protection hidden="1"/>
    </xf>
    <xf numFmtId="0" fontId="36" fillId="0" borderId="0" xfId="0" applyFont="1"/>
    <xf numFmtId="0" fontId="0" fillId="0" borderId="19" xfId="0" applyBorder="1"/>
    <xf numFmtId="0" fontId="0" fillId="0" borderId="20" xfId="0" applyBorder="1"/>
    <xf numFmtId="0" fontId="0" fillId="0" borderId="20" xfId="0" applyFill="1" applyBorder="1"/>
    <xf numFmtId="0" fontId="0" fillId="0" borderId="21" xfId="0" applyBorder="1"/>
    <xf numFmtId="0" fontId="0" fillId="0" borderId="21" xfId="0" applyFill="1" applyBorder="1"/>
    <xf numFmtId="0" fontId="35" fillId="16" borderId="2" xfId="0" applyFont="1" applyFill="1" applyBorder="1" applyProtection="1">
      <protection hidden="1"/>
    </xf>
    <xf numFmtId="0" fontId="3" fillId="0" borderId="0" xfId="3" applyFont="1" applyFill="1" applyBorder="1" applyAlignment="1" applyProtection="1">
      <alignment horizontal="left"/>
    </xf>
    <xf numFmtId="49" fontId="0" fillId="16" borderId="0" xfId="0" applyNumberFormat="1" applyFill="1" applyAlignment="1" applyProtection="1">
      <alignment horizontal="right"/>
      <protection hidden="1"/>
    </xf>
    <xf numFmtId="0" fontId="37" fillId="16" borderId="0" xfId="0" applyFont="1" applyFill="1" applyBorder="1" applyProtection="1">
      <protection hidden="1"/>
    </xf>
    <xf numFmtId="0" fontId="37" fillId="16" borderId="0" xfId="0" applyFont="1" applyFill="1" applyProtection="1">
      <protection hidden="1"/>
    </xf>
    <xf numFmtId="0" fontId="0" fillId="0" borderId="0" xfId="0" applyBorder="1" applyProtection="1">
      <protection hidden="1"/>
    </xf>
    <xf numFmtId="0" fontId="38" fillId="16" borderId="0" xfId="0" applyFont="1" applyFill="1" applyBorder="1" applyAlignment="1" applyProtection="1">
      <alignment horizontal="left"/>
      <protection hidden="1"/>
    </xf>
    <xf numFmtId="0" fontId="16" fillId="16" borderId="16" xfId="0" applyFont="1" applyFill="1" applyBorder="1" applyProtection="1">
      <protection hidden="1"/>
    </xf>
    <xf numFmtId="0" fontId="0" fillId="0" borderId="14" xfId="0" applyFill="1" applyBorder="1" applyProtection="1">
      <protection hidden="1"/>
    </xf>
    <xf numFmtId="2" fontId="0" fillId="16" borderId="14" xfId="0" applyNumberFormat="1" applyFill="1" applyBorder="1" applyProtection="1">
      <protection hidden="1"/>
    </xf>
    <xf numFmtId="0" fontId="1" fillId="16" borderId="3" xfId="3" applyFont="1" applyFill="1" applyBorder="1" applyAlignment="1" applyProtection="1">
      <alignment horizontal="right"/>
      <protection hidden="1"/>
    </xf>
    <xf numFmtId="0" fontId="16" fillId="16" borderId="14" xfId="0" applyFont="1" applyFill="1" applyBorder="1" applyProtection="1">
      <protection hidden="1"/>
    </xf>
    <xf numFmtId="0" fontId="52" fillId="0" borderId="0" xfId="0" applyFont="1" applyFill="1" applyBorder="1"/>
    <xf numFmtId="0" fontId="53" fillId="0" borderId="0" xfId="0" applyFont="1" applyFill="1" applyBorder="1" applyAlignment="1">
      <alignment horizontal="center"/>
    </xf>
    <xf numFmtId="49" fontId="53" fillId="0" borderId="0" xfId="0" applyNumberFormat="1" applyFont="1" applyFill="1" applyBorder="1" applyAlignment="1">
      <alignment horizontal="left"/>
    </xf>
    <xf numFmtId="0" fontId="54" fillId="0" borderId="0" xfId="0" applyFont="1" applyFill="1" applyBorder="1"/>
    <xf numFmtId="0" fontId="55" fillId="0" borderId="0" xfId="8" applyFont="1" applyFill="1" applyBorder="1" applyAlignment="1">
      <alignment vertical="center"/>
    </xf>
    <xf numFmtId="0" fontId="55" fillId="0" borderId="0" xfId="8" applyFont="1" applyFill="1" applyBorder="1" applyAlignment="1">
      <alignment horizontal="right" vertical="center"/>
    </xf>
    <xf numFmtId="0" fontId="53" fillId="0" borderId="0" xfId="0" applyFont="1" applyFill="1" applyBorder="1" applyAlignment="1">
      <alignment horizontal="left"/>
    </xf>
    <xf numFmtId="0" fontId="52" fillId="0" borderId="0" xfId="0" applyFont="1" applyFill="1" applyBorder="1" applyAlignment="1">
      <alignment horizontal="center"/>
    </xf>
    <xf numFmtId="0" fontId="52" fillId="0" borderId="0" xfId="0" applyFont="1" applyFill="1" applyBorder="1" applyAlignment="1">
      <alignment horizontal="left"/>
    </xf>
    <xf numFmtId="0" fontId="54" fillId="0" borderId="0" xfId="0" applyFont="1" applyFill="1" applyBorder="1" applyAlignment="1">
      <alignment horizontal="center"/>
    </xf>
    <xf numFmtId="0" fontId="3" fillId="0" borderId="0" xfId="0" applyFont="1" applyFill="1" applyBorder="1" applyAlignment="1"/>
    <xf numFmtId="0" fontId="56" fillId="19" borderId="0" xfId="0" applyFont="1" applyFill="1" applyBorder="1" applyAlignment="1">
      <alignment horizontal="center"/>
    </xf>
    <xf numFmtId="49" fontId="54" fillId="0" borderId="0" xfId="0" applyNumberFormat="1" applyFont="1" applyFill="1" applyBorder="1" applyAlignment="1">
      <alignment horizontal="center"/>
    </xf>
    <xf numFmtId="0" fontId="54" fillId="0" borderId="0" xfId="0" applyFont="1" applyFill="1" applyBorder="1" applyAlignment="1">
      <alignment wrapText="1"/>
    </xf>
    <xf numFmtId="0" fontId="57" fillId="0" borderId="0" xfId="8" applyFont="1" applyFill="1" applyBorder="1" applyAlignment="1">
      <alignment vertical="center"/>
    </xf>
    <xf numFmtId="17" fontId="0" fillId="16" borderId="0" xfId="0" quotePrefix="1" applyNumberFormat="1" applyFill="1" applyBorder="1" applyProtection="1">
      <protection hidden="1"/>
    </xf>
    <xf numFmtId="2" fontId="0" fillId="7" borderId="15" xfId="0" applyNumberFormat="1" applyFill="1" applyBorder="1" applyProtection="1">
      <protection locked="0" hidden="1"/>
    </xf>
    <xf numFmtId="1" fontId="0" fillId="7" borderId="15" xfId="0" applyNumberFormat="1" applyFill="1" applyBorder="1" applyProtection="1">
      <protection locked="0" hidden="1"/>
    </xf>
    <xf numFmtId="2" fontId="0" fillId="7" borderId="13" xfId="0" applyNumberFormat="1" applyFill="1" applyBorder="1" applyProtection="1">
      <protection locked="0" hidden="1"/>
    </xf>
    <xf numFmtId="1" fontId="0" fillId="7" borderId="16" xfId="0" applyNumberFormat="1" applyFill="1" applyBorder="1" applyProtection="1">
      <protection locked="0" hidden="1"/>
    </xf>
    <xf numFmtId="2" fontId="0" fillId="7" borderId="16" xfId="0" applyNumberFormat="1" applyFill="1" applyBorder="1" applyProtection="1">
      <protection locked="0" hidden="1"/>
    </xf>
    <xf numFmtId="0" fontId="51" fillId="8" borderId="0" xfId="8" applyFill="1" applyBorder="1" applyAlignment="1" applyProtection="1">
      <alignment horizontal="center"/>
      <protection locked="0" hidden="1"/>
    </xf>
    <xf numFmtId="0" fontId="52" fillId="0" borderId="0" xfId="0" applyFont="1" applyFill="1" applyBorder="1" applyAlignment="1">
      <alignment horizontal="center"/>
    </xf>
    <xf numFmtId="0" fontId="52" fillId="18" borderId="0" xfId="0" applyFont="1" applyFill="1" applyBorder="1" applyAlignment="1">
      <alignment horizontal="center"/>
    </xf>
    <xf numFmtId="0" fontId="56" fillId="19" borderId="0" xfId="0" applyFont="1" applyFill="1" applyBorder="1" applyAlignment="1">
      <alignment horizontal="left"/>
    </xf>
    <xf numFmtId="0" fontId="54" fillId="0" borderId="0" xfId="0" applyFont="1" applyFill="1" applyBorder="1" applyAlignment="1">
      <alignment horizontal="left"/>
    </xf>
    <xf numFmtId="0" fontId="54" fillId="0" borderId="0" xfId="0" applyFont="1" applyFill="1" applyBorder="1" applyAlignment="1">
      <alignment wrapText="1"/>
    </xf>
    <xf numFmtId="0" fontId="6" fillId="2" borderId="0" xfId="3" applyFont="1" applyFill="1" applyAlignment="1">
      <alignment horizontal="center"/>
    </xf>
    <xf numFmtId="0" fontId="5" fillId="0" borderId="0" xfId="3" applyFont="1" applyAlignment="1">
      <alignment horizontal="center"/>
    </xf>
    <xf numFmtId="0" fontId="22" fillId="0" borderId="11" xfId="0" applyFont="1" applyBorder="1" applyAlignment="1">
      <alignment horizontal="center"/>
    </xf>
    <xf numFmtId="0" fontId="22" fillId="0" borderId="12" xfId="0" applyFont="1" applyBorder="1" applyAlignment="1">
      <alignment horizontal="center"/>
    </xf>
    <xf numFmtId="0" fontId="22" fillId="0" borderId="10" xfId="0" applyFont="1" applyBorder="1" applyAlignment="1">
      <alignment horizontal="center"/>
    </xf>
    <xf numFmtId="0" fontId="4" fillId="0" borderId="0" xfId="3"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6" fillId="2" borderId="0" xfId="3" applyFont="1" applyFill="1" applyBorder="1" applyAlignment="1">
      <alignment horizontal="center"/>
    </xf>
    <xf numFmtId="0" fontId="0" fillId="0" borderId="2"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5" xfId="0" applyBorder="1" applyAlignment="1">
      <alignment horizontal="center" wrapText="1"/>
    </xf>
    <xf numFmtId="0" fontId="0" fillId="0" borderId="0" xfId="0" applyBorder="1" applyAlignment="1">
      <alignment horizontal="center" wrapText="1"/>
    </xf>
    <xf numFmtId="0" fontId="0" fillId="0" borderId="6" xfId="0" applyBorder="1" applyAlignment="1">
      <alignment horizontal="center" wrapText="1"/>
    </xf>
  </cellXfs>
  <cellStyles count="9">
    <cellStyle name="Comma 2" xfId="5" xr:uid="{00000000-0005-0000-0000-000000000000}"/>
    <cellStyle name="Comma 3" xfId="2" xr:uid="{00000000-0005-0000-0000-000001000000}"/>
    <cellStyle name="Hyperlink" xfId="8" builtinId="8"/>
    <cellStyle name="Normal" xfId="0" builtinId="0"/>
    <cellStyle name="Normal 2" xfId="3" xr:uid="{00000000-0005-0000-0000-000003000000}"/>
    <cellStyle name="Normal 3" xfId="4" xr:uid="{00000000-0005-0000-0000-000004000000}"/>
    <cellStyle name="Normal 4" xfId="1" xr:uid="{00000000-0005-0000-0000-000005000000}"/>
    <cellStyle name="Normal 4 2" xfId="7" xr:uid="{00000000-0005-0000-0000-000006000000}"/>
    <cellStyle name="Normal 4 3" xfId="6" xr:uid="{00000000-0005-0000-0000-000007000000}"/>
  </cellStyles>
  <dxfs count="23">
    <dxf>
      <font>
        <strike val="0"/>
        <color theme="0"/>
      </font>
      <fill>
        <patternFill>
          <bgColor theme="0"/>
        </patternFill>
      </fill>
      <border>
        <left/>
        <right/>
        <top/>
        <bottom/>
        <vertical/>
        <horizontal/>
      </border>
    </dxf>
    <dxf>
      <font>
        <strike val="0"/>
        <color theme="0"/>
      </font>
      <fill>
        <patternFill>
          <bgColor theme="0"/>
        </patternFill>
      </fill>
      <border>
        <left/>
        <right/>
        <top/>
        <bottom/>
        <vertical/>
        <horizontal/>
      </border>
    </dxf>
    <dxf>
      <font>
        <strike val="0"/>
        <color theme="0"/>
      </font>
      <fill>
        <patternFill>
          <bgColor theme="0"/>
        </patternFill>
      </fill>
      <border>
        <left/>
        <right/>
        <top/>
        <bottom/>
        <vertical/>
        <horizontal/>
      </border>
    </dxf>
    <dxf>
      <font>
        <strike val="0"/>
        <color theme="0"/>
      </font>
      <fill>
        <patternFill>
          <bgColor theme="0"/>
        </patternFill>
      </fill>
      <border>
        <left/>
        <right/>
        <top/>
        <bottom/>
        <vertical/>
        <horizontal/>
      </border>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0000"/>
        </patternFill>
      </fill>
    </dxf>
    <dxf>
      <fill>
        <patternFill>
          <bgColor rgb="FFFF0000"/>
        </patternFill>
      </fill>
    </dxf>
    <dxf>
      <font>
        <strike/>
      </font>
      <fill>
        <patternFill>
          <bgColor theme="0" tint="-0.24994659260841701"/>
        </patternFill>
      </fill>
    </dxf>
    <dxf>
      <font>
        <color rgb="FFFF0000"/>
      </font>
    </dxf>
    <dxf>
      <font>
        <color rgb="FFFF0000"/>
      </font>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C000"/>
        </patternFill>
      </fill>
    </dxf>
    <dxf>
      <fill>
        <patternFill>
          <bgColor rgb="FFFF0000"/>
        </patternFill>
      </fill>
    </dxf>
    <dxf>
      <font>
        <color theme="0"/>
      </font>
      <fill>
        <patternFill>
          <bgColor theme="0"/>
        </patternFill>
      </fill>
      <border>
        <left style="hair">
          <color theme="0"/>
        </left>
        <right style="hair">
          <color theme="0"/>
        </right>
        <top style="hair">
          <color theme="0"/>
        </top>
        <bottom style="hair">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border>
        <left/>
        <right/>
        <top/>
        <bottom/>
        <vertical/>
        <horizontal/>
      </border>
    </dxf>
  </dxfs>
  <tableStyles count="0" defaultTableStyle="TableStyleMedium2" defaultPivotStyle="PivotStyleLight16"/>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Plant Transfer</a:t>
            </a:r>
            <a:r>
              <a:rPr lang="en-US" baseline="0"/>
              <a:t> Function</a:t>
            </a:r>
            <a:endParaRPr lang="en-US"/>
          </a:p>
        </c:rich>
      </c:tx>
      <c:overlay val="0"/>
    </c:title>
    <c:autoTitleDeleted val="0"/>
    <c:plotArea>
      <c:layout/>
      <c:scatterChart>
        <c:scatterStyle val="smoothMarker"/>
        <c:varyColors val="0"/>
        <c:ser>
          <c:idx val="0"/>
          <c:order val="0"/>
          <c:tx>
            <c:v>Gain(dB)</c:v>
          </c:tx>
          <c:marker>
            <c:symbol val="none"/>
          </c:marker>
          <c:xVal>
            <c:numRef>
              <c:f>CCM_Loop_Modeling_Isolated!$O$19:$O$560</c:f>
              <c:numCache>
                <c:formatCode>0.00</c:formatCode>
                <c:ptCount val="542"/>
                <c:pt idx="0">
                  <c:v>10.232929922807543</c:v>
                </c:pt>
                <c:pt idx="1">
                  <c:v>10.471285480509</c:v>
                </c:pt>
                <c:pt idx="2">
                  <c:v>10.715193052376069</c:v>
                </c:pt>
                <c:pt idx="3">
                  <c:v>10.964781961431854</c:v>
                </c:pt>
                <c:pt idx="4">
                  <c:v>11.220184543019636</c:v>
                </c:pt>
                <c:pt idx="5">
                  <c:v>11.481536214968834</c:v>
                </c:pt>
                <c:pt idx="6">
                  <c:v>11.748975549395301</c:v>
                </c:pt>
                <c:pt idx="7">
                  <c:v>12.022644346174133</c:v>
                </c:pt>
                <c:pt idx="8">
                  <c:v>12.302687708123818</c:v>
                </c:pt>
                <c:pt idx="9">
                  <c:v>12.58925411794168</c:v>
                </c:pt>
                <c:pt idx="10">
                  <c:v>12.882495516931346</c:v>
                </c:pt>
                <c:pt idx="11">
                  <c:v>13.182567385564075</c:v>
                </c:pt>
                <c:pt idx="12">
                  <c:v>13.489628825916535</c:v>
                </c:pt>
                <c:pt idx="13">
                  <c:v>13.803842646028857</c:v>
                </c:pt>
                <c:pt idx="14">
                  <c:v>14.125375446227544</c:v>
                </c:pt>
                <c:pt idx="15">
                  <c:v>14.454397707459275</c:v>
                </c:pt>
                <c:pt idx="16">
                  <c:v>14.791083881682074</c:v>
                </c:pt>
                <c:pt idx="17">
                  <c:v>15.135612484362087</c:v>
                </c:pt>
                <c:pt idx="18">
                  <c:v>15.488166189124817</c:v>
                </c:pt>
                <c:pt idx="19">
                  <c:v>15.848931924611136</c:v>
                </c:pt>
                <c:pt idx="20">
                  <c:v>16.218100973589298</c:v>
                </c:pt>
                <c:pt idx="21">
                  <c:v>16.595869074375614</c:v>
                </c:pt>
                <c:pt idx="22">
                  <c:v>16.982436524617448</c:v>
                </c:pt>
                <c:pt idx="23">
                  <c:v>17.378008287493756</c:v>
                </c:pt>
                <c:pt idx="24">
                  <c:v>17.782794100389236</c:v>
                </c:pt>
                <c:pt idx="25">
                  <c:v>18.197008586099841</c:v>
                </c:pt>
                <c:pt idx="26">
                  <c:v>18.62087136662868</c:v>
                </c:pt>
                <c:pt idx="27">
                  <c:v>19.054607179632477</c:v>
                </c:pt>
                <c:pt idx="28">
                  <c:v>19.498445997580465</c:v>
                </c:pt>
                <c:pt idx="29">
                  <c:v>19.952623149688804</c:v>
                </c:pt>
                <c:pt idx="30">
                  <c:v>20.4173794466953</c:v>
                </c:pt>
                <c:pt idx="31">
                  <c:v>20.8929613085404</c:v>
                </c:pt>
                <c:pt idx="32">
                  <c:v>21.379620895022335</c:v>
                </c:pt>
                <c:pt idx="33">
                  <c:v>21.877616239495538</c:v>
                </c:pt>
                <c:pt idx="34">
                  <c:v>22.387211385683404</c:v>
                </c:pt>
                <c:pt idx="35">
                  <c:v>22.908676527677727</c:v>
                </c:pt>
                <c:pt idx="36">
                  <c:v>23.442288153199236</c:v>
                </c:pt>
                <c:pt idx="37">
                  <c:v>23.988329190194907</c:v>
                </c:pt>
                <c:pt idx="38">
                  <c:v>24.547089156850316</c:v>
                </c:pt>
                <c:pt idx="39">
                  <c:v>25.118864315095799</c:v>
                </c:pt>
                <c:pt idx="40">
                  <c:v>25.703957827688647</c:v>
                </c:pt>
                <c:pt idx="41">
                  <c:v>26.302679918953825</c:v>
                </c:pt>
                <c:pt idx="42">
                  <c:v>26.915348039269158</c:v>
                </c:pt>
                <c:pt idx="43">
                  <c:v>27.542287033381665</c:v>
                </c:pt>
                <c:pt idx="44">
                  <c:v>28.183829312644548</c:v>
                </c:pt>
                <c:pt idx="45">
                  <c:v>28.840315031266066</c:v>
                </c:pt>
                <c:pt idx="46">
                  <c:v>29.512092266663863</c:v>
                </c:pt>
                <c:pt idx="47">
                  <c:v>30.199517204020164</c:v>
                </c:pt>
                <c:pt idx="48">
                  <c:v>30.902954325135919</c:v>
                </c:pt>
                <c:pt idx="49">
                  <c:v>31.622776601683803</c:v>
                </c:pt>
                <c:pt idx="50">
                  <c:v>32.359365692962832</c:v>
                </c:pt>
                <c:pt idx="51">
                  <c:v>33.113112148259127</c:v>
                </c:pt>
                <c:pt idx="52">
                  <c:v>33.884415613920268</c:v>
                </c:pt>
                <c:pt idx="53">
                  <c:v>34.67368504525318</c:v>
                </c:pt>
                <c:pt idx="54">
                  <c:v>35.481338923357555</c:v>
                </c:pt>
                <c:pt idx="55">
                  <c:v>36.307805477010156</c:v>
                </c:pt>
                <c:pt idx="56">
                  <c:v>37.15352290971726</c:v>
                </c:pt>
                <c:pt idx="57">
                  <c:v>38.018939632056139</c:v>
                </c:pt>
                <c:pt idx="58">
                  <c:v>38.904514499428053</c:v>
                </c:pt>
                <c:pt idx="59">
                  <c:v>39.810717055349755</c:v>
                </c:pt>
                <c:pt idx="60">
                  <c:v>40.738027780411279</c:v>
                </c:pt>
                <c:pt idx="61">
                  <c:v>41.686938347033561</c:v>
                </c:pt>
                <c:pt idx="62">
                  <c:v>42.657951880159267</c:v>
                </c:pt>
                <c:pt idx="63">
                  <c:v>43.651583224016633</c:v>
                </c:pt>
                <c:pt idx="64">
                  <c:v>44.668359215096324</c:v>
                </c:pt>
                <c:pt idx="65">
                  <c:v>45.70881896148753</c:v>
                </c:pt>
                <c:pt idx="66">
                  <c:v>46.773514128719818</c:v>
                </c:pt>
                <c:pt idx="67">
                  <c:v>47.863009232263877</c:v>
                </c:pt>
                <c:pt idx="68">
                  <c:v>48.977881936844632</c:v>
                </c:pt>
                <c:pt idx="69">
                  <c:v>50.118723362727238</c:v>
                </c:pt>
                <c:pt idx="70">
                  <c:v>51.28613839913649</c:v>
                </c:pt>
                <c:pt idx="71">
                  <c:v>52.480746024977286</c:v>
                </c:pt>
                <c:pt idx="72">
                  <c:v>53.703179637025293</c:v>
                </c:pt>
                <c:pt idx="73">
                  <c:v>54.95408738576247</c:v>
                </c:pt>
                <c:pt idx="74">
                  <c:v>56.234132519034915</c:v>
                </c:pt>
                <c:pt idx="75">
                  <c:v>57.543993733715695</c:v>
                </c:pt>
                <c:pt idx="76">
                  <c:v>58.884365535558949</c:v>
                </c:pt>
                <c:pt idx="77">
                  <c:v>60.255958607435822</c:v>
                </c:pt>
                <c:pt idx="78">
                  <c:v>61.659500186148257</c:v>
                </c:pt>
                <c:pt idx="79">
                  <c:v>63.095734448019364</c:v>
                </c:pt>
                <c:pt idx="80">
                  <c:v>64.565422903465588</c:v>
                </c:pt>
                <c:pt idx="81">
                  <c:v>66.069344800759623</c:v>
                </c:pt>
                <c:pt idx="82">
                  <c:v>67.60829753919819</c:v>
                </c:pt>
                <c:pt idx="83">
                  <c:v>69.183097091893657</c:v>
                </c:pt>
                <c:pt idx="84">
                  <c:v>70.794578438413865</c:v>
                </c:pt>
                <c:pt idx="85">
                  <c:v>72.443596007499011</c:v>
                </c:pt>
                <c:pt idx="86">
                  <c:v>74.131024130091816</c:v>
                </c:pt>
                <c:pt idx="87">
                  <c:v>75.857757502918361</c:v>
                </c:pt>
                <c:pt idx="88">
                  <c:v>77.624711662869217</c:v>
                </c:pt>
                <c:pt idx="89">
                  <c:v>79.432823472428197</c:v>
                </c:pt>
                <c:pt idx="90">
                  <c:v>81.283051616409963</c:v>
                </c:pt>
                <c:pt idx="91">
                  <c:v>83.176377110267126</c:v>
                </c:pt>
                <c:pt idx="92">
                  <c:v>85.113803820237734</c:v>
                </c:pt>
                <c:pt idx="93">
                  <c:v>87.096358995608071</c:v>
                </c:pt>
                <c:pt idx="94">
                  <c:v>89.125093813374562</c:v>
                </c:pt>
                <c:pt idx="95">
                  <c:v>91.201083935590972</c:v>
                </c:pt>
                <c:pt idx="96">
                  <c:v>93.325430079699174</c:v>
                </c:pt>
                <c:pt idx="97">
                  <c:v>95.499258602143655</c:v>
                </c:pt>
                <c:pt idx="98">
                  <c:v>97.723722095581124</c:v>
                </c:pt>
                <c:pt idx="99">
                  <c:v>100</c:v>
                </c:pt>
                <c:pt idx="100">
                  <c:v>102.32929922807544</c:v>
                </c:pt>
                <c:pt idx="101">
                  <c:v>104.71285480508998</c:v>
                </c:pt>
                <c:pt idx="102">
                  <c:v>107.15193052376065</c:v>
                </c:pt>
                <c:pt idx="103">
                  <c:v>109.64781961431861</c:v>
                </c:pt>
                <c:pt idx="104">
                  <c:v>112.20184543019634</c:v>
                </c:pt>
                <c:pt idx="105">
                  <c:v>114.81536214968835</c:v>
                </c:pt>
                <c:pt idx="106">
                  <c:v>117.48975549395293</c:v>
                </c:pt>
                <c:pt idx="107">
                  <c:v>120.22644346174135</c:v>
                </c:pt>
                <c:pt idx="108">
                  <c:v>123.02687708123821</c:v>
                </c:pt>
                <c:pt idx="109">
                  <c:v>125.89254117941677</c:v>
                </c:pt>
                <c:pt idx="110">
                  <c:v>128.82495516931343</c:v>
                </c:pt>
                <c:pt idx="111">
                  <c:v>131.82567385564084</c:v>
                </c:pt>
                <c:pt idx="112">
                  <c:v>134.89628825916537</c:v>
                </c:pt>
                <c:pt idx="113">
                  <c:v>138.0384264602886</c:v>
                </c:pt>
                <c:pt idx="114">
                  <c:v>141.25375446227542</c:v>
                </c:pt>
                <c:pt idx="115">
                  <c:v>144.54397707459285</c:v>
                </c:pt>
                <c:pt idx="116">
                  <c:v>147.91083881682084</c:v>
                </c:pt>
                <c:pt idx="117">
                  <c:v>151.3561248436209</c:v>
                </c:pt>
                <c:pt idx="118">
                  <c:v>154.8816618912482</c:v>
                </c:pt>
                <c:pt idx="119">
                  <c:v>158.48931924611153</c:v>
                </c:pt>
                <c:pt idx="120">
                  <c:v>162.18100973589304</c:v>
                </c:pt>
                <c:pt idx="121">
                  <c:v>165.95869074375622</c:v>
                </c:pt>
                <c:pt idx="122">
                  <c:v>169.82436524617444</c:v>
                </c:pt>
                <c:pt idx="123">
                  <c:v>173.78008287493768</c:v>
                </c:pt>
                <c:pt idx="124">
                  <c:v>177.82794100389242</c:v>
                </c:pt>
                <c:pt idx="125">
                  <c:v>181.9700858609983</c:v>
                </c:pt>
                <c:pt idx="126">
                  <c:v>186.20871366628685</c:v>
                </c:pt>
                <c:pt idx="127">
                  <c:v>190.54607179632498</c:v>
                </c:pt>
                <c:pt idx="128">
                  <c:v>194.98445997580458</c:v>
                </c:pt>
                <c:pt idx="129">
                  <c:v>199.52623149688802</c:v>
                </c:pt>
                <c:pt idx="130">
                  <c:v>204.17379446695315</c:v>
                </c:pt>
                <c:pt idx="131">
                  <c:v>208.92961308540396</c:v>
                </c:pt>
                <c:pt idx="132">
                  <c:v>213.79620895022339</c:v>
                </c:pt>
                <c:pt idx="133">
                  <c:v>218.77616239495524</c:v>
                </c:pt>
                <c:pt idx="134">
                  <c:v>223.87211385683412</c:v>
                </c:pt>
                <c:pt idx="135">
                  <c:v>229.08676527677744</c:v>
                </c:pt>
                <c:pt idx="136">
                  <c:v>234.42288153199232</c:v>
                </c:pt>
                <c:pt idx="137">
                  <c:v>239.88329190194912</c:v>
                </c:pt>
                <c:pt idx="138">
                  <c:v>245.4708915685033</c:v>
                </c:pt>
                <c:pt idx="139">
                  <c:v>251.18864315095806</c:v>
                </c:pt>
                <c:pt idx="140">
                  <c:v>257.03957827688663</c:v>
                </c:pt>
                <c:pt idx="141">
                  <c:v>263.02679918953817</c:v>
                </c:pt>
                <c:pt idx="142">
                  <c:v>269.15348039269179</c:v>
                </c:pt>
                <c:pt idx="143">
                  <c:v>275.42287033381683</c:v>
                </c:pt>
                <c:pt idx="144">
                  <c:v>281.83829312644554</c:v>
                </c:pt>
                <c:pt idx="145">
                  <c:v>288.40315031266073</c:v>
                </c:pt>
                <c:pt idx="146">
                  <c:v>295.12092266663871</c:v>
                </c:pt>
                <c:pt idx="147">
                  <c:v>301.99517204020168</c:v>
                </c:pt>
                <c:pt idx="148">
                  <c:v>309.02954325135937</c:v>
                </c:pt>
                <c:pt idx="149">
                  <c:v>316.22776601683825</c:v>
                </c:pt>
                <c:pt idx="150">
                  <c:v>323.59365692962825</c:v>
                </c:pt>
                <c:pt idx="151">
                  <c:v>331.13112148259137</c:v>
                </c:pt>
                <c:pt idx="152">
                  <c:v>338.84415613920277</c:v>
                </c:pt>
                <c:pt idx="153">
                  <c:v>346.73685045253183</c:v>
                </c:pt>
                <c:pt idx="154">
                  <c:v>354.81338923357566</c:v>
                </c:pt>
                <c:pt idx="155">
                  <c:v>363.07805477010152</c:v>
                </c:pt>
                <c:pt idx="156">
                  <c:v>371.53522909717265</c:v>
                </c:pt>
                <c:pt idx="157">
                  <c:v>380.18939632056163</c:v>
                </c:pt>
                <c:pt idx="158">
                  <c:v>389.04514499428063</c:v>
                </c:pt>
                <c:pt idx="159">
                  <c:v>398.10717055349761</c:v>
                </c:pt>
                <c:pt idx="160">
                  <c:v>407.38027780411272</c:v>
                </c:pt>
                <c:pt idx="161">
                  <c:v>416.86938347033572</c:v>
                </c:pt>
                <c:pt idx="162">
                  <c:v>426.57951880159294</c:v>
                </c:pt>
                <c:pt idx="163">
                  <c:v>436.51583224016622</c:v>
                </c:pt>
                <c:pt idx="164">
                  <c:v>446.68359215096331</c:v>
                </c:pt>
                <c:pt idx="165">
                  <c:v>457.0881896148756</c:v>
                </c:pt>
                <c:pt idx="166">
                  <c:v>467.7351412871983</c:v>
                </c:pt>
                <c:pt idx="167">
                  <c:v>478.63009232263886</c:v>
                </c:pt>
                <c:pt idx="168">
                  <c:v>489.77881936844625</c:v>
                </c:pt>
                <c:pt idx="169">
                  <c:v>501.18723362727269</c:v>
                </c:pt>
                <c:pt idx="170">
                  <c:v>512.86138399136519</c:v>
                </c:pt>
                <c:pt idx="171">
                  <c:v>524.80746024977248</c:v>
                </c:pt>
                <c:pt idx="172">
                  <c:v>537.03179637025301</c:v>
                </c:pt>
                <c:pt idx="173">
                  <c:v>549.54087385762534</c:v>
                </c:pt>
                <c:pt idx="174">
                  <c:v>562.34132519034927</c:v>
                </c:pt>
                <c:pt idx="175">
                  <c:v>575.43993733715706</c:v>
                </c:pt>
                <c:pt idx="176">
                  <c:v>588.84365535558959</c:v>
                </c:pt>
                <c:pt idx="177">
                  <c:v>602.55958607435832</c:v>
                </c:pt>
                <c:pt idx="178">
                  <c:v>616.59500186148273</c:v>
                </c:pt>
                <c:pt idx="179">
                  <c:v>630.95734448019323</c:v>
                </c:pt>
                <c:pt idx="180">
                  <c:v>645.65422903465594</c:v>
                </c:pt>
                <c:pt idx="181">
                  <c:v>660.69344800759643</c:v>
                </c:pt>
                <c:pt idx="182">
                  <c:v>676.08297539198213</c:v>
                </c:pt>
                <c:pt idx="183">
                  <c:v>691.83097091893671</c:v>
                </c:pt>
                <c:pt idx="184">
                  <c:v>707.94578438413873</c:v>
                </c:pt>
                <c:pt idx="185">
                  <c:v>724.43596007499025</c:v>
                </c:pt>
                <c:pt idx="186">
                  <c:v>741.31024130091828</c:v>
                </c:pt>
                <c:pt idx="187">
                  <c:v>758.57757502918378</c:v>
                </c:pt>
                <c:pt idx="188">
                  <c:v>776.24711662869231</c:v>
                </c:pt>
                <c:pt idx="189">
                  <c:v>794.32823472428208</c:v>
                </c:pt>
                <c:pt idx="190">
                  <c:v>812.83051616409978</c:v>
                </c:pt>
                <c:pt idx="191">
                  <c:v>831.7637711026714</c:v>
                </c:pt>
                <c:pt idx="192">
                  <c:v>851.13803820237763</c:v>
                </c:pt>
                <c:pt idx="193">
                  <c:v>870.96358995608091</c:v>
                </c:pt>
                <c:pt idx="194">
                  <c:v>891.25093813374656</c:v>
                </c:pt>
                <c:pt idx="195">
                  <c:v>912.01083935590987</c:v>
                </c:pt>
                <c:pt idx="196">
                  <c:v>933.25430079699106</c:v>
                </c:pt>
                <c:pt idx="197">
                  <c:v>954.99258602143675</c:v>
                </c:pt>
                <c:pt idx="198">
                  <c:v>977.23722095581138</c:v>
                </c:pt>
                <c:pt idx="199">
                  <c:v>1000</c:v>
                </c:pt>
                <c:pt idx="200">
                  <c:v>1023.2929922807547</c:v>
                </c:pt>
                <c:pt idx="201">
                  <c:v>1047.1285480509</c:v>
                </c:pt>
                <c:pt idx="202">
                  <c:v>1071.5193052376069</c:v>
                </c:pt>
                <c:pt idx="203">
                  <c:v>1096.4781961431863</c:v>
                </c:pt>
                <c:pt idx="204">
                  <c:v>1122.0184543019636</c:v>
                </c:pt>
                <c:pt idx="205">
                  <c:v>1148.1536214968839</c:v>
                </c:pt>
                <c:pt idx="206">
                  <c:v>1174.8975549395295</c:v>
                </c:pt>
                <c:pt idx="207">
                  <c:v>1202.2644346174138</c:v>
                </c:pt>
                <c:pt idx="208">
                  <c:v>1230.2687708123824</c:v>
                </c:pt>
                <c:pt idx="209">
                  <c:v>1258.925411794168</c:v>
                </c:pt>
                <c:pt idx="210">
                  <c:v>1288.2495516931347</c:v>
                </c:pt>
                <c:pt idx="211">
                  <c:v>1318.2567385564089</c:v>
                </c:pt>
                <c:pt idx="212">
                  <c:v>1348.9628825916541</c:v>
                </c:pt>
                <c:pt idx="213">
                  <c:v>1380.3842646028863</c:v>
                </c:pt>
                <c:pt idx="214">
                  <c:v>1412.5375446227545</c:v>
                </c:pt>
                <c:pt idx="215">
                  <c:v>1445.4397707459289</c:v>
                </c:pt>
                <c:pt idx="216">
                  <c:v>1479.1083881682086</c:v>
                </c:pt>
                <c:pt idx="217">
                  <c:v>1513.5612484362093</c:v>
                </c:pt>
                <c:pt idx="218">
                  <c:v>1548.8166189124822</c:v>
                </c:pt>
                <c:pt idx="219">
                  <c:v>1584.8931924611156</c:v>
                </c:pt>
                <c:pt idx="220">
                  <c:v>1621.8100973589308</c:v>
                </c:pt>
                <c:pt idx="221">
                  <c:v>1659.5869074375626</c:v>
                </c:pt>
                <c:pt idx="222">
                  <c:v>1698.2436524617447</c:v>
                </c:pt>
                <c:pt idx="223">
                  <c:v>1737.8008287493772</c:v>
                </c:pt>
                <c:pt idx="224">
                  <c:v>1778.2794100389244</c:v>
                </c:pt>
                <c:pt idx="225">
                  <c:v>1819.7008586099832</c:v>
                </c:pt>
                <c:pt idx="226">
                  <c:v>1862.0871366628687</c:v>
                </c:pt>
                <c:pt idx="227">
                  <c:v>1905.4607179632501</c:v>
                </c:pt>
                <c:pt idx="228">
                  <c:v>1949.8445997580463</c:v>
                </c:pt>
                <c:pt idx="229">
                  <c:v>1995.2623149688804</c:v>
                </c:pt>
                <c:pt idx="230">
                  <c:v>2041.7379446695318</c:v>
                </c:pt>
                <c:pt idx="231">
                  <c:v>2089.2961308540398</c:v>
                </c:pt>
                <c:pt idx="232">
                  <c:v>2137.9620895022344</c:v>
                </c:pt>
                <c:pt idx="233">
                  <c:v>2187.7616239495528</c:v>
                </c:pt>
                <c:pt idx="234">
                  <c:v>2238.7211385683418</c:v>
                </c:pt>
                <c:pt idx="235">
                  <c:v>2290.8676527677749</c:v>
                </c:pt>
                <c:pt idx="236">
                  <c:v>2344.2288153199238</c:v>
                </c:pt>
                <c:pt idx="237">
                  <c:v>2398.8329190194918</c:v>
                </c:pt>
                <c:pt idx="238">
                  <c:v>2454.7089156850338</c:v>
                </c:pt>
                <c:pt idx="239">
                  <c:v>2511.8864315095811</c:v>
                </c:pt>
                <c:pt idx="240">
                  <c:v>2570.3957827688669</c:v>
                </c:pt>
                <c:pt idx="241">
                  <c:v>2630.2679918953822</c:v>
                </c:pt>
                <c:pt idx="242">
                  <c:v>2691.5348039269184</c:v>
                </c:pt>
                <c:pt idx="243">
                  <c:v>2754.228703338169</c:v>
                </c:pt>
                <c:pt idx="244">
                  <c:v>2818.3829312644561</c:v>
                </c:pt>
                <c:pt idx="245">
                  <c:v>2884.0315031266077</c:v>
                </c:pt>
                <c:pt idx="246">
                  <c:v>2951.2092266663876</c:v>
                </c:pt>
                <c:pt idx="247">
                  <c:v>3019.9517204020176</c:v>
                </c:pt>
                <c:pt idx="248">
                  <c:v>3090.295432513592</c:v>
                </c:pt>
                <c:pt idx="249">
                  <c:v>3162.2776601683804</c:v>
                </c:pt>
                <c:pt idx="250">
                  <c:v>3235.9365692962833</c:v>
                </c:pt>
                <c:pt idx="251">
                  <c:v>3311.3112148259115</c:v>
                </c:pt>
                <c:pt idx="252">
                  <c:v>3388.4415613920314</c:v>
                </c:pt>
                <c:pt idx="253">
                  <c:v>3467.3685045253224</c:v>
                </c:pt>
                <c:pt idx="254">
                  <c:v>3548.1338923357539</c:v>
                </c:pt>
                <c:pt idx="255">
                  <c:v>3630.7805477010188</c:v>
                </c:pt>
                <c:pt idx="256">
                  <c:v>3715.352290971724</c:v>
                </c:pt>
                <c:pt idx="257">
                  <c:v>3801.8939632056172</c:v>
                </c:pt>
                <c:pt idx="258">
                  <c:v>3890.451449942811</c:v>
                </c:pt>
                <c:pt idx="259">
                  <c:v>3981.0717055349769</c:v>
                </c:pt>
                <c:pt idx="260">
                  <c:v>4073.8027780411317</c:v>
                </c:pt>
                <c:pt idx="261">
                  <c:v>4168.6938347033583</c:v>
                </c:pt>
                <c:pt idx="262">
                  <c:v>4265.7951880159299</c:v>
                </c:pt>
                <c:pt idx="263">
                  <c:v>4365.1583224016631</c:v>
                </c:pt>
                <c:pt idx="264">
                  <c:v>4466.8359215096343</c:v>
                </c:pt>
                <c:pt idx="265">
                  <c:v>4570.8818961487532</c:v>
                </c:pt>
                <c:pt idx="266">
                  <c:v>4677.3514128719844</c:v>
                </c:pt>
                <c:pt idx="267">
                  <c:v>4786.3009232263848</c:v>
                </c:pt>
                <c:pt idx="268">
                  <c:v>4897.7881936844633</c:v>
                </c:pt>
                <c:pt idx="269">
                  <c:v>5011.8723362727324</c:v>
                </c:pt>
                <c:pt idx="270">
                  <c:v>5128.6138399136489</c:v>
                </c:pt>
                <c:pt idx="271">
                  <c:v>5248.0746024977261</c:v>
                </c:pt>
                <c:pt idx="272">
                  <c:v>5370.3179637025269</c:v>
                </c:pt>
                <c:pt idx="273">
                  <c:v>5495.4087385762541</c:v>
                </c:pt>
                <c:pt idx="274">
                  <c:v>5623.4132519034993</c:v>
                </c:pt>
                <c:pt idx="275">
                  <c:v>5754.399373371567</c:v>
                </c:pt>
                <c:pt idx="276">
                  <c:v>5888.4365535558973</c:v>
                </c:pt>
                <c:pt idx="277">
                  <c:v>6025.595860743585</c:v>
                </c:pt>
                <c:pt idx="278">
                  <c:v>6165.9500186148289</c:v>
                </c:pt>
                <c:pt idx="279">
                  <c:v>6309.5734448019384</c:v>
                </c:pt>
                <c:pt idx="280">
                  <c:v>6456.5422903465615</c:v>
                </c:pt>
                <c:pt idx="281">
                  <c:v>6606.9344800759654</c:v>
                </c:pt>
                <c:pt idx="282">
                  <c:v>6760.8297539198229</c:v>
                </c:pt>
                <c:pt idx="283">
                  <c:v>6918.3097091893687</c:v>
                </c:pt>
                <c:pt idx="284">
                  <c:v>7079.4578438413828</c:v>
                </c:pt>
                <c:pt idx="285">
                  <c:v>7244.3596007499036</c:v>
                </c:pt>
                <c:pt idx="286">
                  <c:v>7413.1024130091773</c:v>
                </c:pt>
                <c:pt idx="287">
                  <c:v>7585.7757502918394</c:v>
                </c:pt>
                <c:pt idx="288">
                  <c:v>7762.4711662869322</c:v>
                </c:pt>
                <c:pt idx="289">
                  <c:v>7943.2823472428154</c:v>
                </c:pt>
                <c:pt idx="290">
                  <c:v>8128.3051616410066</c:v>
                </c:pt>
                <c:pt idx="291">
                  <c:v>8317.6377110267094</c:v>
                </c:pt>
                <c:pt idx="292">
                  <c:v>8511.3803820237772</c:v>
                </c:pt>
                <c:pt idx="293">
                  <c:v>8709.6358995608189</c:v>
                </c:pt>
                <c:pt idx="294">
                  <c:v>8912.5093813374679</c:v>
                </c:pt>
                <c:pt idx="295">
                  <c:v>9120.1083935591087</c:v>
                </c:pt>
                <c:pt idx="296">
                  <c:v>9332.5430079699217</c:v>
                </c:pt>
                <c:pt idx="297">
                  <c:v>9549.9258602143691</c:v>
                </c:pt>
                <c:pt idx="298">
                  <c:v>9772.3722095581161</c:v>
                </c:pt>
                <c:pt idx="299">
                  <c:v>10000</c:v>
                </c:pt>
                <c:pt idx="300">
                  <c:v>10232.929922807549</c:v>
                </c:pt>
                <c:pt idx="301">
                  <c:v>10471.285480509003</c:v>
                </c:pt>
                <c:pt idx="302">
                  <c:v>10715.193052376071</c:v>
                </c:pt>
                <c:pt idx="303">
                  <c:v>10964.781961431856</c:v>
                </c:pt>
                <c:pt idx="304">
                  <c:v>11220.184543019639</c:v>
                </c:pt>
                <c:pt idx="305">
                  <c:v>11481.536214968832</c:v>
                </c:pt>
                <c:pt idx="306">
                  <c:v>11748.975549395318</c:v>
                </c:pt>
                <c:pt idx="307">
                  <c:v>12022.644346174151</c:v>
                </c:pt>
                <c:pt idx="308">
                  <c:v>12302.687708123816</c:v>
                </c:pt>
                <c:pt idx="309">
                  <c:v>12589.254117941671</c:v>
                </c:pt>
                <c:pt idx="310">
                  <c:v>12882.49551693136</c:v>
                </c:pt>
                <c:pt idx="311">
                  <c:v>13182.567385564091</c:v>
                </c:pt>
                <c:pt idx="312">
                  <c:v>13489.628825916556</c:v>
                </c:pt>
                <c:pt idx="313">
                  <c:v>13803.842646028841</c:v>
                </c:pt>
                <c:pt idx="314">
                  <c:v>14125.375446227561</c:v>
                </c:pt>
                <c:pt idx="315">
                  <c:v>14454.397707459291</c:v>
                </c:pt>
                <c:pt idx="316">
                  <c:v>14791.083881682089</c:v>
                </c:pt>
                <c:pt idx="317">
                  <c:v>15135.612484362096</c:v>
                </c:pt>
                <c:pt idx="318">
                  <c:v>15488.166189124853</c:v>
                </c:pt>
                <c:pt idx="319">
                  <c:v>15848.931924611146</c:v>
                </c:pt>
                <c:pt idx="320">
                  <c:v>16218.100973589309</c:v>
                </c:pt>
                <c:pt idx="321">
                  <c:v>16595.869074375616</c:v>
                </c:pt>
                <c:pt idx="322">
                  <c:v>16982.436524617482</c:v>
                </c:pt>
                <c:pt idx="323">
                  <c:v>17378.008287493791</c:v>
                </c:pt>
                <c:pt idx="324">
                  <c:v>17782.794100389234</c:v>
                </c:pt>
                <c:pt idx="325">
                  <c:v>18197.008586099837</c:v>
                </c:pt>
                <c:pt idx="326">
                  <c:v>18620.871366628675</c:v>
                </c:pt>
                <c:pt idx="327">
                  <c:v>19054.607179632505</c:v>
                </c:pt>
                <c:pt idx="328">
                  <c:v>19498.445997580486</c:v>
                </c:pt>
                <c:pt idx="329">
                  <c:v>19952.623149688792</c:v>
                </c:pt>
                <c:pt idx="330">
                  <c:v>20417.379446695286</c:v>
                </c:pt>
                <c:pt idx="331">
                  <c:v>20892.961308540423</c:v>
                </c:pt>
                <c:pt idx="332">
                  <c:v>21379.620895022348</c:v>
                </c:pt>
                <c:pt idx="333">
                  <c:v>21877.61623949555</c:v>
                </c:pt>
                <c:pt idx="334">
                  <c:v>22387.211385683382</c:v>
                </c:pt>
                <c:pt idx="335">
                  <c:v>22908.676527677751</c:v>
                </c:pt>
                <c:pt idx="336">
                  <c:v>23442.288153199243</c:v>
                </c:pt>
                <c:pt idx="337">
                  <c:v>23988.329190194923</c:v>
                </c:pt>
                <c:pt idx="338">
                  <c:v>24547.089156850321</c:v>
                </c:pt>
                <c:pt idx="339">
                  <c:v>25118.86431509586</c:v>
                </c:pt>
                <c:pt idx="340">
                  <c:v>25703.95782768865</c:v>
                </c:pt>
                <c:pt idx="341">
                  <c:v>26302.679918953829</c:v>
                </c:pt>
                <c:pt idx="342">
                  <c:v>26915.348039269167</c:v>
                </c:pt>
                <c:pt idx="343">
                  <c:v>27542.287033381719</c:v>
                </c:pt>
                <c:pt idx="344">
                  <c:v>28183.829312644593</c:v>
                </c:pt>
                <c:pt idx="345">
                  <c:v>28840.315031266062</c:v>
                </c:pt>
                <c:pt idx="346">
                  <c:v>29512.092266663854</c:v>
                </c:pt>
                <c:pt idx="347">
                  <c:v>30199.517204020212</c:v>
                </c:pt>
                <c:pt idx="348">
                  <c:v>30902.954325135954</c:v>
                </c:pt>
                <c:pt idx="349">
                  <c:v>31622.77660168384</c:v>
                </c:pt>
                <c:pt idx="350">
                  <c:v>32359.365692962871</c:v>
                </c:pt>
                <c:pt idx="351">
                  <c:v>33113.11214825909</c:v>
                </c:pt>
                <c:pt idx="352">
                  <c:v>33884.41561392029</c:v>
                </c:pt>
                <c:pt idx="353">
                  <c:v>34673.685045253202</c:v>
                </c:pt>
                <c:pt idx="354">
                  <c:v>35481.33892335758</c:v>
                </c:pt>
                <c:pt idx="355">
                  <c:v>36307.805477010232</c:v>
                </c:pt>
                <c:pt idx="356">
                  <c:v>37153.522909717351</c:v>
                </c:pt>
                <c:pt idx="357">
                  <c:v>38018.939632056143</c:v>
                </c:pt>
                <c:pt idx="358">
                  <c:v>38904.514499428085</c:v>
                </c:pt>
                <c:pt idx="359">
                  <c:v>39810.717055349742</c:v>
                </c:pt>
                <c:pt idx="360">
                  <c:v>40738.027780411358</c:v>
                </c:pt>
                <c:pt idx="361">
                  <c:v>41686.938347033625</c:v>
                </c:pt>
                <c:pt idx="362">
                  <c:v>42657.951880159271</c:v>
                </c:pt>
                <c:pt idx="363">
                  <c:v>43651.583224016598</c:v>
                </c:pt>
                <c:pt idx="364">
                  <c:v>44668.359215096389</c:v>
                </c:pt>
                <c:pt idx="365">
                  <c:v>45708.818961487581</c:v>
                </c:pt>
                <c:pt idx="366">
                  <c:v>46773.514128719893</c:v>
                </c:pt>
                <c:pt idx="367">
                  <c:v>47863.009232263823</c:v>
                </c:pt>
                <c:pt idx="368">
                  <c:v>48977.881936844598</c:v>
                </c:pt>
                <c:pt idx="369">
                  <c:v>50118.723362727294</c:v>
                </c:pt>
                <c:pt idx="370">
                  <c:v>51286.138399136544</c:v>
                </c:pt>
                <c:pt idx="371">
                  <c:v>52480.746024977314</c:v>
                </c:pt>
                <c:pt idx="372">
                  <c:v>53703.179637025423</c:v>
                </c:pt>
                <c:pt idx="373">
                  <c:v>54954.087385762505</c:v>
                </c:pt>
                <c:pt idx="374">
                  <c:v>56234.132519034953</c:v>
                </c:pt>
                <c:pt idx="375">
                  <c:v>57543.993733715732</c:v>
                </c:pt>
                <c:pt idx="376">
                  <c:v>58884.365535558936</c:v>
                </c:pt>
                <c:pt idx="377">
                  <c:v>60255.95860743591</c:v>
                </c:pt>
                <c:pt idx="378">
                  <c:v>61659.500186148245</c:v>
                </c:pt>
                <c:pt idx="379">
                  <c:v>63095.734448019342</c:v>
                </c:pt>
                <c:pt idx="380">
                  <c:v>64565.422903465682</c:v>
                </c:pt>
                <c:pt idx="381">
                  <c:v>66069.344800759733</c:v>
                </c:pt>
                <c:pt idx="382">
                  <c:v>67608.297539198305</c:v>
                </c:pt>
                <c:pt idx="383">
                  <c:v>69183.097091893651</c:v>
                </c:pt>
                <c:pt idx="384">
                  <c:v>70794.578438413781</c:v>
                </c:pt>
                <c:pt idx="385">
                  <c:v>72443.596007499116</c:v>
                </c:pt>
                <c:pt idx="386">
                  <c:v>74131.024130091857</c:v>
                </c:pt>
                <c:pt idx="387">
                  <c:v>75857.757502918481</c:v>
                </c:pt>
                <c:pt idx="388">
                  <c:v>77624.711662869129</c:v>
                </c:pt>
                <c:pt idx="389">
                  <c:v>79432.823472428237</c:v>
                </c:pt>
                <c:pt idx="390">
                  <c:v>81283.051616410012</c:v>
                </c:pt>
                <c:pt idx="391">
                  <c:v>83176.377110267174</c:v>
                </c:pt>
                <c:pt idx="392">
                  <c:v>85113.803820237721</c:v>
                </c:pt>
                <c:pt idx="393">
                  <c:v>87096.358995608127</c:v>
                </c:pt>
                <c:pt idx="394">
                  <c:v>89125.093813374609</c:v>
                </c:pt>
                <c:pt idx="395">
                  <c:v>91201.083935591028</c:v>
                </c:pt>
                <c:pt idx="396">
                  <c:v>93325.430079699145</c:v>
                </c:pt>
                <c:pt idx="397">
                  <c:v>95499.258602143804</c:v>
                </c:pt>
                <c:pt idx="398">
                  <c:v>97723.722095581266</c:v>
                </c:pt>
                <c:pt idx="399">
                  <c:v>100000</c:v>
                </c:pt>
                <c:pt idx="400">
                  <c:v>102329.29922807543</c:v>
                </c:pt>
                <c:pt idx="401">
                  <c:v>104712.85480508996</c:v>
                </c:pt>
                <c:pt idx="402">
                  <c:v>107151.93052376082</c:v>
                </c:pt>
                <c:pt idx="403">
                  <c:v>109647.81961431868</c:v>
                </c:pt>
                <c:pt idx="404">
                  <c:v>112201.84543019651</c:v>
                </c:pt>
                <c:pt idx="405">
                  <c:v>114815.36214968823</c:v>
                </c:pt>
                <c:pt idx="406">
                  <c:v>117489.75549395311</c:v>
                </c:pt>
                <c:pt idx="407">
                  <c:v>120226.44346174144</c:v>
                </c:pt>
                <c:pt idx="408">
                  <c:v>123026.87708123829</c:v>
                </c:pt>
                <c:pt idx="409">
                  <c:v>125892.54117941685</c:v>
                </c:pt>
                <c:pt idx="410">
                  <c:v>128824.95516931375</c:v>
                </c:pt>
                <c:pt idx="411">
                  <c:v>131825.67385564081</c:v>
                </c:pt>
                <c:pt idx="412">
                  <c:v>134896.28825916545</c:v>
                </c:pt>
                <c:pt idx="413">
                  <c:v>138038.42646028858</c:v>
                </c:pt>
                <c:pt idx="414">
                  <c:v>141253.75446227577</c:v>
                </c:pt>
                <c:pt idx="415">
                  <c:v>144543.97707459307</c:v>
                </c:pt>
                <c:pt idx="416">
                  <c:v>147910.83881682079</c:v>
                </c:pt>
                <c:pt idx="417">
                  <c:v>151356.12484362084</c:v>
                </c:pt>
                <c:pt idx="418">
                  <c:v>154881.66189124843</c:v>
                </c:pt>
                <c:pt idx="419">
                  <c:v>158489.31924611164</c:v>
                </c:pt>
                <c:pt idx="420">
                  <c:v>162181.00973589328</c:v>
                </c:pt>
                <c:pt idx="421">
                  <c:v>165958.69074375604</c:v>
                </c:pt>
                <c:pt idx="422">
                  <c:v>169824.36524617471</c:v>
                </c:pt>
                <c:pt idx="423">
                  <c:v>173780.0828749378</c:v>
                </c:pt>
                <c:pt idx="424">
                  <c:v>177827.94100389251</c:v>
                </c:pt>
                <c:pt idx="425">
                  <c:v>181970.08586099857</c:v>
                </c:pt>
                <c:pt idx="426">
                  <c:v>186208.71366628664</c:v>
                </c:pt>
                <c:pt idx="427">
                  <c:v>190546.07179632492</c:v>
                </c:pt>
                <c:pt idx="428">
                  <c:v>194984.45997580473</c:v>
                </c:pt>
                <c:pt idx="429">
                  <c:v>199526.23149688813</c:v>
                </c:pt>
                <c:pt idx="430">
                  <c:v>204173.79446695308</c:v>
                </c:pt>
                <c:pt idx="431">
                  <c:v>208929.61308540447</c:v>
                </c:pt>
                <c:pt idx="432">
                  <c:v>213796.20895022334</c:v>
                </c:pt>
                <c:pt idx="433">
                  <c:v>218776.16239495538</c:v>
                </c:pt>
                <c:pt idx="434">
                  <c:v>223872.11385683404</c:v>
                </c:pt>
                <c:pt idx="435">
                  <c:v>229086.76527677779</c:v>
                </c:pt>
                <c:pt idx="436">
                  <c:v>234422.88153199267</c:v>
                </c:pt>
                <c:pt idx="437">
                  <c:v>239883.29190194907</c:v>
                </c:pt>
                <c:pt idx="438">
                  <c:v>245470.89156850305</c:v>
                </c:pt>
                <c:pt idx="439">
                  <c:v>251188.64315095844</c:v>
                </c:pt>
                <c:pt idx="440">
                  <c:v>257039.57827688678</c:v>
                </c:pt>
                <c:pt idx="441">
                  <c:v>263026.79918953858</c:v>
                </c:pt>
                <c:pt idx="442">
                  <c:v>269153.48039269145</c:v>
                </c:pt>
                <c:pt idx="443">
                  <c:v>275422.87033381703</c:v>
                </c:pt>
                <c:pt idx="444">
                  <c:v>281838.29312644573</c:v>
                </c:pt>
                <c:pt idx="445">
                  <c:v>288403.1503126609</c:v>
                </c:pt>
                <c:pt idx="446">
                  <c:v>295120.92266663886</c:v>
                </c:pt>
                <c:pt idx="447">
                  <c:v>301995.17204020242</c:v>
                </c:pt>
                <c:pt idx="448">
                  <c:v>309029.54325135931</c:v>
                </c:pt>
                <c:pt idx="449">
                  <c:v>316227.7660168382</c:v>
                </c:pt>
                <c:pt idx="450">
                  <c:v>323593.65692962846</c:v>
                </c:pt>
                <c:pt idx="451">
                  <c:v>331131.12148259126</c:v>
                </c:pt>
                <c:pt idx="452">
                  <c:v>338844.15613920329</c:v>
                </c:pt>
                <c:pt idx="453">
                  <c:v>346736.85045253241</c:v>
                </c:pt>
                <c:pt idx="454">
                  <c:v>354813.38923357555</c:v>
                </c:pt>
                <c:pt idx="455">
                  <c:v>363078.05477010203</c:v>
                </c:pt>
                <c:pt idx="456">
                  <c:v>371535.2290971732</c:v>
                </c:pt>
                <c:pt idx="457">
                  <c:v>380189.39632056188</c:v>
                </c:pt>
                <c:pt idx="458">
                  <c:v>389045.14499428123</c:v>
                </c:pt>
                <c:pt idx="459">
                  <c:v>398107.17055349716</c:v>
                </c:pt>
                <c:pt idx="460">
                  <c:v>407380.27780411334</c:v>
                </c:pt>
                <c:pt idx="461">
                  <c:v>416869.38347033598</c:v>
                </c:pt>
                <c:pt idx="462">
                  <c:v>426579.51880159322</c:v>
                </c:pt>
                <c:pt idx="463">
                  <c:v>436515.83224016649</c:v>
                </c:pt>
                <c:pt idx="464">
                  <c:v>446683.59215096442</c:v>
                </c:pt>
                <c:pt idx="465">
                  <c:v>457088.18961487547</c:v>
                </c:pt>
                <c:pt idx="466">
                  <c:v>467735.14128719864</c:v>
                </c:pt>
                <c:pt idx="467">
                  <c:v>478630.09232263872</c:v>
                </c:pt>
                <c:pt idx="468">
                  <c:v>489778.81936844654</c:v>
                </c:pt>
                <c:pt idx="469">
                  <c:v>501187.23362727347</c:v>
                </c:pt>
                <c:pt idx="470">
                  <c:v>512861.38399136515</c:v>
                </c:pt>
                <c:pt idx="471">
                  <c:v>524807.46024977288</c:v>
                </c:pt>
                <c:pt idx="472">
                  <c:v>537031.7963702539</c:v>
                </c:pt>
                <c:pt idx="473">
                  <c:v>549540.87385762564</c:v>
                </c:pt>
                <c:pt idx="474">
                  <c:v>562341.32519035018</c:v>
                </c:pt>
                <c:pt idx="475">
                  <c:v>575439.93733715697</c:v>
                </c:pt>
                <c:pt idx="476">
                  <c:v>588843.65535558888</c:v>
                </c:pt>
                <c:pt idx="477">
                  <c:v>602559.58607435878</c:v>
                </c:pt>
                <c:pt idx="478">
                  <c:v>616595.00186148309</c:v>
                </c:pt>
                <c:pt idx="479">
                  <c:v>630957.34448019415</c:v>
                </c:pt>
                <c:pt idx="480">
                  <c:v>645654.22903465747</c:v>
                </c:pt>
                <c:pt idx="481">
                  <c:v>660693.44800759677</c:v>
                </c:pt>
                <c:pt idx="482">
                  <c:v>676082.97539198259</c:v>
                </c:pt>
                <c:pt idx="483">
                  <c:v>691830.97091893724</c:v>
                </c:pt>
                <c:pt idx="484">
                  <c:v>707945.78438413853</c:v>
                </c:pt>
                <c:pt idx="485">
                  <c:v>724435.96007499192</c:v>
                </c:pt>
                <c:pt idx="486">
                  <c:v>741310.24130091805</c:v>
                </c:pt>
                <c:pt idx="487">
                  <c:v>758577.57502918423</c:v>
                </c:pt>
                <c:pt idx="488">
                  <c:v>776247.11662869214</c:v>
                </c:pt>
                <c:pt idx="489">
                  <c:v>794328.23472428333</c:v>
                </c:pt>
                <c:pt idx="490">
                  <c:v>812830.51616410096</c:v>
                </c:pt>
                <c:pt idx="491">
                  <c:v>831763.77110267128</c:v>
                </c:pt>
                <c:pt idx="492">
                  <c:v>851138.03820237669</c:v>
                </c:pt>
                <c:pt idx="493">
                  <c:v>870963.58995608077</c:v>
                </c:pt>
                <c:pt idx="494">
                  <c:v>891250.93813374708</c:v>
                </c:pt>
                <c:pt idx="495">
                  <c:v>912010.83935591124</c:v>
                </c:pt>
                <c:pt idx="496">
                  <c:v>933254.30079699249</c:v>
                </c:pt>
                <c:pt idx="497">
                  <c:v>954992.58602143743</c:v>
                </c:pt>
                <c:pt idx="498">
                  <c:v>977237.22095581202</c:v>
                </c:pt>
                <c:pt idx="499">
                  <c:v>1000000</c:v>
                </c:pt>
                <c:pt idx="500">
                  <c:v>1023292.9922807553</c:v>
                </c:pt>
                <c:pt idx="501">
                  <c:v>1047128.5480509007</c:v>
                </c:pt>
                <c:pt idx="502">
                  <c:v>1071519.3052376076</c:v>
                </c:pt>
                <c:pt idx="503">
                  <c:v>1096478.196143186</c:v>
                </c:pt>
                <c:pt idx="504">
                  <c:v>1122018.4543019643</c:v>
                </c:pt>
                <c:pt idx="505">
                  <c:v>1148153.6214968837</c:v>
                </c:pt>
                <c:pt idx="506">
                  <c:v>1174897.5549395324</c:v>
                </c:pt>
                <c:pt idx="507">
                  <c:v>1202264.4346174158</c:v>
                </c:pt>
                <c:pt idx="508">
                  <c:v>1230268.770812382</c:v>
                </c:pt>
                <c:pt idx="509">
                  <c:v>1258925.4117941677</c:v>
                </c:pt>
                <c:pt idx="510">
                  <c:v>1288249.5516931366</c:v>
                </c:pt>
                <c:pt idx="511">
                  <c:v>1318256.7385564097</c:v>
                </c:pt>
                <c:pt idx="512">
                  <c:v>1348962.8825916562</c:v>
                </c:pt>
                <c:pt idx="513">
                  <c:v>1380384.2646028849</c:v>
                </c:pt>
                <c:pt idx="514">
                  <c:v>1412537.5446227565</c:v>
                </c:pt>
                <c:pt idx="515">
                  <c:v>1445439.7707459298</c:v>
                </c:pt>
                <c:pt idx="516">
                  <c:v>1479108.3881682095</c:v>
                </c:pt>
                <c:pt idx="517">
                  <c:v>1513561.2484362102</c:v>
                </c:pt>
                <c:pt idx="518">
                  <c:v>1548816.6189124861</c:v>
                </c:pt>
                <c:pt idx="519">
                  <c:v>1584893.1924611153</c:v>
                </c:pt>
                <c:pt idx="520">
                  <c:v>1621810.0973589318</c:v>
                </c:pt>
                <c:pt idx="521">
                  <c:v>1659586.9074375622</c:v>
                </c:pt>
                <c:pt idx="522">
                  <c:v>1698243.6524617488</c:v>
                </c:pt>
                <c:pt idx="523">
                  <c:v>1737800.8287493798</c:v>
                </c:pt>
                <c:pt idx="524">
                  <c:v>1778279.4100389241</c:v>
                </c:pt>
                <c:pt idx="525">
                  <c:v>1819700.8586099846</c:v>
                </c:pt>
                <c:pt idx="526">
                  <c:v>1862087.1366628683</c:v>
                </c:pt>
                <c:pt idx="527">
                  <c:v>1905460.7179632513</c:v>
                </c:pt>
                <c:pt idx="528">
                  <c:v>1949844.5997580495</c:v>
                </c:pt>
                <c:pt idx="529">
                  <c:v>1995262.31496888</c:v>
                </c:pt>
                <c:pt idx="530">
                  <c:v>2041737.9446695296</c:v>
                </c:pt>
                <c:pt idx="531">
                  <c:v>2089296.1308540432</c:v>
                </c:pt>
                <c:pt idx="532">
                  <c:v>2137962.0895022359</c:v>
                </c:pt>
                <c:pt idx="533">
                  <c:v>2187761.6239495561</c:v>
                </c:pt>
                <c:pt idx="534">
                  <c:v>2238721.1385683389</c:v>
                </c:pt>
                <c:pt idx="535">
                  <c:v>2290867.6527677765</c:v>
                </c:pt>
                <c:pt idx="536">
                  <c:v>2344228.8153199251</c:v>
                </c:pt>
                <c:pt idx="537">
                  <c:v>2398832.9190194933</c:v>
                </c:pt>
                <c:pt idx="538">
                  <c:v>2454708.915685033</c:v>
                </c:pt>
                <c:pt idx="539">
                  <c:v>2511886.431509587</c:v>
                </c:pt>
                <c:pt idx="540">
                  <c:v>2570395.782768866</c:v>
                </c:pt>
                <c:pt idx="541">
                  <c:v>2630267.9918953842</c:v>
                </c:pt>
              </c:numCache>
            </c:numRef>
          </c:xVal>
          <c:yVal>
            <c:numRef>
              <c:f>CCM_Loop_Modeling_Isolated!$AD$19:$AD$560</c:f>
              <c:numCache>
                <c:formatCode>0.000</c:formatCode>
                <c:ptCount val="542"/>
                <c:pt idx="0">
                  <c:v>73.810196911614611</c:v>
                </c:pt>
                <c:pt idx="1">
                  <c:v>73.79327469541694</c:v>
                </c:pt>
                <c:pt idx="2">
                  <c:v>73.77562528228971</c:v>
                </c:pt>
                <c:pt idx="3">
                  <c:v>73.757220560861981</c:v>
                </c:pt>
                <c:pt idx="4">
                  <c:v>73.738031605646682</c:v>
                </c:pt>
                <c:pt idx="5">
                  <c:v>73.71802867717507</c:v>
                </c:pt>
                <c:pt idx="6">
                  <c:v>73.697181224541637</c:v>
                </c:pt>
                <c:pt idx="7">
                  <c:v>73.675457890558377</c:v>
                </c:pt>
                <c:pt idx="8">
                  <c:v>73.652826519722467</c:v>
                </c:pt>
                <c:pt idx="9">
                  <c:v>73.629254169202625</c:v>
                </c:pt>
                <c:pt idx="10">
                  <c:v>73.604707123051071</c:v>
                </c:pt>
                <c:pt idx="11">
                  <c:v>73.579150909847485</c:v>
                </c:pt>
                <c:pt idx="12">
                  <c:v>73.552550323977954</c:v>
                </c:pt>
                <c:pt idx="13">
                  <c:v>73.524869450748014</c:v>
                </c:pt>
                <c:pt idx="14">
                  <c:v>73.496071695521024</c:v>
                </c:pt>
                <c:pt idx="15">
                  <c:v>73.466119817064367</c:v>
                </c:pt>
                <c:pt idx="16">
                  <c:v>73.434975965272301</c:v>
                </c:pt>
                <c:pt idx="17">
                  <c:v>73.402601723420673</c:v>
                </c:pt>
                <c:pt idx="18">
                  <c:v>73.368958155088407</c:v>
                </c:pt>
                <c:pt idx="19">
                  <c:v>73.334005855860596</c:v>
                </c:pt>
                <c:pt idx="20">
                  <c:v>73.297705009902188</c:v>
                </c:pt>
                <c:pt idx="21">
                  <c:v>73.260015451462792</c:v>
                </c:pt>
                <c:pt idx="22">
                  <c:v>73.220896731342222</c:v>
                </c:pt>
                <c:pt idx="23">
                  <c:v>73.180308188309596</c:v>
                </c:pt>
                <c:pt idx="24">
                  <c:v>73.13820902543182</c:v>
                </c:pt>
                <c:pt idx="25">
                  <c:v>73.094558391224567</c:v>
                </c:pt>
                <c:pt idx="26">
                  <c:v>73.049315465494814</c:v>
                </c:pt>
                <c:pt idx="27">
                  <c:v>73.002439549696476</c:v>
                </c:pt>
                <c:pt idx="28">
                  <c:v>72.953890161570882</c:v>
                </c:pt>
                <c:pt idx="29">
                  <c:v>72.903627133793975</c:v>
                </c:pt>
                <c:pt idx="30">
                  <c:v>72.851610716297671</c:v>
                </c:pt>
                <c:pt idx="31">
                  <c:v>72.797801681881424</c:v>
                </c:pt>
                <c:pt idx="32">
                  <c:v>72.742161434676575</c:v>
                </c:pt>
                <c:pt idx="33">
                  <c:v>72.684652120973482</c:v>
                </c:pt>
                <c:pt idx="34">
                  <c:v>72.625236741872143</c:v>
                </c:pt>
                <c:pt idx="35">
                  <c:v>72.56387926716792</c:v>
                </c:pt>
                <c:pt idx="36">
                  <c:v>72.500544749840813</c:v>
                </c:pt>
                <c:pt idx="37">
                  <c:v>72.43519944047587</c:v>
                </c:pt>
                <c:pt idx="38">
                  <c:v>72.36781090090814</c:v>
                </c:pt>
                <c:pt idx="39">
                  <c:v>72.298348116356422</c:v>
                </c:pt>
                <c:pt idx="40">
                  <c:v>72.226781605288849</c:v>
                </c:pt>
                <c:pt idx="41">
                  <c:v>72.153083526249205</c:v>
                </c:pt>
                <c:pt idx="42">
                  <c:v>72.077227780867389</c:v>
                </c:pt>
                <c:pt idx="43">
                  <c:v>71.999190112280388</c:v>
                </c:pt>
                <c:pt idx="44">
                  <c:v>71.91894819820331</c:v>
                </c:pt>
                <c:pt idx="45">
                  <c:v>71.836481737911186</c:v>
                </c:pt>
                <c:pt idx="46">
                  <c:v>71.751772532425221</c:v>
                </c:pt>
                <c:pt idx="47">
                  <c:v>71.664804557237261</c:v>
                </c:pt>
                <c:pt idx="48">
                  <c:v>71.575564026956926</c:v>
                </c:pt>
                <c:pt idx="49">
                  <c:v>71.4840394513257</c:v>
                </c:pt>
                <c:pt idx="50">
                  <c:v>71.39022168210785</c:v>
                </c:pt>
                <c:pt idx="51">
                  <c:v>71.294103950444139</c:v>
                </c:pt>
                <c:pt idx="52">
                  <c:v>71.195681894333546</c:v>
                </c:pt>
                <c:pt idx="53">
                  <c:v>71.09495357599387</c:v>
                </c:pt>
                <c:pt idx="54">
                  <c:v>70.991919488942571</c:v>
                </c:pt>
                <c:pt idx="55">
                  <c:v>70.886582554728832</c:v>
                </c:pt>
                <c:pt idx="56">
                  <c:v>70.77894810934356</c:v>
                </c:pt>
                <c:pt idx="57">
                  <c:v>70.669023879422554</c:v>
                </c:pt>
                <c:pt idx="58">
                  <c:v>70.556819948453452</c:v>
                </c:pt>
                <c:pt idx="59">
                  <c:v>70.442348713279358</c:v>
                </c:pt>
                <c:pt idx="60">
                  <c:v>70.325624831279072</c:v>
                </c:pt>
                <c:pt idx="61">
                  <c:v>70.206665158679058</c:v>
                </c:pt>
                <c:pt idx="62">
                  <c:v>70.085488680521976</c:v>
                </c:pt>
                <c:pt idx="63">
                  <c:v>69.962116432881928</c:v>
                </c:pt>
                <c:pt idx="64">
                  <c:v>69.836571417968088</c:v>
                </c:pt>
                <c:pt idx="65">
                  <c:v>69.708878512805526</c:v>
                </c:pt>
                <c:pt idx="66">
                  <c:v>69.579064372216919</c:v>
                </c:pt>
                <c:pt idx="67">
                  <c:v>69.44715732685566</c:v>
                </c:pt>
                <c:pt idx="68">
                  <c:v>69.313187277057565</c:v>
                </c:pt>
                <c:pt idx="69">
                  <c:v>69.177185583286061</c:v>
                </c:pt>
                <c:pt idx="70">
                  <c:v>69.03918495394214</c:v>
                </c:pt>
                <c:pt idx="71">
                  <c:v>68.89921933130347</c:v>
                </c:pt>
                <c:pt idx="72">
                  <c:v>68.757323776334786</c:v>
                </c:pt>
                <c:pt idx="73">
                  <c:v>68.613534353088838</c:v>
                </c:pt>
                <c:pt idx="74">
                  <c:v>68.467888013383785</c:v>
                </c:pt>
                <c:pt idx="75">
                  <c:v>68.320422482405007</c:v>
                </c:pt>
                <c:pt idx="76">
                  <c:v>68.171176145837023</c:v>
                </c:pt>
                <c:pt idx="77">
                  <c:v>68.020187939085034</c:v>
                </c:pt>
                <c:pt idx="78">
                  <c:v>67.867497239095329</c:v>
                </c:pt>
                <c:pt idx="79">
                  <c:v>67.71314375923285</c:v>
                </c:pt>
                <c:pt idx="80">
                  <c:v>67.557167447621993</c:v>
                </c:pt>
                <c:pt idx="81">
                  <c:v>67.399608389301932</c:v>
                </c:pt>
                <c:pt idx="82">
                  <c:v>67.240506712497151</c:v>
                </c:pt>
                <c:pt idx="83">
                  <c:v>67.079902499249556</c:v>
                </c:pt>
                <c:pt idx="84">
                  <c:v>66.917835700610112</c:v>
                </c:pt>
                <c:pt idx="85">
                  <c:v>66.754346056538878</c:v>
                </c:pt>
                <c:pt idx="86">
                  <c:v>66.589473020614903</c:v>
                </c:pt>
                <c:pt idx="87">
                  <c:v>66.423255689617648</c:v>
                </c:pt>
                <c:pt idx="88">
                  <c:v>66.255732737998173</c:v>
                </c:pt>
                <c:pt idx="89">
                  <c:v>66.086942357223336</c:v>
                </c:pt>
                <c:pt idx="90">
                  <c:v>65.916922199942121</c:v>
                </c:pt>
                <c:pt idx="91">
                  <c:v>65.745709328893668</c:v>
                </c:pt>
                <c:pt idx="92">
                  <c:v>65.5733401704492</c:v>
                </c:pt>
                <c:pt idx="93">
                  <c:v>65.399850472657789</c:v>
                </c:pt>
                <c:pt idx="94">
                  <c:v>65.225275267644051</c:v>
                </c:pt>
                <c:pt idx="95">
                  <c:v>65.049648838192383</c:v>
                </c:pt>
                <c:pt idx="96">
                  <c:v>64.873004688333992</c:v>
                </c:pt>
                <c:pt idx="97">
                  <c:v>64.695375517746768</c:v>
                </c:pt>
                <c:pt idx="98">
                  <c:v>64.516793199765459</c:v>
                </c:pt>
                <c:pt idx="99">
                  <c:v>64.337288762797101</c:v>
                </c:pt>
                <c:pt idx="100">
                  <c:v>64.156892374930564</c:v>
                </c:pt>
                <c:pt idx="101">
                  <c:v>63.975633331528201</c:v>
                </c:pt>
                <c:pt idx="102">
                  <c:v>63.793540045588728</c:v>
                </c:pt>
                <c:pt idx="103">
                  <c:v>63.610640040670063</c:v>
                </c:pt>
                <c:pt idx="104">
                  <c:v>63.426959946165262</c:v>
                </c:pt>
                <c:pt idx="105">
                  <c:v>63.242525494729158</c:v>
                </c:pt>
                <c:pt idx="106">
                  <c:v>63.057361521657931</c:v>
                </c:pt>
                <c:pt idx="107">
                  <c:v>62.871491966029112</c:v>
                </c:pt>
                <c:pt idx="108">
                  <c:v>62.684939873419161</c:v>
                </c:pt>
                <c:pt idx="109">
                  <c:v>62.497727400019308</c:v>
                </c:pt>
                <c:pt idx="110">
                  <c:v>62.309875817981137</c:v>
                </c:pt>
                <c:pt idx="111">
                  <c:v>62.121405521829928</c:v>
                </c:pt>
                <c:pt idx="112">
                  <c:v>61.932336035792133</c:v>
                </c:pt>
                <c:pt idx="113">
                  <c:v>61.742686021891949</c:v>
                </c:pt>
                <c:pt idx="114">
                  <c:v>61.552473288679991</c:v>
                </c:pt>
                <c:pt idx="115">
                  <c:v>61.361714800465705</c:v>
                </c:pt>
                <c:pt idx="116">
                  <c:v>61.17042668693243</c:v>
                </c:pt>
                <c:pt idx="117">
                  <c:v>60.978624253023533</c:v>
                </c:pt>
                <c:pt idx="118">
                  <c:v>60.786321988993315</c:v>
                </c:pt>
                <c:pt idx="119">
                  <c:v>60.593533580527279</c:v>
                </c:pt>
                <c:pt idx="120">
                  <c:v>60.400271918839692</c:v>
                </c:pt>
                <c:pt idx="121">
                  <c:v>60.206549110667204</c:v>
                </c:pt>
                <c:pt idx="122">
                  <c:v>60.012376488080996</c:v>
                </c:pt>
                <c:pt idx="123">
                  <c:v>59.817764618047335</c:v>
                </c:pt>
                <c:pt idx="124">
                  <c:v>59.622723311673631</c:v>
                </c:pt>
                <c:pt idx="125">
                  <c:v>59.427261633080768</c:v>
                </c:pt>
                <c:pt idx="126">
                  <c:v>59.23138790784904</c:v>
                </c:pt>
                <c:pt idx="127">
                  <c:v>59.035109730991394</c:v>
                </c:pt>
                <c:pt idx="128">
                  <c:v>58.838433974410059</c:v>
                </c:pt>
                <c:pt idx="129">
                  <c:v>58.641366793798831</c:v>
                </c:pt>
                <c:pt idx="130">
                  <c:v>58.443913634958911</c:v>
                </c:pt>
                <c:pt idx="131">
                  <c:v>58.246079239497213</c:v>
                </c:pt>
                <c:pt idx="132">
                  <c:v>58.047867649883678</c:v>
                </c:pt>
                <c:pt idx="133">
                  <c:v>57.849282213844724</c:v>
                </c:pt>
                <c:pt idx="134">
                  <c:v>57.650325588076711</c:v>
                </c:pt>
                <c:pt idx="135">
                  <c:v>57.450999741264113</c:v>
                </c:pt>
                <c:pt idx="136">
                  <c:v>57.251305956392471</c:v>
                </c:pt>
                <c:pt idx="137">
                  <c:v>57.051244832348608</c:v>
                </c:pt>
                <c:pt idx="138">
                  <c:v>56.850816284804665</c:v>
                </c:pt>
                <c:pt idx="139">
                  <c:v>56.650019546384165</c:v>
                </c:pt>
                <c:pt idx="140">
                  <c:v>56.448853166114361</c:v>
                </c:pt>
                <c:pt idx="141">
                  <c:v>56.247315008168982</c:v>
                </c:pt>
                <c:pt idx="142">
                  <c:v>56.045402249911902</c:v>
                </c:pt>
                <c:pt idx="143">
                  <c:v>55.843111379253976</c:v>
                </c:pt>
                <c:pt idx="144">
                  <c:v>55.640438191338419</c:v>
                </c:pt>
                <c:pt idx="145">
                  <c:v>55.43737778457519</c:v>
                </c:pt>
                <c:pt idx="146">
                  <c:v>55.233924556047455</c:v>
                </c:pt>
                <c:pt idx="147">
                  <c:v>55.030072196316986</c:v>
                </c:pt>
                <c:pt idx="148">
                  <c:v>54.825813683660158</c:v>
                </c:pt>
                <c:pt idx="149">
                  <c:v>54.621141277769915</c:v>
                </c:pt>
                <c:pt idx="150">
                  <c:v>54.416046512963597</c:v>
                </c:pt>
                <c:pt idx="151">
                  <c:v>54.210520190941374</c:v>
                </c:pt>
                <c:pt idx="152">
                  <c:v>54.004552373145088</c:v>
                </c:pt>
                <c:pt idx="153">
                  <c:v>53.798132372772059</c:v>
                </c:pt>
                <c:pt idx="154">
                  <c:v>53.591248746504611</c:v>
                </c:pt>
                <c:pt idx="155">
                  <c:v>53.383889286021564</c:v>
                </c:pt>
                <c:pt idx="156">
                  <c:v>53.176041009364226</c:v>
                </c:pt>
                <c:pt idx="157">
                  <c:v>52.967690152234553</c:v>
                </c:pt>
                <c:pt idx="158">
                  <c:v>52.758822159313183</c:v>
                </c:pt>
                <c:pt idx="159">
                  <c:v>52.549421675687853</c:v>
                </c:pt>
                <c:pt idx="160">
                  <c:v>52.339472538492949</c:v>
                </c:pt>
                <c:pt idx="161">
                  <c:v>52.12895776886878</c:v>
                </c:pt>
                <c:pt idx="162">
                  <c:v>51.917859564352902</c:v>
                </c:pt>
                <c:pt idx="163">
                  <c:v>51.706159291830581</c:v>
                </c:pt>
                <c:pt idx="164">
                  <c:v>51.493837481173102</c:v>
                </c:pt>
                <c:pt idx="165">
                  <c:v>51.280873819705349</c:v>
                </c:pt>
                <c:pt idx="166">
                  <c:v>51.067247147650683</c:v>
                </c:pt>
                <c:pt idx="167">
                  <c:v>50.852935454709169</c:v>
                </c:pt>
                <c:pt idx="168">
                  <c:v>50.637915877935839</c:v>
                </c:pt>
                <c:pt idx="169">
                  <c:v>50.42216470109058</c:v>
                </c:pt>
                <c:pt idx="170">
                  <c:v>50.20565735564152</c:v>
                </c:pt>
                <c:pt idx="171">
                  <c:v>49.988368423610716</c:v>
                </c:pt>
                <c:pt idx="172">
                  <c:v>49.770271642457082</c:v>
                </c:pt>
                <c:pt idx="173">
                  <c:v>49.551339912198877</c:v>
                </c:pt>
                <c:pt idx="174">
                  <c:v>49.331545304983173</c:v>
                </c:pt>
                <c:pt idx="175">
                  <c:v>49.110859077312668</c:v>
                </c:pt>
                <c:pt idx="176">
                  <c:v>48.889251685147428</c:v>
                </c:pt>
                <c:pt idx="177">
                  <c:v>48.666692802095291</c:v>
                </c:pt>
                <c:pt idx="178">
                  <c:v>48.443151340911214</c:v>
                </c:pt>
                <c:pt idx="179">
                  <c:v>48.218595478518651</c:v>
                </c:pt>
                <c:pt idx="180">
                  <c:v>47.992992684768041</c:v>
                </c:pt>
                <c:pt idx="181">
                  <c:v>47.766309755136433</c:v>
                </c:pt>
                <c:pt idx="182">
                  <c:v>47.538512847568903</c:v>
                </c:pt>
                <c:pt idx="183">
                  <c:v>47.309567523648838</c:v>
                </c:pt>
                <c:pt idx="184">
                  <c:v>47.079438794271589</c:v>
                </c:pt>
                <c:pt idx="185">
                  <c:v>46.848091169980314</c:v>
                </c:pt>
                <c:pt idx="186">
                  <c:v>46.615488716100458</c:v>
                </c:pt>
                <c:pt idx="187">
                  <c:v>46.381595112790649</c:v>
                </c:pt>
                <c:pt idx="188">
                  <c:v>46.146373720097287</c:v>
                </c:pt>
                <c:pt idx="189">
                  <c:v>45.90978764807295</c:v>
                </c:pt>
                <c:pt idx="190">
                  <c:v>45.671799831984615</c:v>
                </c:pt>
                <c:pt idx="191">
                  <c:v>45.432373112601638</c:v>
                </c:pt>
                <c:pt idx="192">
                  <c:v>45.191470321512803</c:v>
                </c:pt>
                <c:pt idx="193">
                  <c:v>44.949054371380377</c:v>
                </c:pt>
                <c:pt idx="194">
                  <c:v>44.705088350991318</c:v>
                </c:pt>
                <c:pt idx="195">
                  <c:v>44.459535624920306</c:v>
                </c:pt>
                <c:pt idx="196">
                  <c:v>44.212359937565857</c:v>
                </c:pt>
                <c:pt idx="197">
                  <c:v>43.963525521272544</c:v>
                </c:pt>
                <c:pt idx="198">
                  <c:v>43.712997208196207</c:v>
                </c:pt>
                <c:pt idx="199">
                  <c:v>43.460740545518547</c:v>
                </c:pt>
                <c:pt idx="200">
                  <c:v>43.206721913562518</c:v>
                </c:pt>
                <c:pt idx="201">
                  <c:v>42.950908646310808</c:v>
                </c:pt>
                <c:pt idx="202">
                  <c:v>42.69326915377701</c:v>
                </c:pt>
                <c:pt idx="203">
                  <c:v>42.433773045636173</c:v>
                </c:pt>
                <c:pt idx="204">
                  <c:v>42.172391255474146</c:v>
                </c:pt>
                <c:pt idx="205">
                  <c:v>41.909096164980689</c:v>
                </c:pt>
                <c:pt idx="206">
                  <c:v>41.643861727376319</c:v>
                </c:pt>
                <c:pt idx="207">
                  <c:v>41.376663589337127</c:v>
                </c:pt>
                <c:pt idx="208">
                  <c:v>41.107479210663122</c:v>
                </c:pt>
                <c:pt idx="209">
                  <c:v>40.836287980923117</c:v>
                </c:pt>
                <c:pt idx="210">
                  <c:v>40.563071332309079</c:v>
                </c:pt>
                <c:pt idx="211">
                  <c:v>40.287812847935164</c:v>
                </c:pt>
                <c:pt idx="212">
                  <c:v>40.010498364836913</c:v>
                </c:pt>
                <c:pt idx="213">
                  <c:v>39.731116070946328</c:v>
                </c:pt>
                <c:pt idx="214">
                  <c:v>39.449656595357439</c:v>
                </c:pt>
                <c:pt idx="215">
                  <c:v>39.166113091237364</c:v>
                </c:pt>
                <c:pt idx="216">
                  <c:v>38.880481310792533</c:v>
                </c:pt>
                <c:pt idx="217">
                  <c:v>38.592759671759907</c:v>
                </c:pt>
                <c:pt idx="218">
                  <c:v>38.30294931496163</c:v>
                </c:pt>
                <c:pt idx="219">
                  <c:v>38.011054152537</c:v>
                </c:pt>
                <c:pt idx="220">
                  <c:v>37.717080906546116</c:v>
                </c:pt>
                <c:pt idx="221">
                  <c:v>37.421039137724463</c:v>
                </c:pt>
                <c:pt idx="222">
                  <c:v>37.122941264257115</c:v>
                </c:pt>
                <c:pt idx="223">
                  <c:v>36.822802570528182</c:v>
                </c:pt>
                <c:pt idx="224">
                  <c:v>36.52064120589543</c:v>
                </c:pt>
                <c:pt idx="225">
                  <c:v>36.216478173624495</c:v>
                </c:pt>
                <c:pt idx="226">
                  <c:v>35.910337310205435</c:v>
                </c:pt>
                <c:pt idx="227">
                  <c:v>35.602245255357914</c:v>
                </c:pt>
                <c:pt idx="228">
                  <c:v>35.292231413104915</c:v>
                </c:pt>
                <c:pt idx="229">
                  <c:v>34.980327904366604</c:v>
                </c:pt>
                <c:pt idx="230">
                  <c:v>34.666569511592385</c:v>
                </c:pt>
                <c:pt idx="231">
                  <c:v>34.350993615996863</c:v>
                </c:pt>
                <c:pt idx="232">
                  <c:v>34.033640128018703</c:v>
                </c:pt>
                <c:pt idx="233">
                  <c:v>33.714551411650802</c:v>
                </c:pt>
                <c:pt idx="234">
                  <c:v>33.393772203322399</c:v>
                </c:pt>
                <c:pt idx="235">
                  <c:v>33.071349526025415</c:v>
                </c:pt>
                <c:pt idx="236">
                  <c:v>32.747332599386517</c:v>
                </c:pt>
                <c:pt idx="237">
                  <c:v>32.42177274638297</c:v>
                </c:pt>
                <c:pt idx="238">
                  <c:v>32.094723297386395</c:v>
                </c:pt>
                <c:pt idx="239">
                  <c:v>31.76623949220027</c:v>
                </c:pt>
                <c:pt idx="240">
                  <c:v>31.436378380725284</c:v>
                </c:pt>
                <c:pt idx="241">
                  <c:v>31.105198722851611</c:v>
                </c:pt>
                <c:pt idx="242">
                  <c:v>30.772760888135377</c:v>
                </c:pt>
                <c:pt idx="243">
                  <c:v>30.439126755766384</c:v>
                </c:pt>
                <c:pt idx="244">
                  <c:v>30.104359615283869</c:v>
                </c:pt>
                <c:pt idx="245">
                  <c:v>29.768524068438499</c:v>
                </c:pt>
                <c:pt idx="246">
                  <c:v>29.431685932543218</c:v>
                </c:pt>
                <c:pt idx="247">
                  <c:v>29.093912145591851</c:v>
                </c:pt>
                <c:pt idx="248">
                  <c:v>28.755270673366063</c:v>
                </c:pt>
                <c:pt idx="249">
                  <c:v>28.415830418689797</c:v>
                </c:pt>
                <c:pt idx="250">
                  <c:v>28.075661132929213</c:v>
                </c:pt>
                <c:pt idx="251">
                  <c:v>27.734833329780887</c:v>
                </c:pt>
                <c:pt idx="252">
                  <c:v>27.393418201333674</c:v>
                </c:pt>
                <c:pt idx="253">
                  <c:v>27.051487536337167</c:v>
                </c:pt>
                <c:pt idx="254">
                  <c:v>26.70911364056348</c:v>
                </c:pt>
                <c:pt idx="255">
                  <c:v>26.366369259101067</c:v>
                </c:pt>
                <c:pt idx="256">
                  <c:v>26.023327500385275</c:v>
                </c:pt>
                <c:pt idx="257">
                  <c:v>25.680061761726598</c:v>
                </c:pt>
                <c:pt idx="258">
                  <c:v>25.336645656079742</c:v>
                </c:pt>
                <c:pt idx="259">
                  <c:v>24.993152939761679</c:v>
                </c:pt>
                <c:pt idx="260">
                  <c:v>24.649657440816686</c:v>
                </c:pt>
                <c:pt idx="261">
                  <c:v>24.306232987710818</c:v>
                </c:pt>
                <c:pt idx="262">
                  <c:v>23.962953338030978</c:v>
                </c:pt>
                <c:pt idx="263">
                  <c:v>23.619892106867152</c:v>
                </c:pt>
                <c:pt idx="264">
                  <c:v>23.277122694558727</c:v>
                </c:pt>
                <c:pt idx="265">
                  <c:v>22.934718213500002</c:v>
                </c:pt>
                <c:pt idx="266">
                  <c:v>22.592751413716023</c:v>
                </c:pt>
                <c:pt idx="267">
                  <c:v>22.251294606944839</c:v>
                </c:pt>
                <c:pt idx="268">
                  <c:v>21.910419588991111</c:v>
                </c:pt>
                <c:pt idx="269">
                  <c:v>21.57019756014882</c:v>
                </c:pt>
                <c:pt idx="270">
                  <c:v>21.230699043532578</c:v>
                </c:pt>
                <c:pt idx="271">
                  <c:v>20.891993801199348</c:v>
                </c:pt>
                <c:pt idx="272">
                  <c:v>20.554150747992132</c:v>
                </c:pt>
                <c:pt idx="273">
                  <c:v>20.217237863087526</c:v>
                </c:pt>
                <c:pt idx="274">
                  <c:v>19.881322099285434</c:v>
                </c:pt>
                <c:pt idx="275">
                  <c:v>19.546469290137544</c:v>
                </c:pt>
                <c:pt idx="276">
                  <c:v>19.21274405506842</c:v>
                </c:pt>
                <c:pt idx="277">
                  <c:v>18.880209702706825</c:v>
                </c:pt>
                <c:pt idx="278">
                  <c:v>18.548928132703022</c:v>
                </c:pt>
                <c:pt idx="279">
                  <c:v>18.218959736370127</c:v>
                </c:pt>
                <c:pt idx="280">
                  <c:v>17.890363296545392</c:v>
                </c:pt>
                <c:pt idx="281">
                  <c:v>17.563195887123658</c:v>
                </c:pt>
                <c:pt idx="282">
                  <c:v>17.237512772768081</c:v>
                </c:pt>
                <c:pt idx="283">
                  <c:v>16.913367309351774</c:v>
                </c:pt>
                <c:pt idx="284">
                  <c:v>16.590810845726832</c:v>
                </c:pt>
                <c:pt idx="285">
                  <c:v>16.269892627453618</c:v>
                </c:pt>
                <c:pt idx="286">
                  <c:v>15.950659703153207</c:v>
                </c:pt>
                <c:pt idx="287">
                  <c:v>15.633156834165952</c:v>
                </c:pt>
                <c:pt idx="288">
                  <c:v>15.317426408214454</c:v>
                </c:pt>
                <c:pt idx="289">
                  <c:v>15.003508357769888</c:v>
                </c:pt>
                <c:pt idx="290">
                  <c:v>14.6914400838172</c:v>
                </c:pt>
                <c:pt idx="291">
                  <c:v>14.381256385696695</c:v>
                </c:pt>
                <c:pt idx="292">
                  <c:v>14.072989397675276</c:v>
                </c:pt>
                <c:pt idx="293">
                  <c:v>13.76666853286487</c:v>
                </c:pt>
                <c:pt idx="294">
                  <c:v>13.462320435058784</c:v>
                </c:pt>
                <c:pt idx="295">
                  <c:v>13.159968939004344</c:v>
                </c:pt>
                <c:pt idx="296">
                  <c:v>12.859635039567245</c:v>
                </c:pt>
                <c:pt idx="297">
                  <c:v>12.56133687017201</c:v>
                </c:pt>
                <c:pt idx="298">
                  <c:v>12.2650896908267</c:v>
                </c:pt>
                <c:pt idx="299">
                  <c:v>11.970905885959557</c:v>
                </c:pt>
                <c:pt idx="300">
                  <c:v>11.678794972206321</c:v>
                </c:pt>
                <c:pt idx="301">
                  <c:v>11.388763616201498</c:v>
                </c:pt>
                <c:pt idx="302">
                  <c:v>11.100815662333513</c:v>
                </c:pt>
                <c:pt idx="303">
                  <c:v>10.814952170337371</c:v>
                </c:pt>
                <c:pt idx="304">
                  <c:v>10.531171462506222</c:v>
                </c:pt>
                <c:pt idx="305">
                  <c:v>10.249469180221569</c:v>
                </c:pt>
                <c:pt idx="306">
                  <c:v>9.9698383494177936</c:v>
                </c:pt>
                <c:pt idx="307">
                  <c:v>9.692269454523867</c:v>
                </c:pt>
                <c:pt idx="308">
                  <c:v>9.4167505203526183</c:v>
                </c:pt>
                <c:pt idx="309">
                  <c:v>9.1432672013508522</c:v>
                </c:pt>
                <c:pt idx="310">
                  <c:v>8.8718028775661821</c:v>
                </c:pt>
                <c:pt idx="311">
                  <c:v>8.6023387566454055</c:v>
                </c:pt>
                <c:pt idx="312">
                  <c:v>8.3348539811415208</c:v>
                </c:pt>
                <c:pt idx="313">
                  <c:v>8.069325740383249</c:v>
                </c:pt>
                <c:pt idx="314">
                  <c:v>7.8057293861427208</c:v>
                </c:pt>
                <c:pt idx="315">
                  <c:v>7.5440385513320161</c:v>
                </c:pt>
                <c:pt idx="316">
                  <c:v>7.2842252709590074</c:v>
                </c:pt>
                <c:pt idx="317">
                  <c:v>7.0262601045866537</c:v>
                </c:pt>
                <c:pt idx="318">
                  <c:v>6.7701122595556837</c:v>
                </c:pt>
                <c:pt idx="319">
                  <c:v>6.5157497142588952</c:v>
                </c:pt>
                <c:pt idx="320">
                  <c:v>6.2631393407849618</c:v>
                </c:pt>
                <c:pt idx="321">
                  <c:v>6.012247026290245</c:v>
                </c:pt>
                <c:pt idx="322">
                  <c:v>5.7630377924985581</c:v>
                </c:pt>
                <c:pt idx="323">
                  <c:v>5.5154759127742015</c:v>
                </c:pt>
                <c:pt idx="324">
                  <c:v>5.2695250262643416</c:v>
                </c:pt>
                <c:pt idx="325">
                  <c:v>5.0251482486592245</c:v>
                </c:pt>
                <c:pt idx="326">
                  <c:v>4.7823082791678937</c:v>
                </c:pt>
                <c:pt idx="327">
                  <c:v>4.5409675033632526</c:v>
                </c:pt>
                <c:pt idx="328">
                  <c:v>4.3010880916023773</c:v>
                </c:pt>
                <c:pt idx="329">
                  <c:v>4.062632092777684</c:v>
                </c:pt>
                <c:pt idx="330">
                  <c:v>3.8255615232085898</c:v>
                </c:pt>
                <c:pt idx="331">
                  <c:v>3.5898384505269485</c:v>
                </c:pt>
                <c:pt idx="332">
                  <c:v>3.35542507245925</c:v>
                </c:pt>
                <c:pt idx="333">
                  <c:v>3.1222837904486331</c:v>
                </c:pt>
                <c:pt idx="334">
                  <c:v>2.8903772781008548</c:v>
                </c:pt>
                <c:pt idx="335">
                  <c:v>2.6596685444755099</c:v>
                </c:pt>
                <c:pt idx="336">
                  <c:v>2.4301209922748401</c:v>
                </c:pt>
                <c:pt idx="337">
                  <c:v>2.2016984710148217</c:v>
                </c:pt>
                <c:pt idx="338">
                  <c:v>1.9743653252871094</c:v>
                </c:pt>
                <c:pt idx="339">
                  <c:v>1.7480864382462105</c:v>
                </c:pt>
                <c:pt idx="340">
                  <c:v>1.5228272704722621</c:v>
                </c:pt>
                <c:pt idx="341">
                  <c:v>1.2985538943803632</c:v>
                </c:pt>
                <c:pt idx="342">
                  <c:v>1.0752330243567378</c:v>
                </c:pt>
                <c:pt idx="343">
                  <c:v>0.85283204281698533</c:v>
                </c:pt>
                <c:pt idx="344">
                  <c:v>0.63131902238511017</c:v>
                </c:pt>
                <c:pt idx="345">
                  <c:v>0.41066274440201278</c:v>
                </c:pt>
                <c:pt idx="346">
                  <c:v>0.19083271397160287</c:v>
                </c:pt>
                <c:pt idx="347">
                  <c:v>-2.8200828241929096E-2</c:v>
                </c:pt>
                <c:pt idx="348">
                  <c:v>-0.24646689725842694</c:v>
                </c:pt>
                <c:pt idx="349">
                  <c:v>-0.46399375785422975</c:v>
                </c:pt>
                <c:pt idx="350">
                  <c:v>-0.6808089212618661</c:v>
                </c:pt>
                <c:pt idx="351">
                  <c:v>-0.89693914429268107</c:v>
                </c:pt>
                <c:pt idx="352">
                  <c:v>-1.1124104306898062</c:v>
                </c:pt>
                <c:pt idx="353">
                  <c:v>-1.3272480345207516</c:v>
                </c:pt>
                <c:pt idx="354">
                  <c:v>-1.5414764654300184</c:v>
                </c:pt>
                <c:pt idx="355">
                  <c:v>-1.7551194955755942</c:v>
                </c:pt>
                <c:pt idx="356">
                  <c:v>-1.9682001680857595</c:v>
                </c:pt>
                <c:pt idx="357">
                  <c:v>-2.1807408068772651</c:v>
                </c:pt>
                <c:pt idx="358">
                  <c:v>-2.3927630276856302</c:v>
                </c:pt>
                <c:pt idx="359">
                  <c:v>-2.6042877501693424</c:v>
                </c:pt>
                <c:pt idx="360">
                  <c:v>-2.815335210953763</c:v>
                </c:pt>
                <c:pt idx="361">
                  <c:v>-3.0259249774925117</c:v>
                </c:pt>
                <c:pt idx="362">
                  <c:v>-3.2360759626326918</c:v>
                </c:pt>
                <c:pt idx="363">
                  <c:v>-3.4458064397750925</c:v>
                </c:pt>
                <c:pt idx="364">
                  <c:v>-3.655134058533021</c:v>
                </c:pt>
                <c:pt idx="365">
                  <c:v>-3.8640758607971906</c:v>
                </c:pt>
                <c:pt idx="366">
                  <c:v>-4.0726482971251547</c:v>
                </c:pt>
                <c:pt idx="367">
                  <c:v>-4.2808672433765311</c:v>
                </c:pt>
                <c:pt idx="368">
                  <c:v>-4.4887480175275645</c:v>
                </c:pt>
                <c:pt idx="369">
                  <c:v>-4.6963053965992332</c:v>
                </c:pt>
                <c:pt idx="370">
                  <c:v>-4.9035536336439902</c:v>
                </c:pt>
                <c:pt idx="371">
                  <c:v>-5.1105064747395996</c:v>
                </c:pt>
                <c:pt idx="372">
                  <c:v>-5.3171771759443338</c:v>
                </c:pt>
                <c:pt idx="373">
                  <c:v>-5.5235785201726575</c:v>
                </c:pt>
                <c:pt idx="374">
                  <c:v>-5.7297228339571973</c:v>
                </c:pt>
                <c:pt idx="375">
                  <c:v>-5.935622004064073</c:v>
                </c:pt>
                <c:pt idx="376">
                  <c:v>-6.1412874939356819</c:v>
                </c:pt>
                <c:pt idx="377">
                  <c:v>-6.346730359937748</c:v>
                </c:pt>
                <c:pt idx="378">
                  <c:v>-6.5519612673903573</c:v>
                </c:pt>
                <c:pt idx="379">
                  <c:v>-6.7569905063678011</c:v>
                </c:pt>
                <c:pt idx="380">
                  <c:v>-6.9618280072527181</c:v>
                </c:pt>
                <c:pt idx="381">
                  <c:v>-7.1664833560354744</c:v>
                </c:pt>
                <c:pt idx="382">
                  <c:v>-7.3709658093499826</c:v>
                </c:pt>
                <c:pt idx="383">
                  <c:v>-7.5752843092411002</c:v>
                </c:pt>
                <c:pt idx="384">
                  <c:v>-7.7794474976598291</c:v>
                </c:pt>
                <c:pt idx="385">
                  <c:v>-7.9834637306854841</c:v>
                </c:pt>
                <c:pt idx="386">
                  <c:v>-8.1873410924746199</c:v>
                </c:pt>
                <c:pt idx="387">
                  <c:v>-8.3910874089394376</c:v>
                </c:pt>
                <c:pt idx="388">
                  <c:v>-8.5947102611591699</c:v>
                </c:pt>
                <c:pt idx="389">
                  <c:v>-8.7982169985284528</c:v>
                </c:pt>
                <c:pt idx="390">
                  <c:v>-9.0016147516496741</c:v>
                </c:pt>
                <c:pt idx="391">
                  <c:v>-9.2049104449764165</c:v>
                </c:pt>
                <c:pt idx="392">
                  <c:v>-9.4081108092152537</c:v>
                </c:pt>
                <c:pt idx="393">
                  <c:v>-9.611222393495682</c:v>
                </c:pt>
                <c:pt idx="394">
                  <c:v>-9.8142515773176715</c:v>
                </c:pt>
                <c:pt idx="395">
                  <c:v>-10.017204582287345</c:v>
                </c:pt>
                <c:pt idx="396">
                  <c:v>-10.220087483651339</c:v>
                </c:pt>
                <c:pt idx="397">
                  <c:v>-10.422906221642048</c:v>
                </c:pt>
                <c:pt idx="398">
                  <c:v>-10.625666612645833</c:v>
                </c:pt>
                <c:pt idx="399">
                  <c:v>-10.828374360205981</c:v>
                </c:pt>
                <c:pt idx="400">
                  <c:v>-11.031035065873915</c:v>
                </c:pt>
                <c:pt idx="401">
                  <c:v>-11.233654239921549</c:v>
                </c:pt>
                <c:pt idx="402">
                  <c:v>-11.436237311928622</c:v>
                </c:pt>
                <c:pt idx="403">
                  <c:v>-11.638789641257627</c:v>
                </c:pt>
                <c:pt idx="404">
                  <c:v>-11.84131652743222</c:v>
                </c:pt>
                <c:pt idx="405">
                  <c:v>-12.043823220430754</c:v>
                </c:pt>
                <c:pt idx="406">
                  <c:v>-12.246314930911566</c:v>
                </c:pt>
                <c:pt idx="407">
                  <c:v>-12.448796840382084</c:v>
                </c:pt>
                <c:pt idx="408">
                  <c:v>-12.651274111328256</c:v>
                </c:pt>
                <c:pt idx="409">
                  <c:v>-12.85375189731765</c:v>
                </c:pt>
                <c:pt idx="410">
                  <c:v>-13.056235353090727</c:v>
                </c:pt>
                <c:pt idx="411">
                  <c:v>-13.258729644655972</c:v>
                </c:pt>
                <c:pt idx="412">
                  <c:v>-13.461239959401954</c:v>
                </c:pt>
                <c:pt idx="413">
                  <c:v>-13.663771516242404</c:v>
                </c:pt>
                <c:pt idx="414">
                  <c:v>-13.866329575808123</c:v>
                </c:pt>
                <c:pt idx="415">
                  <c:v>-14.068919450699857</c:v>
                </c:pt>
                <c:pt idx="416">
                  <c:v>-14.271546515818299</c:v>
                </c:pt>
                <c:pt idx="417">
                  <c:v>-14.474216218783093</c:v>
                </c:pt>
                <c:pt idx="418">
                  <c:v>-14.676934090457266</c:v>
                </c:pt>
                <c:pt idx="419">
                  <c:v>-14.879705755589933</c:v>
                </c:pt>
                <c:pt idx="420">
                  <c:v>-15.082536943592018</c:v>
                </c:pt>
                <c:pt idx="421">
                  <c:v>-15.28543349945766</c:v>
                </c:pt>
                <c:pt idx="422">
                  <c:v>-15.488401394845647</c:v>
                </c:pt>
                <c:pt idx="423">
                  <c:v>-15.691446739333596</c:v>
                </c:pt>
                <c:pt idx="424">
                  <c:v>-15.894575791858101</c:v>
                </c:pt>
                <c:pt idx="425">
                  <c:v>-16.097794972352261</c:v>
                </c:pt>
                <c:pt idx="426">
                  <c:v>-16.301110873594158</c:v>
                </c:pt>
                <c:pt idx="427">
                  <c:v>-16.504530273276178</c:v>
                </c:pt>
                <c:pt idx="428">
                  <c:v>-16.708060146306707</c:v>
                </c:pt>
                <c:pt idx="429">
                  <c:v>-16.911707677355544</c:v>
                </c:pt>
                <c:pt idx="430">
                  <c:v>-17.115480273649666</c:v>
                </c:pt>
                <c:pt idx="431">
                  <c:v>-17.319385578031795</c:v>
                </c:pt>
                <c:pt idx="432">
                  <c:v>-17.523431482286224</c:v>
                </c:pt>
                <c:pt idx="433">
                  <c:v>-17.727626140740767</c:v>
                </c:pt>
                <c:pt idx="434">
                  <c:v>-17.931977984149562</c:v>
                </c:pt>
                <c:pt idx="435">
                  <c:v>-18.136495733860997</c:v>
                </c:pt>
                <c:pt idx="436">
                  <c:v>-18.341188416274335</c:v>
                </c:pt>
                <c:pt idx="437">
                  <c:v>-18.54606537758556</c:v>
                </c:pt>
                <c:pt idx="438">
                  <c:v>-18.751136298823099</c:v>
                </c:pt>
                <c:pt idx="439">
                  <c:v>-18.956411211169673</c:v>
                </c:pt>
                <c:pt idx="440">
                  <c:v>-19.161900511568128</c:v>
                </c:pt>
                <c:pt idx="441">
                  <c:v>-19.367614978602006</c:v>
                </c:pt>
                <c:pt idx="442">
                  <c:v>-19.573565788644519</c:v>
                </c:pt>
                <c:pt idx="443">
                  <c:v>-19.779764532261357</c:v>
                </c:pt>
                <c:pt idx="444">
                  <c:v>-19.986223230855519</c:v>
                </c:pt>
                <c:pt idx="445">
                  <c:v>-20.192954353532642</c:v>
                </c:pt>
                <c:pt idx="446">
                  <c:v>-20.399970834169157</c:v>
                </c:pt>
                <c:pt idx="447">
                  <c:v>-20.60728608865454</c:v>
                </c:pt>
                <c:pt idx="448">
                  <c:v>-20.814914032281514</c:v>
                </c:pt>
                <c:pt idx="449">
                  <c:v>-21.02286909724716</c:v>
                </c:pt>
                <c:pt idx="450">
                  <c:v>-21.231166250230164</c:v>
                </c:pt>
                <c:pt idx="451">
                  <c:v>-21.439821009997722</c:v>
                </c:pt>
                <c:pt idx="452">
                  <c:v>-21.648849464995436</c:v>
                </c:pt>
                <c:pt idx="453">
                  <c:v>-21.858268290865063</c:v>
                </c:pt>
                <c:pt idx="454">
                  <c:v>-22.068094767829439</c:v>
                </c:pt>
                <c:pt idx="455">
                  <c:v>-22.278346797879173</c:v>
                </c:pt>
                <c:pt idx="456">
                  <c:v>-22.489042921685026</c:v>
                </c:pt>
                <c:pt idx="457">
                  <c:v>-22.700202335159283</c:v>
                </c:pt>
                <c:pt idx="458">
                  <c:v>-22.911844905574586</c:v>
                </c:pt>
                <c:pt idx="459">
                  <c:v>-23.12399118714778</c:v>
                </c:pt>
                <c:pt idx="460">
                  <c:v>-23.336662435983897</c:v>
                </c:pt>
                <c:pt idx="461">
                  <c:v>-23.54988062426871</c:v>
                </c:pt>
                <c:pt idx="462">
                  <c:v>-23.76366845359248</c:v>
                </c:pt>
                <c:pt idx="463">
                  <c:v>-23.9780493672733</c:v>
                </c:pt>
                <c:pt idx="464">
                  <c:v>-24.193047561546539</c:v>
                </c:pt>
                <c:pt idx="465">
                  <c:v>-24.408687995473084</c:v>
                </c:pt>
                <c:pt idx="466">
                  <c:v>-24.62499639941441</c:v>
                </c:pt>
                <c:pt idx="467">
                  <c:v>-24.841999281910741</c:v>
                </c:pt>
                <c:pt idx="468">
                  <c:v>-25.059723934793855</c:v>
                </c:pt>
                <c:pt idx="469">
                  <c:v>-25.278198436355595</c:v>
                </c:pt>
                <c:pt idx="470">
                  <c:v>-25.497451652388531</c:v>
                </c:pt>
                <c:pt idx="471">
                  <c:v>-25.717513234905709</c:v>
                </c:pt>
                <c:pt idx="472">
                  <c:v>-25.938413618344324</c:v>
                </c:pt>
                <c:pt idx="473">
                  <c:v>-26.160184013049367</c:v>
                </c:pt>
                <c:pt idx="474">
                  <c:v>-26.382856395834047</c:v>
                </c:pt>
                <c:pt idx="475">
                  <c:v>-26.606463497407233</c:v>
                </c:pt>
                <c:pt idx="476">
                  <c:v>-26.83103878646136</c:v>
                </c:pt>
                <c:pt idx="477">
                  <c:v>-27.056616450212047</c:v>
                </c:pt>
                <c:pt idx="478">
                  <c:v>-27.28323137118608</c:v>
                </c:pt>
                <c:pt idx="479">
                  <c:v>-27.510919100058693</c:v>
                </c:pt>
                <c:pt idx="480">
                  <c:v>-27.73971582434767</c:v>
                </c:pt>
                <c:pt idx="481">
                  <c:v>-27.969658332784391</c:v>
                </c:pt>
                <c:pt idx="482">
                  <c:v>-28.200783975192259</c:v>
                </c:pt>
                <c:pt idx="483">
                  <c:v>-28.433130617720987</c:v>
                </c:pt>
                <c:pt idx="484">
                  <c:v>-28.666736593303082</c:v>
                </c:pt>
                <c:pt idx="485">
                  <c:v>-28.901640647221434</c:v>
                </c:pt>
                <c:pt idx="486">
                  <c:v>-29.137881877703173</c:v>
                </c:pt>
                <c:pt idx="487">
                  <c:v>-29.375499671483819</c:v>
                </c:pt>
                <c:pt idx="488">
                  <c:v>-29.614533634317056</c:v>
                </c:pt>
                <c:pt idx="489">
                  <c:v>-29.855023516444291</c:v>
                </c:pt>
                <c:pt idx="490">
                  <c:v>-30.097009133073627</c:v>
                </c:pt>
                <c:pt idx="491">
                  <c:v>-30.34053027996411</c:v>
                </c:pt>
                <c:pt idx="492">
                  <c:v>-30.585626644252542</c:v>
                </c:pt>
                <c:pt idx="493">
                  <c:v>-30.832337710710064</c:v>
                </c:pt>
                <c:pt idx="494">
                  <c:v>-31.080702663666038</c:v>
                </c:pt>
                <c:pt idx="495">
                  <c:v>-31.330760284884786</c:v>
                </c:pt>
                <c:pt idx="496">
                  <c:v>-31.58254884773827</c:v>
                </c:pt>
                <c:pt idx="497">
                  <c:v>-31.836106008065073</c:v>
                </c:pt>
                <c:pt idx="498">
                  <c:v>-32.091468692164142</c:v>
                </c:pt>
                <c:pt idx="499">
                  <c:v>-32.348672982418037</c:v>
                </c:pt>
                <c:pt idx="500">
                  <c:v>-32.60775400109496</c:v>
                </c:pt>
                <c:pt idx="501">
                  <c:v>-32.868745792921473</c:v>
                </c:pt>
                <c:pt idx="502">
                  <c:v>-33.131681207064275</c:v>
                </c:pt>
                <c:pt idx="503">
                  <c:v>-33.396591779194566</c:v>
                </c:pt>
                <c:pt idx="504">
                  <c:v>-33.663507614345946</c:v>
                </c:pt>
                <c:pt idx="505">
                  <c:v>-33.932457271298901</c:v>
                </c:pt>
                <c:pt idx="506">
                  <c:v>-34.203467649248346</c:v>
                </c:pt>
                <c:pt idx="507">
                  <c:v>-34.476563877518906</c:v>
                </c:pt>
                <c:pt idx="508">
                  <c:v>-34.751769209100097</c:v>
                </c:pt>
                <c:pt idx="509">
                  <c:v>-35.02910491876267</c:v>
                </c:pt>
                <c:pt idx="510">
                  <c:v>-35.308590206507013</c:v>
                </c:pt>
                <c:pt idx="511">
                  <c:v>-35.590242107065528</c:v>
                </c:pt>
                <c:pt idx="512">
                  <c:v>-35.874075406151434</c:v>
                </c:pt>
                <c:pt idx="513">
                  <c:v>-36.160102564096441</c:v>
                </c:pt>
                <c:pt idx="514">
                  <c:v>-36.448333647474101</c:v>
                </c:pt>
                <c:pt idx="515">
                  <c:v>-36.738776269237036</c:v>
                </c:pt>
                <c:pt idx="516">
                  <c:v>-37.031435537834007</c:v>
                </c:pt>
                <c:pt idx="517">
                  <c:v>-37.326314015690443</c:v>
                </c:pt>
                <c:pt idx="518">
                  <c:v>-37.62341168735896</c:v>
                </c:pt>
                <c:pt idx="519">
                  <c:v>-37.922725937556308</c:v>
                </c:pt>
                <c:pt idx="520">
                  <c:v>-38.224251539215246</c:v>
                </c:pt>
                <c:pt idx="521">
                  <c:v>-38.527980651586105</c:v>
                </c:pt>
                <c:pt idx="522">
                  <c:v>-38.833902828330707</c:v>
                </c:pt>
                <c:pt idx="523">
                  <c:v>-39.142005035459299</c:v>
                </c:pt>
                <c:pt idx="524">
                  <c:v>-39.452271678872023</c:v>
                </c:pt>
                <c:pt idx="525">
                  <c:v>-39.764684641176927</c:v>
                </c:pt>
                <c:pt idx="526">
                  <c:v>-40.079223327380305</c:v>
                </c:pt>
                <c:pt idx="527">
                  <c:v>-40.39586471896547</c:v>
                </c:pt>
                <c:pt idx="528">
                  <c:v>-40.714583435809061</c:v>
                </c:pt>
                <c:pt idx="529">
                  <c:v>-41.035351805326187</c:v>
                </c:pt>
                <c:pt idx="530">
                  <c:v>-41.358139938178091</c:v>
                </c:pt>
                <c:pt idx="531">
                  <c:v>-41.682915809841191</c:v>
                </c:pt>
                <c:pt idx="532">
                  <c:v>-42.009645347296065</c:v>
                </c:pt>
                <c:pt idx="533">
                  <c:v>-42.338292520078227</c:v>
                </c:pt>
                <c:pt idx="534">
                  <c:v>-42.668819434913772</c:v>
                </c:pt>
                <c:pt idx="535">
                  <c:v>-43.001186433161536</c:v>
                </c:pt>
                <c:pt idx="536">
                  <c:v>-43.335352190288042</c:v>
                </c:pt>
                <c:pt idx="537">
                  <c:v>-43.671273816615688</c:v>
                </c:pt>
                <c:pt idx="538">
                  <c:v>-44.008906958604143</c:v>
                </c:pt>
                <c:pt idx="539">
                  <c:v>-44.348205899956113</c:v>
                </c:pt>
                <c:pt idx="540">
                  <c:v>-44.689123661872642</c:v>
                </c:pt>
                <c:pt idx="541">
                  <c:v>-45.031612101824464</c:v>
                </c:pt>
              </c:numCache>
            </c:numRef>
          </c:yVal>
          <c:smooth val="1"/>
          <c:extLst>
            <c:ext xmlns:c16="http://schemas.microsoft.com/office/drawing/2014/chart" uri="{C3380CC4-5D6E-409C-BE32-E72D297353CC}">
              <c16:uniqueId val="{00000000-D13D-4F31-A1F4-F359C82058E5}"/>
            </c:ext>
          </c:extLst>
        </c:ser>
        <c:dLbls>
          <c:showLegendKey val="0"/>
          <c:showVal val="0"/>
          <c:showCatName val="0"/>
          <c:showSerName val="0"/>
          <c:showPercent val="0"/>
          <c:showBubbleSize val="0"/>
        </c:dLbls>
        <c:axId val="331786112"/>
        <c:axId val="331788288"/>
      </c:scatterChart>
      <c:scatterChart>
        <c:scatterStyle val="smoothMarker"/>
        <c:varyColors val="0"/>
        <c:ser>
          <c:idx val="1"/>
          <c:order val="1"/>
          <c:tx>
            <c:v>Phase (deg)</c:v>
          </c:tx>
          <c:marker>
            <c:symbol val="none"/>
          </c:marker>
          <c:xVal>
            <c:numRef>
              <c:f>CCM_Loop_Modeling_Isolated!$O$19:$O$560</c:f>
              <c:numCache>
                <c:formatCode>0.00</c:formatCode>
                <c:ptCount val="542"/>
                <c:pt idx="0">
                  <c:v>10.232929922807543</c:v>
                </c:pt>
                <c:pt idx="1">
                  <c:v>10.471285480509</c:v>
                </c:pt>
                <c:pt idx="2">
                  <c:v>10.715193052376069</c:v>
                </c:pt>
                <c:pt idx="3">
                  <c:v>10.964781961431854</c:v>
                </c:pt>
                <c:pt idx="4">
                  <c:v>11.220184543019636</c:v>
                </c:pt>
                <c:pt idx="5">
                  <c:v>11.481536214968834</c:v>
                </c:pt>
                <c:pt idx="6">
                  <c:v>11.748975549395301</c:v>
                </c:pt>
                <c:pt idx="7">
                  <c:v>12.022644346174133</c:v>
                </c:pt>
                <c:pt idx="8">
                  <c:v>12.302687708123818</c:v>
                </c:pt>
                <c:pt idx="9">
                  <c:v>12.58925411794168</c:v>
                </c:pt>
                <c:pt idx="10">
                  <c:v>12.882495516931346</c:v>
                </c:pt>
                <c:pt idx="11">
                  <c:v>13.182567385564075</c:v>
                </c:pt>
                <c:pt idx="12">
                  <c:v>13.489628825916535</c:v>
                </c:pt>
                <c:pt idx="13">
                  <c:v>13.803842646028857</c:v>
                </c:pt>
                <c:pt idx="14">
                  <c:v>14.125375446227544</c:v>
                </c:pt>
                <c:pt idx="15">
                  <c:v>14.454397707459275</c:v>
                </c:pt>
                <c:pt idx="16">
                  <c:v>14.791083881682074</c:v>
                </c:pt>
                <c:pt idx="17">
                  <c:v>15.135612484362087</c:v>
                </c:pt>
                <c:pt idx="18">
                  <c:v>15.488166189124817</c:v>
                </c:pt>
                <c:pt idx="19">
                  <c:v>15.848931924611136</c:v>
                </c:pt>
                <c:pt idx="20">
                  <c:v>16.218100973589298</c:v>
                </c:pt>
                <c:pt idx="21">
                  <c:v>16.595869074375614</c:v>
                </c:pt>
                <c:pt idx="22">
                  <c:v>16.982436524617448</c:v>
                </c:pt>
                <c:pt idx="23">
                  <c:v>17.378008287493756</c:v>
                </c:pt>
                <c:pt idx="24">
                  <c:v>17.782794100389236</c:v>
                </c:pt>
                <c:pt idx="25">
                  <c:v>18.197008586099841</c:v>
                </c:pt>
                <c:pt idx="26">
                  <c:v>18.62087136662868</c:v>
                </c:pt>
                <c:pt idx="27">
                  <c:v>19.054607179632477</c:v>
                </c:pt>
                <c:pt idx="28">
                  <c:v>19.498445997580465</c:v>
                </c:pt>
                <c:pt idx="29">
                  <c:v>19.952623149688804</c:v>
                </c:pt>
                <c:pt idx="30">
                  <c:v>20.4173794466953</c:v>
                </c:pt>
                <c:pt idx="31">
                  <c:v>20.8929613085404</c:v>
                </c:pt>
                <c:pt idx="32">
                  <c:v>21.379620895022335</c:v>
                </c:pt>
                <c:pt idx="33">
                  <c:v>21.877616239495538</c:v>
                </c:pt>
                <c:pt idx="34">
                  <c:v>22.387211385683404</c:v>
                </c:pt>
                <c:pt idx="35">
                  <c:v>22.908676527677727</c:v>
                </c:pt>
                <c:pt idx="36">
                  <c:v>23.442288153199236</c:v>
                </c:pt>
                <c:pt idx="37">
                  <c:v>23.988329190194907</c:v>
                </c:pt>
                <c:pt idx="38">
                  <c:v>24.547089156850316</c:v>
                </c:pt>
                <c:pt idx="39">
                  <c:v>25.118864315095799</c:v>
                </c:pt>
                <c:pt idx="40">
                  <c:v>25.703957827688647</c:v>
                </c:pt>
                <c:pt idx="41">
                  <c:v>26.302679918953825</c:v>
                </c:pt>
                <c:pt idx="42">
                  <c:v>26.915348039269158</c:v>
                </c:pt>
                <c:pt idx="43">
                  <c:v>27.542287033381665</c:v>
                </c:pt>
                <c:pt idx="44">
                  <c:v>28.183829312644548</c:v>
                </c:pt>
                <c:pt idx="45">
                  <c:v>28.840315031266066</c:v>
                </c:pt>
                <c:pt idx="46">
                  <c:v>29.512092266663863</c:v>
                </c:pt>
                <c:pt idx="47">
                  <c:v>30.199517204020164</c:v>
                </c:pt>
                <c:pt idx="48">
                  <c:v>30.902954325135919</c:v>
                </c:pt>
                <c:pt idx="49">
                  <c:v>31.622776601683803</c:v>
                </c:pt>
                <c:pt idx="50">
                  <c:v>32.359365692962832</c:v>
                </c:pt>
                <c:pt idx="51">
                  <c:v>33.113112148259127</c:v>
                </c:pt>
                <c:pt idx="52">
                  <c:v>33.884415613920268</c:v>
                </c:pt>
                <c:pt idx="53">
                  <c:v>34.67368504525318</c:v>
                </c:pt>
                <c:pt idx="54">
                  <c:v>35.481338923357555</c:v>
                </c:pt>
                <c:pt idx="55">
                  <c:v>36.307805477010156</c:v>
                </c:pt>
                <c:pt idx="56">
                  <c:v>37.15352290971726</c:v>
                </c:pt>
                <c:pt idx="57">
                  <c:v>38.018939632056139</c:v>
                </c:pt>
                <c:pt idx="58">
                  <c:v>38.904514499428053</c:v>
                </c:pt>
                <c:pt idx="59">
                  <c:v>39.810717055349755</c:v>
                </c:pt>
                <c:pt idx="60">
                  <c:v>40.738027780411279</c:v>
                </c:pt>
                <c:pt idx="61">
                  <c:v>41.686938347033561</c:v>
                </c:pt>
                <c:pt idx="62">
                  <c:v>42.657951880159267</c:v>
                </c:pt>
                <c:pt idx="63">
                  <c:v>43.651583224016633</c:v>
                </c:pt>
                <c:pt idx="64">
                  <c:v>44.668359215096324</c:v>
                </c:pt>
                <c:pt idx="65">
                  <c:v>45.70881896148753</c:v>
                </c:pt>
                <c:pt idx="66">
                  <c:v>46.773514128719818</c:v>
                </c:pt>
                <c:pt idx="67">
                  <c:v>47.863009232263877</c:v>
                </c:pt>
                <c:pt idx="68">
                  <c:v>48.977881936844632</c:v>
                </c:pt>
                <c:pt idx="69">
                  <c:v>50.118723362727238</c:v>
                </c:pt>
                <c:pt idx="70">
                  <c:v>51.28613839913649</c:v>
                </c:pt>
                <c:pt idx="71">
                  <c:v>52.480746024977286</c:v>
                </c:pt>
                <c:pt idx="72">
                  <c:v>53.703179637025293</c:v>
                </c:pt>
                <c:pt idx="73">
                  <c:v>54.95408738576247</c:v>
                </c:pt>
                <c:pt idx="74">
                  <c:v>56.234132519034915</c:v>
                </c:pt>
                <c:pt idx="75">
                  <c:v>57.543993733715695</c:v>
                </c:pt>
                <c:pt idx="76">
                  <c:v>58.884365535558949</c:v>
                </c:pt>
                <c:pt idx="77">
                  <c:v>60.255958607435822</c:v>
                </c:pt>
                <c:pt idx="78">
                  <c:v>61.659500186148257</c:v>
                </c:pt>
                <c:pt idx="79">
                  <c:v>63.095734448019364</c:v>
                </c:pt>
                <c:pt idx="80">
                  <c:v>64.565422903465588</c:v>
                </c:pt>
                <c:pt idx="81">
                  <c:v>66.069344800759623</c:v>
                </c:pt>
                <c:pt idx="82">
                  <c:v>67.60829753919819</c:v>
                </c:pt>
                <c:pt idx="83">
                  <c:v>69.183097091893657</c:v>
                </c:pt>
                <c:pt idx="84">
                  <c:v>70.794578438413865</c:v>
                </c:pt>
                <c:pt idx="85">
                  <c:v>72.443596007499011</c:v>
                </c:pt>
                <c:pt idx="86">
                  <c:v>74.131024130091816</c:v>
                </c:pt>
                <c:pt idx="87">
                  <c:v>75.857757502918361</c:v>
                </c:pt>
                <c:pt idx="88">
                  <c:v>77.624711662869217</c:v>
                </c:pt>
                <c:pt idx="89">
                  <c:v>79.432823472428197</c:v>
                </c:pt>
                <c:pt idx="90">
                  <c:v>81.283051616409963</c:v>
                </c:pt>
                <c:pt idx="91">
                  <c:v>83.176377110267126</c:v>
                </c:pt>
                <c:pt idx="92">
                  <c:v>85.113803820237734</c:v>
                </c:pt>
                <c:pt idx="93">
                  <c:v>87.096358995608071</c:v>
                </c:pt>
                <c:pt idx="94">
                  <c:v>89.125093813374562</c:v>
                </c:pt>
                <c:pt idx="95">
                  <c:v>91.201083935590972</c:v>
                </c:pt>
                <c:pt idx="96">
                  <c:v>93.325430079699174</c:v>
                </c:pt>
                <c:pt idx="97">
                  <c:v>95.499258602143655</c:v>
                </c:pt>
                <c:pt idx="98">
                  <c:v>97.723722095581124</c:v>
                </c:pt>
                <c:pt idx="99">
                  <c:v>100</c:v>
                </c:pt>
                <c:pt idx="100">
                  <c:v>102.32929922807544</c:v>
                </c:pt>
                <c:pt idx="101">
                  <c:v>104.71285480508998</c:v>
                </c:pt>
                <c:pt idx="102">
                  <c:v>107.15193052376065</c:v>
                </c:pt>
                <c:pt idx="103">
                  <c:v>109.64781961431861</c:v>
                </c:pt>
                <c:pt idx="104">
                  <c:v>112.20184543019634</c:v>
                </c:pt>
                <c:pt idx="105">
                  <c:v>114.81536214968835</c:v>
                </c:pt>
                <c:pt idx="106">
                  <c:v>117.48975549395293</c:v>
                </c:pt>
                <c:pt idx="107">
                  <c:v>120.22644346174135</c:v>
                </c:pt>
                <c:pt idx="108">
                  <c:v>123.02687708123821</c:v>
                </c:pt>
                <c:pt idx="109">
                  <c:v>125.89254117941677</c:v>
                </c:pt>
                <c:pt idx="110">
                  <c:v>128.82495516931343</c:v>
                </c:pt>
                <c:pt idx="111">
                  <c:v>131.82567385564084</c:v>
                </c:pt>
                <c:pt idx="112">
                  <c:v>134.89628825916537</c:v>
                </c:pt>
                <c:pt idx="113">
                  <c:v>138.0384264602886</c:v>
                </c:pt>
                <c:pt idx="114">
                  <c:v>141.25375446227542</c:v>
                </c:pt>
                <c:pt idx="115">
                  <c:v>144.54397707459285</c:v>
                </c:pt>
                <c:pt idx="116">
                  <c:v>147.91083881682084</c:v>
                </c:pt>
                <c:pt idx="117">
                  <c:v>151.3561248436209</c:v>
                </c:pt>
                <c:pt idx="118">
                  <c:v>154.8816618912482</c:v>
                </c:pt>
                <c:pt idx="119">
                  <c:v>158.48931924611153</c:v>
                </c:pt>
                <c:pt idx="120">
                  <c:v>162.18100973589304</c:v>
                </c:pt>
                <c:pt idx="121">
                  <c:v>165.95869074375622</c:v>
                </c:pt>
                <c:pt idx="122">
                  <c:v>169.82436524617444</c:v>
                </c:pt>
                <c:pt idx="123">
                  <c:v>173.78008287493768</c:v>
                </c:pt>
                <c:pt idx="124">
                  <c:v>177.82794100389242</c:v>
                </c:pt>
                <c:pt idx="125">
                  <c:v>181.9700858609983</c:v>
                </c:pt>
                <c:pt idx="126">
                  <c:v>186.20871366628685</c:v>
                </c:pt>
                <c:pt idx="127">
                  <c:v>190.54607179632498</c:v>
                </c:pt>
                <c:pt idx="128">
                  <c:v>194.98445997580458</c:v>
                </c:pt>
                <c:pt idx="129">
                  <c:v>199.52623149688802</c:v>
                </c:pt>
                <c:pt idx="130">
                  <c:v>204.17379446695315</c:v>
                </c:pt>
                <c:pt idx="131">
                  <c:v>208.92961308540396</c:v>
                </c:pt>
                <c:pt idx="132">
                  <c:v>213.79620895022339</c:v>
                </c:pt>
                <c:pt idx="133">
                  <c:v>218.77616239495524</c:v>
                </c:pt>
                <c:pt idx="134">
                  <c:v>223.87211385683412</c:v>
                </c:pt>
                <c:pt idx="135">
                  <c:v>229.08676527677744</c:v>
                </c:pt>
                <c:pt idx="136">
                  <c:v>234.42288153199232</c:v>
                </c:pt>
                <c:pt idx="137">
                  <c:v>239.88329190194912</c:v>
                </c:pt>
                <c:pt idx="138">
                  <c:v>245.4708915685033</c:v>
                </c:pt>
                <c:pt idx="139">
                  <c:v>251.18864315095806</c:v>
                </c:pt>
                <c:pt idx="140">
                  <c:v>257.03957827688663</c:v>
                </c:pt>
                <c:pt idx="141">
                  <c:v>263.02679918953817</c:v>
                </c:pt>
                <c:pt idx="142">
                  <c:v>269.15348039269179</c:v>
                </c:pt>
                <c:pt idx="143">
                  <c:v>275.42287033381683</c:v>
                </c:pt>
                <c:pt idx="144">
                  <c:v>281.83829312644554</c:v>
                </c:pt>
                <c:pt idx="145">
                  <c:v>288.40315031266073</c:v>
                </c:pt>
                <c:pt idx="146">
                  <c:v>295.12092266663871</c:v>
                </c:pt>
                <c:pt idx="147">
                  <c:v>301.99517204020168</c:v>
                </c:pt>
                <c:pt idx="148">
                  <c:v>309.02954325135937</c:v>
                </c:pt>
                <c:pt idx="149">
                  <c:v>316.22776601683825</c:v>
                </c:pt>
                <c:pt idx="150">
                  <c:v>323.59365692962825</c:v>
                </c:pt>
                <c:pt idx="151">
                  <c:v>331.13112148259137</c:v>
                </c:pt>
                <c:pt idx="152">
                  <c:v>338.84415613920277</c:v>
                </c:pt>
                <c:pt idx="153">
                  <c:v>346.73685045253183</c:v>
                </c:pt>
                <c:pt idx="154">
                  <c:v>354.81338923357566</c:v>
                </c:pt>
                <c:pt idx="155">
                  <c:v>363.07805477010152</c:v>
                </c:pt>
                <c:pt idx="156">
                  <c:v>371.53522909717265</c:v>
                </c:pt>
                <c:pt idx="157">
                  <c:v>380.18939632056163</c:v>
                </c:pt>
                <c:pt idx="158">
                  <c:v>389.04514499428063</c:v>
                </c:pt>
                <c:pt idx="159">
                  <c:v>398.10717055349761</c:v>
                </c:pt>
                <c:pt idx="160">
                  <c:v>407.38027780411272</c:v>
                </c:pt>
                <c:pt idx="161">
                  <c:v>416.86938347033572</c:v>
                </c:pt>
                <c:pt idx="162">
                  <c:v>426.57951880159294</c:v>
                </c:pt>
                <c:pt idx="163">
                  <c:v>436.51583224016622</c:v>
                </c:pt>
                <c:pt idx="164">
                  <c:v>446.68359215096331</c:v>
                </c:pt>
                <c:pt idx="165">
                  <c:v>457.0881896148756</c:v>
                </c:pt>
                <c:pt idx="166">
                  <c:v>467.7351412871983</c:v>
                </c:pt>
                <c:pt idx="167">
                  <c:v>478.63009232263886</c:v>
                </c:pt>
                <c:pt idx="168">
                  <c:v>489.77881936844625</c:v>
                </c:pt>
                <c:pt idx="169">
                  <c:v>501.18723362727269</c:v>
                </c:pt>
                <c:pt idx="170">
                  <c:v>512.86138399136519</c:v>
                </c:pt>
                <c:pt idx="171">
                  <c:v>524.80746024977248</c:v>
                </c:pt>
                <c:pt idx="172">
                  <c:v>537.03179637025301</c:v>
                </c:pt>
                <c:pt idx="173">
                  <c:v>549.54087385762534</c:v>
                </c:pt>
                <c:pt idx="174">
                  <c:v>562.34132519034927</c:v>
                </c:pt>
                <c:pt idx="175">
                  <c:v>575.43993733715706</c:v>
                </c:pt>
                <c:pt idx="176">
                  <c:v>588.84365535558959</c:v>
                </c:pt>
                <c:pt idx="177">
                  <c:v>602.55958607435832</c:v>
                </c:pt>
                <c:pt idx="178">
                  <c:v>616.59500186148273</c:v>
                </c:pt>
                <c:pt idx="179">
                  <c:v>630.95734448019323</c:v>
                </c:pt>
                <c:pt idx="180">
                  <c:v>645.65422903465594</c:v>
                </c:pt>
                <c:pt idx="181">
                  <c:v>660.69344800759643</c:v>
                </c:pt>
                <c:pt idx="182">
                  <c:v>676.08297539198213</c:v>
                </c:pt>
                <c:pt idx="183">
                  <c:v>691.83097091893671</c:v>
                </c:pt>
                <c:pt idx="184">
                  <c:v>707.94578438413873</c:v>
                </c:pt>
                <c:pt idx="185">
                  <c:v>724.43596007499025</c:v>
                </c:pt>
                <c:pt idx="186">
                  <c:v>741.31024130091828</c:v>
                </c:pt>
                <c:pt idx="187">
                  <c:v>758.57757502918378</c:v>
                </c:pt>
                <c:pt idx="188">
                  <c:v>776.24711662869231</c:v>
                </c:pt>
                <c:pt idx="189">
                  <c:v>794.32823472428208</c:v>
                </c:pt>
                <c:pt idx="190">
                  <c:v>812.83051616409978</c:v>
                </c:pt>
                <c:pt idx="191">
                  <c:v>831.7637711026714</c:v>
                </c:pt>
                <c:pt idx="192">
                  <c:v>851.13803820237763</c:v>
                </c:pt>
                <c:pt idx="193">
                  <c:v>870.96358995608091</c:v>
                </c:pt>
                <c:pt idx="194">
                  <c:v>891.25093813374656</c:v>
                </c:pt>
                <c:pt idx="195">
                  <c:v>912.01083935590987</c:v>
                </c:pt>
                <c:pt idx="196">
                  <c:v>933.25430079699106</c:v>
                </c:pt>
                <c:pt idx="197">
                  <c:v>954.99258602143675</c:v>
                </c:pt>
                <c:pt idx="198">
                  <c:v>977.23722095581138</c:v>
                </c:pt>
                <c:pt idx="199">
                  <c:v>1000</c:v>
                </c:pt>
                <c:pt idx="200">
                  <c:v>1023.2929922807547</c:v>
                </c:pt>
                <c:pt idx="201">
                  <c:v>1047.1285480509</c:v>
                </c:pt>
                <c:pt idx="202">
                  <c:v>1071.5193052376069</c:v>
                </c:pt>
                <c:pt idx="203">
                  <c:v>1096.4781961431863</c:v>
                </c:pt>
                <c:pt idx="204">
                  <c:v>1122.0184543019636</c:v>
                </c:pt>
                <c:pt idx="205">
                  <c:v>1148.1536214968839</c:v>
                </c:pt>
                <c:pt idx="206">
                  <c:v>1174.8975549395295</c:v>
                </c:pt>
                <c:pt idx="207">
                  <c:v>1202.2644346174138</c:v>
                </c:pt>
                <c:pt idx="208">
                  <c:v>1230.2687708123824</c:v>
                </c:pt>
                <c:pt idx="209">
                  <c:v>1258.925411794168</c:v>
                </c:pt>
                <c:pt idx="210">
                  <c:v>1288.2495516931347</c:v>
                </c:pt>
                <c:pt idx="211">
                  <c:v>1318.2567385564089</c:v>
                </c:pt>
                <c:pt idx="212">
                  <c:v>1348.9628825916541</c:v>
                </c:pt>
                <c:pt idx="213">
                  <c:v>1380.3842646028863</c:v>
                </c:pt>
                <c:pt idx="214">
                  <c:v>1412.5375446227545</c:v>
                </c:pt>
                <c:pt idx="215">
                  <c:v>1445.4397707459289</c:v>
                </c:pt>
                <c:pt idx="216">
                  <c:v>1479.1083881682086</c:v>
                </c:pt>
                <c:pt idx="217">
                  <c:v>1513.5612484362093</c:v>
                </c:pt>
                <c:pt idx="218">
                  <c:v>1548.8166189124822</c:v>
                </c:pt>
                <c:pt idx="219">
                  <c:v>1584.8931924611156</c:v>
                </c:pt>
                <c:pt idx="220">
                  <c:v>1621.8100973589308</c:v>
                </c:pt>
                <c:pt idx="221">
                  <c:v>1659.5869074375626</c:v>
                </c:pt>
                <c:pt idx="222">
                  <c:v>1698.2436524617447</c:v>
                </c:pt>
                <c:pt idx="223">
                  <c:v>1737.8008287493772</c:v>
                </c:pt>
                <c:pt idx="224">
                  <c:v>1778.2794100389244</c:v>
                </c:pt>
                <c:pt idx="225">
                  <c:v>1819.7008586099832</c:v>
                </c:pt>
                <c:pt idx="226">
                  <c:v>1862.0871366628687</c:v>
                </c:pt>
                <c:pt idx="227">
                  <c:v>1905.4607179632501</c:v>
                </c:pt>
                <c:pt idx="228">
                  <c:v>1949.8445997580463</c:v>
                </c:pt>
                <c:pt idx="229">
                  <c:v>1995.2623149688804</c:v>
                </c:pt>
                <c:pt idx="230">
                  <c:v>2041.7379446695318</c:v>
                </c:pt>
                <c:pt idx="231">
                  <c:v>2089.2961308540398</c:v>
                </c:pt>
                <c:pt idx="232">
                  <c:v>2137.9620895022344</c:v>
                </c:pt>
                <c:pt idx="233">
                  <c:v>2187.7616239495528</c:v>
                </c:pt>
                <c:pt idx="234">
                  <c:v>2238.7211385683418</c:v>
                </c:pt>
                <c:pt idx="235">
                  <c:v>2290.8676527677749</c:v>
                </c:pt>
                <c:pt idx="236">
                  <c:v>2344.2288153199238</c:v>
                </c:pt>
                <c:pt idx="237">
                  <c:v>2398.8329190194918</c:v>
                </c:pt>
                <c:pt idx="238">
                  <c:v>2454.7089156850338</c:v>
                </c:pt>
                <c:pt idx="239">
                  <c:v>2511.8864315095811</c:v>
                </c:pt>
                <c:pt idx="240">
                  <c:v>2570.3957827688669</c:v>
                </c:pt>
                <c:pt idx="241">
                  <c:v>2630.2679918953822</c:v>
                </c:pt>
                <c:pt idx="242">
                  <c:v>2691.5348039269184</c:v>
                </c:pt>
                <c:pt idx="243">
                  <c:v>2754.228703338169</c:v>
                </c:pt>
                <c:pt idx="244">
                  <c:v>2818.3829312644561</c:v>
                </c:pt>
                <c:pt idx="245">
                  <c:v>2884.0315031266077</c:v>
                </c:pt>
                <c:pt idx="246">
                  <c:v>2951.2092266663876</c:v>
                </c:pt>
                <c:pt idx="247">
                  <c:v>3019.9517204020176</c:v>
                </c:pt>
                <c:pt idx="248">
                  <c:v>3090.295432513592</c:v>
                </c:pt>
                <c:pt idx="249">
                  <c:v>3162.2776601683804</c:v>
                </c:pt>
                <c:pt idx="250">
                  <c:v>3235.9365692962833</c:v>
                </c:pt>
                <c:pt idx="251">
                  <c:v>3311.3112148259115</c:v>
                </c:pt>
                <c:pt idx="252">
                  <c:v>3388.4415613920314</c:v>
                </c:pt>
                <c:pt idx="253">
                  <c:v>3467.3685045253224</c:v>
                </c:pt>
                <c:pt idx="254">
                  <c:v>3548.1338923357539</c:v>
                </c:pt>
                <c:pt idx="255">
                  <c:v>3630.7805477010188</c:v>
                </c:pt>
                <c:pt idx="256">
                  <c:v>3715.352290971724</c:v>
                </c:pt>
                <c:pt idx="257">
                  <c:v>3801.8939632056172</c:v>
                </c:pt>
                <c:pt idx="258">
                  <c:v>3890.451449942811</c:v>
                </c:pt>
                <c:pt idx="259">
                  <c:v>3981.0717055349769</c:v>
                </c:pt>
                <c:pt idx="260">
                  <c:v>4073.8027780411317</c:v>
                </c:pt>
                <c:pt idx="261">
                  <c:v>4168.6938347033583</c:v>
                </c:pt>
                <c:pt idx="262">
                  <c:v>4265.7951880159299</c:v>
                </c:pt>
                <c:pt idx="263">
                  <c:v>4365.1583224016631</c:v>
                </c:pt>
                <c:pt idx="264">
                  <c:v>4466.8359215096343</c:v>
                </c:pt>
                <c:pt idx="265">
                  <c:v>4570.8818961487532</c:v>
                </c:pt>
                <c:pt idx="266">
                  <c:v>4677.3514128719844</c:v>
                </c:pt>
                <c:pt idx="267">
                  <c:v>4786.3009232263848</c:v>
                </c:pt>
                <c:pt idx="268">
                  <c:v>4897.7881936844633</c:v>
                </c:pt>
                <c:pt idx="269">
                  <c:v>5011.8723362727324</c:v>
                </c:pt>
                <c:pt idx="270">
                  <c:v>5128.6138399136489</c:v>
                </c:pt>
                <c:pt idx="271">
                  <c:v>5248.0746024977261</c:v>
                </c:pt>
                <c:pt idx="272">
                  <c:v>5370.3179637025269</c:v>
                </c:pt>
                <c:pt idx="273">
                  <c:v>5495.4087385762541</c:v>
                </c:pt>
                <c:pt idx="274">
                  <c:v>5623.4132519034993</c:v>
                </c:pt>
                <c:pt idx="275">
                  <c:v>5754.399373371567</c:v>
                </c:pt>
                <c:pt idx="276">
                  <c:v>5888.4365535558973</c:v>
                </c:pt>
                <c:pt idx="277">
                  <c:v>6025.595860743585</c:v>
                </c:pt>
                <c:pt idx="278">
                  <c:v>6165.9500186148289</c:v>
                </c:pt>
                <c:pt idx="279">
                  <c:v>6309.5734448019384</c:v>
                </c:pt>
                <c:pt idx="280">
                  <c:v>6456.5422903465615</c:v>
                </c:pt>
                <c:pt idx="281">
                  <c:v>6606.9344800759654</c:v>
                </c:pt>
                <c:pt idx="282">
                  <c:v>6760.8297539198229</c:v>
                </c:pt>
                <c:pt idx="283">
                  <c:v>6918.3097091893687</c:v>
                </c:pt>
                <c:pt idx="284">
                  <c:v>7079.4578438413828</c:v>
                </c:pt>
                <c:pt idx="285">
                  <c:v>7244.3596007499036</c:v>
                </c:pt>
                <c:pt idx="286">
                  <c:v>7413.1024130091773</c:v>
                </c:pt>
                <c:pt idx="287">
                  <c:v>7585.7757502918394</c:v>
                </c:pt>
                <c:pt idx="288">
                  <c:v>7762.4711662869322</c:v>
                </c:pt>
                <c:pt idx="289">
                  <c:v>7943.2823472428154</c:v>
                </c:pt>
                <c:pt idx="290">
                  <c:v>8128.3051616410066</c:v>
                </c:pt>
                <c:pt idx="291">
                  <c:v>8317.6377110267094</c:v>
                </c:pt>
                <c:pt idx="292">
                  <c:v>8511.3803820237772</c:v>
                </c:pt>
                <c:pt idx="293">
                  <c:v>8709.6358995608189</c:v>
                </c:pt>
                <c:pt idx="294">
                  <c:v>8912.5093813374679</c:v>
                </c:pt>
                <c:pt idx="295">
                  <c:v>9120.1083935591087</c:v>
                </c:pt>
                <c:pt idx="296">
                  <c:v>9332.5430079699217</c:v>
                </c:pt>
                <c:pt idx="297">
                  <c:v>9549.9258602143691</c:v>
                </c:pt>
                <c:pt idx="298">
                  <c:v>9772.3722095581161</c:v>
                </c:pt>
                <c:pt idx="299">
                  <c:v>10000</c:v>
                </c:pt>
                <c:pt idx="300">
                  <c:v>10232.929922807549</c:v>
                </c:pt>
                <c:pt idx="301">
                  <c:v>10471.285480509003</c:v>
                </c:pt>
                <c:pt idx="302">
                  <c:v>10715.193052376071</c:v>
                </c:pt>
                <c:pt idx="303">
                  <c:v>10964.781961431856</c:v>
                </c:pt>
                <c:pt idx="304">
                  <c:v>11220.184543019639</c:v>
                </c:pt>
                <c:pt idx="305">
                  <c:v>11481.536214968832</c:v>
                </c:pt>
                <c:pt idx="306">
                  <c:v>11748.975549395318</c:v>
                </c:pt>
                <c:pt idx="307">
                  <c:v>12022.644346174151</c:v>
                </c:pt>
                <c:pt idx="308">
                  <c:v>12302.687708123816</c:v>
                </c:pt>
                <c:pt idx="309">
                  <c:v>12589.254117941671</c:v>
                </c:pt>
                <c:pt idx="310">
                  <c:v>12882.49551693136</c:v>
                </c:pt>
                <c:pt idx="311">
                  <c:v>13182.567385564091</c:v>
                </c:pt>
                <c:pt idx="312">
                  <c:v>13489.628825916556</c:v>
                </c:pt>
                <c:pt idx="313">
                  <c:v>13803.842646028841</c:v>
                </c:pt>
                <c:pt idx="314">
                  <c:v>14125.375446227561</c:v>
                </c:pt>
                <c:pt idx="315">
                  <c:v>14454.397707459291</c:v>
                </c:pt>
                <c:pt idx="316">
                  <c:v>14791.083881682089</c:v>
                </c:pt>
                <c:pt idx="317">
                  <c:v>15135.612484362096</c:v>
                </c:pt>
                <c:pt idx="318">
                  <c:v>15488.166189124853</c:v>
                </c:pt>
                <c:pt idx="319">
                  <c:v>15848.931924611146</c:v>
                </c:pt>
                <c:pt idx="320">
                  <c:v>16218.100973589309</c:v>
                </c:pt>
                <c:pt idx="321">
                  <c:v>16595.869074375616</c:v>
                </c:pt>
                <c:pt idx="322">
                  <c:v>16982.436524617482</c:v>
                </c:pt>
                <c:pt idx="323">
                  <c:v>17378.008287493791</c:v>
                </c:pt>
                <c:pt idx="324">
                  <c:v>17782.794100389234</c:v>
                </c:pt>
                <c:pt idx="325">
                  <c:v>18197.008586099837</c:v>
                </c:pt>
                <c:pt idx="326">
                  <c:v>18620.871366628675</c:v>
                </c:pt>
                <c:pt idx="327">
                  <c:v>19054.607179632505</c:v>
                </c:pt>
                <c:pt idx="328">
                  <c:v>19498.445997580486</c:v>
                </c:pt>
                <c:pt idx="329">
                  <c:v>19952.623149688792</c:v>
                </c:pt>
                <c:pt idx="330">
                  <c:v>20417.379446695286</c:v>
                </c:pt>
                <c:pt idx="331">
                  <c:v>20892.961308540423</c:v>
                </c:pt>
                <c:pt idx="332">
                  <c:v>21379.620895022348</c:v>
                </c:pt>
                <c:pt idx="333">
                  <c:v>21877.61623949555</c:v>
                </c:pt>
                <c:pt idx="334">
                  <c:v>22387.211385683382</c:v>
                </c:pt>
                <c:pt idx="335">
                  <c:v>22908.676527677751</c:v>
                </c:pt>
                <c:pt idx="336">
                  <c:v>23442.288153199243</c:v>
                </c:pt>
                <c:pt idx="337">
                  <c:v>23988.329190194923</c:v>
                </c:pt>
                <c:pt idx="338">
                  <c:v>24547.089156850321</c:v>
                </c:pt>
                <c:pt idx="339">
                  <c:v>25118.86431509586</c:v>
                </c:pt>
                <c:pt idx="340">
                  <c:v>25703.95782768865</c:v>
                </c:pt>
                <c:pt idx="341">
                  <c:v>26302.679918953829</c:v>
                </c:pt>
                <c:pt idx="342">
                  <c:v>26915.348039269167</c:v>
                </c:pt>
                <c:pt idx="343">
                  <c:v>27542.287033381719</c:v>
                </c:pt>
                <c:pt idx="344">
                  <c:v>28183.829312644593</c:v>
                </c:pt>
                <c:pt idx="345">
                  <c:v>28840.315031266062</c:v>
                </c:pt>
                <c:pt idx="346">
                  <c:v>29512.092266663854</c:v>
                </c:pt>
                <c:pt idx="347">
                  <c:v>30199.517204020212</c:v>
                </c:pt>
                <c:pt idx="348">
                  <c:v>30902.954325135954</c:v>
                </c:pt>
                <c:pt idx="349">
                  <c:v>31622.77660168384</c:v>
                </c:pt>
                <c:pt idx="350">
                  <c:v>32359.365692962871</c:v>
                </c:pt>
                <c:pt idx="351">
                  <c:v>33113.11214825909</c:v>
                </c:pt>
                <c:pt idx="352">
                  <c:v>33884.41561392029</c:v>
                </c:pt>
                <c:pt idx="353">
                  <c:v>34673.685045253202</c:v>
                </c:pt>
                <c:pt idx="354">
                  <c:v>35481.33892335758</c:v>
                </c:pt>
                <c:pt idx="355">
                  <c:v>36307.805477010232</c:v>
                </c:pt>
                <c:pt idx="356">
                  <c:v>37153.522909717351</c:v>
                </c:pt>
                <c:pt idx="357">
                  <c:v>38018.939632056143</c:v>
                </c:pt>
                <c:pt idx="358">
                  <c:v>38904.514499428085</c:v>
                </c:pt>
                <c:pt idx="359">
                  <c:v>39810.717055349742</c:v>
                </c:pt>
                <c:pt idx="360">
                  <c:v>40738.027780411358</c:v>
                </c:pt>
                <c:pt idx="361">
                  <c:v>41686.938347033625</c:v>
                </c:pt>
                <c:pt idx="362">
                  <c:v>42657.951880159271</c:v>
                </c:pt>
                <c:pt idx="363">
                  <c:v>43651.583224016598</c:v>
                </c:pt>
                <c:pt idx="364">
                  <c:v>44668.359215096389</c:v>
                </c:pt>
                <c:pt idx="365">
                  <c:v>45708.818961487581</c:v>
                </c:pt>
                <c:pt idx="366">
                  <c:v>46773.514128719893</c:v>
                </c:pt>
                <c:pt idx="367">
                  <c:v>47863.009232263823</c:v>
                </c:pt>
                <c:pt idx="368">
                  <c:v>48977.881936844598</c:v>
                </c:pt>
                <c:pt idx="369">
                  <c:v>50118.723362727294</c:v>
                </c:pt>
                <c:pt idx="370">
                  <c:v>51286.138399136544</c:v>
                </c:pt>
                <c:pt idx="371">
                  <c:v>52480.746024977314</c:v>
                </c:pt>
                <c:pt idx="372">
                  <c:v>53703.179637025423</c:v>
                </c:pt>
                <c:pt idx="373">
                  <c:v>54954.087385762505</c:v>
                </c:pt>
                <c:pt idx="374">
                  <c:v>56234.132519034953</c:v>
                </c:pt>
                <c:pt idx="375">
                  <c:v>57543.993733715732</c:v>
                </c:pt>
                <c:pt idx="376">
                  <c:v>58884.365535558936</c:v>
                </c:pt>
                <c:pt idx="377">
                  <c:v>60255.95860743591</c:v>
                </c:pt>
                <c:pt idx="378">
                  <c:v>61659.500186148245</c:v>
                </c:pt>
                <c:pt idx="379">
                  <c:v>63095.734448019342</c:v>
                </c:pt>
                <c:pt idx="380">
                  <c:v>64565.422903465682</c:v>
                </c:pt>
                <c:pt idx="381">
                  <c:v>66069.344800759733</c:v>
                </c:pt>
                <c:pt idx="382">
                  <c:v>67608.297539198305</c:v>
                </c:pt>
                <c:pt idx="383">
                  <c:v>69183.097091893651</c:v>
                </c:pt>
                <c:pt idx="384">
                  <c:v>70794.578438413781</c:v>
                </c:pt>
                <c:pt idx="385">
                  <c:v>72443.596007499116</c:v>
                </c:pt>
                <c:pt idx="386">
                  <c:v>74131.024130091857</c:v>
                </c:pt>
                <c:pt idx="387">
                  <c:v>75857.757502918481</c:v>
                </c:pt>
                <c:pt idx="388">
                  <c:v>77624.711662869129</c:v>
                </c:pt>
                <c:pt idx="389">
                  <c:v>79432.823472428237</c:v>
                </c:pt>
                <c:pt idx="390">
                  <c:v>81283.051616410012</c:v>
                </c:pt>
                <c:pt idx="391">
                  <c:v>83176.377110267174</c:v>
                </c:pt>
                <c:pt idx="392">
                  <c:v>85113.803820237721</c:v>
                </c:pt>
                <c:pt idx="393">
                  <c:v>87096.358995608127</c:v>
                </c:pt>
                <c:pt idx="394">
                  <c:v>89125.093813374609</c:v>
                </c:pt>
                <c:pt idx="395">
                  <c:v>91201.083935591028</c:v>
                </c:pt>
                <c:pt idx="396">
                  <c:v>93325.430079699145</c:v>
                </c:pt>
                <c:pt idx="397">
                  <c:v>95499.258602143804</c:v>
                </c:pt>
                <c:pt idx="398">
                  <c:v>97723.722095581266</c:v>
                </c:pt>
                <c:pt idx="399">
                  <c:v>100000</c:v>
                </c:pt>
                <c:pt idx="400">
                  <c:v>102329.29922807543</c:v>
                </c:pt>
                <c:pt idx="401">
                  <c:v>104712.85480508996</c:v>
                </c:pt>
                <c:pt idx="402">
                  <c:v>107151.93052376082</c:v>
                </c:pt>
                <c:pt idx="403">
                  <c:v>109647.81961431868</c:v>
                </c:pt>
                <c:pt idx="404">
                  <c:v>112201.84543019651</c:v>
                </c:pt>
                <c:pt idx="405">
                  <c:v>114815.36214968823</c:v>
                </c:pt>
                <c:pt idx="406">
                  <c:v>117489.75549395311</c:v>
                </c:pt>
                <c:pt idx="407">
                  <c:v>120226.44346174144</c:v>
                </c:pt>
                <c:pt idx="408">
                  <c:v>123026.87708123829</c:v>
                </c:pt>
                <c:pt idx="409">
                  <c:v>125892.54117941685</c:v>
                </c:pt>
                <c:pt idx="410">
                  <c:v>128824.95516931375</c:v>
                </c:pt>
                <c:pt idx="411">
                  <c:v>131825.67385564081</c:v>
                </c:pt>
                <c:pt idx="412">
                  <c:v>134896.28825916545</c:v>
                </c:pt>
                <c:pt idx="413">
                  <c:v>138038.42646028858</c:v>
                </c:pt>
                <c:pt idx="414">
                  <c:v>141253.75446227577</c:v>
                </c:pt>
                <c:pt idx="415">
                  <c:v>144543.97707459307</c:v>
                </c:pt>
                <c:pt idx="416">
                  <c:v>147910.83881682079</c:v>
                </c:pt>
                <c:pt idx="417">
                  <c:v>151356.12484362084</c:v>
                </c:pt>
                <c:pt idx="418">
                  <c:v>154881.66189124843</c:v>
                </c:pt>
                <c:pt idx="419">
                  <c:v>158489.31924611164</c:v>
                </c:pt>
                <c:pt idx="420">
                  <c:v>162181.00973589328</c:v>
                </c:pt>
                <c:pt idx="421">
                  <c:v>165958.69074375604</c:v>
                </c:pt>
                <c:pt idx="422">
                  <c:v>169824.36524617471</c:v>
                </c:pt>
                <c:pt idx="423">
                  <c:v>173780.0828749378</c:v>
                </c:pt>
                <c:pt idx="424">
                  <c:v>177827.94100389251</c:v>
                </c:pt>
                <c:pt idx="425">
                  <c:v>181970.08586099857</c:v>
                </c:pt>
                <c:pt idx="426">
                  <c:v>186208.71366628664</c:v>
                </c:pt>
                <c:pt idx="427">
                  <c:v>190546.07179632492</c:v>
                </c:pt>
                <c:pt idx="428">
                  <c:v>194984.45997580473</c:v>
                </c:pt>
                <c:pt idx="429">
                  <c:v>199526.23149688813</c:v>
                </c:pt>
                <c:pt idx="430">
                  <c:v>204173.79446695308</c:v>
                </c:pt>
                <c:pt idx="431">
                  <c:v>208929.61308540447</c:v>
                </c:pt>
                <c:pt idx="432">
                  <c:v>213796.20895022334</c:v>
                </c:pt>
                <c:pt idx="433">
                  <c:v>218776.16239495538</c:v>
                </c:pt>
                <c:pt idx="434">
                  <c:v>223872.11385683404</c:v>
                </c:pt>
                <c:pt idx="435">
                  <c:v>229086.76527677779</c:v>
                </c:pt>
                <c:pt idx="436">
                  <c:v>234422.88153199267</c:v>
                </c:pt>
                <c:pt idx="437">
                  <c:v>239883.29190194907</c:v>
                </c:pt>
                <c:pt idx="438">
                  <c:v>245470.89156850305</c:v>
                </c:pt>
                <c:pt idx="439">
                  <c:v>251188.64315095844</c:v>
                </c:pt>
                <c:pt idx="440">
                  <c:v>257039.57827688678</c:v>
                </c:pt>
                <c:pt idx="441">
                  <c:v>263026.79918953858</c:v>
                </c:pt>
                <c:pt idx="442">
                  <c:v>269153.48039269145</c:v>
                </c:pt>
                <c:pt idx="443">
                  <c:v>275422.87033381703</c:v>
                </c:pt>
                <c:pt idx="444">
                  <c:v>281838.29312644573</c:v>
                </c:pt>
                <c:pt idx="445">
                  <c:v>288403.1503126609</c:v>
                </c:pt>
                <c:pt idx="446">
                  <c:v>295120.92266663886</c:v>
                </c:pt>
                <c:pt idx="447">
                  <c:v>301995.17204020242</c:v>
                </c:pt>
                <c:pt idx="448">
                  <c:v>309029.54325135931</c:v>
                </c:pt>
                <c:pt idx="449">
                  <c:v>316227.7660168382</c:v>
                </c:pt>
                <c:pt idx="450">
                  <c:v>323593.65692962846</c:v>
                </c:pt>
                <c:pt idx="451">
                  <c:v>331131.12148259126</c:v>
                </c:pt>
                <c:pt idx="452">
                  <c:v>338844.15613920329</c:v>
                </c:pt>
                <c:pt idx="453">
                  <c:v>346736.85045253241</c:v>
                </c:pt>
                <c:pt idx="454">
                  <c:v>354813.38923357555</c:v>
                </c:pt>
                <c:pt idx="455">
                  <c:v>363078.05477010203</c:v>
                </c:pt>
                <c:pt idx="456">
                  <c:v>371535.2290971732</c:v>
                </c:pt>
                <c:pt idx="457">
                  <c:v>380189.39632056188</c:v>
                </c:pt>
                <c:pt idx="458">
                  <c:v>389045.14499428123</c:v>
                </c:pt>
                <c:pt idx="459">
                  <c:v>398107.17055349716</c:v>
                </c:pt>
                <c:pt idx="460">
                  <c:v>407380.27780411334</c:v>
                </c:pt>
                <c:pt idx="461">
                  <c:v>416869.38347033598</c:v>
                </c:pt>
                <c:pt idx="462">
                  <c:v>426579.51880159322</c:v>
                </c:pt>
                <c:pt idx="463">
                  <c:v>436515.83224016649</c:v>
                </c:pt>
                <c:pt idx="464">
                  <c:v>446683.59215096442</c:v>
                </c:pt>
                <c:pt idx="465">
                  <c:v>457088.18961487547</c:v>
                </c:pt>
                <c:pt idx="466">
                  <c:v>467735.14128719864</c:v>
                </c:pt>
                <c:pt idx="467">
                  <c:v>478630.09232263872</c:v>
                </c:pt>
                <c:pt idx="468">
                  <c:v>489778.81936844654</c:v>
                </c:pt>
                <c:pt idx="469">
                  <c:v>501187.23362727347</c:v>
                </c:pt>
                <c:pt idx="470">
                  <c:v>512861.38399136515</c:v>
                </c:pt>
                <c:pt idx="471">
                  <c:v>524807.46024977288</c:v>
                </c:pt>
                <c:pt idx="472">
                  <c:v>537031.7963702539</c:v>
                </c:pt>
                <c:pt idx="473">
                  <c:v>549540.87385762564</c:v>
                </c:pt>
                <c:pt idx="474">
                  <c:v>562341.32519035018</c:v>
                </c:pt>
                <c:pt idx="475">
                  <c:v>575439.93733715697</c:v>
                </c:pt>
                <c:pt idx="476">
                  <c:v>588843.65535558888</c:v>
                </c:pt>
                <c:pt idx="477">
                  <c:v>602559.58607435878</c:v>
                </c:pt>
                <c:pt idx="478">
                  <c:v>616595.00186148309</c:v>
                </c:pt>
                <c:pt idx="479">
                  <c:v>630957.34448019415</c:v>
                </c:pt>
                <c:pt idx="480">
                  <c:v>645654.22903465747</c:v>
                </c:pt>
                <c:pt idx="481">
                  <c:v>660693.44800759677</c:v>
                </c:pt>
                <c:pt idx="482">
                  <c:v>676082.97539198259</c:v>
                </c:pt>
                <c:pt idx="483">
                  <c:v>691830.97091893724</c:v>
                </c:pt>
                <c:pt idx="484">
                  <c:v>707945.78438413853</c:v>
                </c:pt>
                <c:pt idx="485">
                  <c:v>724435.96007499192</c:v>
                </c:pt>
                <c:pt idx="486">
                  <c:v>741310.24130091805</c:v>
                </c:pt>
                <c:pt idx="487">
                  <c:v>758577.57502918423</c:v>
                </c:pt>
                <c:pt idx="488">
                  <c:v>776247.11662869214</c:v>
                </c:pt>
                <c:pt idx="489">
                  <c:v>794328.23472428333</c:v>
                </c:pt>
                <c:pt idx="490">
                  <c:v>812830.51616410096</c:v>
                </c:pt>
                <c:pt idx="491">
                  <c:v>831763.77110267128</c:v>
                </c:pt>
                <c:pt idx="492">
                  <c:v>851138.03820237669</c:v>
                </c:pt>
                <c:pt idx="493">
                  <c:v>870963.58995608077</c:v>
                </c:pt>
                <c:pt idx="494">
                  <c:v>891250.93813374708</c:v>
                </c:pt>
                <c:pt idx="495">
                  <c:v>912010.83935591124</c:v>
                </c:pt>
                <c:pt idx="496">
                  <c:v>933254.30079699249</c:v>
                </c:pt>
                <c:pt idx="497">
                  <c:v>954992.58602143743</c:v>
                </c:pt>
                <c:pt idx="498">
                  <c:v>977237.22095581202</c:v>
                </c:pt>
                <c:pt idx="499">
                  <c:v>1000000</c:v>
                </c:pt>
                <c:pt idx="500">
                  <c:v>1023292.9922807553</c:v>
                </c:pt>
                <c:pt idx="501">
                  <c:v>1047128.5480509007</c:v>
                </c:pt>
                <c:pt idx="502">
                  <c:v>1071519.3052376076</c:v>
                </c:pt>
                <c:pt idx="503">
                  <c:v>1096478.196143186</c:v>
                </c:pt>
                <c:pt idx="504">
                  <c:v>1122018.4543019643</c:v>
                </c:pt>
                <c:pt idx="505">
                  <c:v>1148153.6214968837</c:v>
                </c:pt>
                <c:pt idx="506">
                  <c:v>1174897.5549395324</c:v>
                </c:pt>
                <c:pt idx="507">
                  <c:v>1202264.4346174158</c:v>
                </c:pt>
                <c:pt idx="508">
                  <c:v>1230268.770812382</c:v>
                </c:pt>
                <c:pt idx="509">
                  <c:v>1258925.4117941677</c:v>
                </c:pt>
                <c:pt idx="510">
                  <c:v>1288249.5516931366</c:v>
                </c:pt>
                <c:pt idx="511">
                  <c:v>1318256.7385564097</c:v>
                </c:pt>
                <c:pt idx="512">
                  <c:v>1348962.8825916562</c:v>
                </c:pt>
                <c:pt idx="513">
                  <c:v>1380384.2646028849</c:v>
                </c:pt>
                <c:pt idx="514">
                  <c:v>1412537.5446227565</c:v>
                </c:pt>
                <c:pt idx="515">
                  <c:v>1445439.7707459298</c:v>
                </c:pt>
                <c:pt idx="516">
                  <c:v>1479108.3881682095</c:v>
                </c:pt>
                <c:pt idx="517">
                  <c:v>1513561.2484362102</c:v>
                </c:pt>
                <c:pt idx="518">
                  <c:v>1548816.6189124861</c:v>
                </c:pt>
                <c:pt idx="519">
                  <c:v>1584893.1924611153</c:v>
                </c:pt>
                <c:pt idx="520">
                  <c:v>1621810.0973589318</c:v>
                </c:pt>
                <c:pt idx="521">
                  <c:v>1659586.9074375622</c:v>
                </c:pt>
                <c:pt idx="522">
                  <c:v>1698243.6524617488</c:v>
                </c:pt>
                <c:pt idx="523">
                  <c:v>1737800.8287493798</c:v>
                </c:pt>
                <c:pt idx="524">
                  <c:v>1778279.4100389241</c:v>
                </c:pt>
                <c:pt idx="525">
                  <c:v>1819700.8586099846</c:v>
                </c:pt>
                <c:pt idx="526">
                  <c:v>1862087.1366628683</c:v>
                </c:pt>
                <c:pt idx="527">
                  <c:v>1905460.7179632513</c:v>
                </c:pt>
                <c:pt idx="528">
                  <c:v>1949844.5997580495</c:v>
                </c:pt>
                <c:pt idx="529">
                  <c:v>1995262.31496888</c:v>
                </c:pt>
                <c:pt idx="530">
                  <c:v>2041737.9446695296</c:v>
                </c:pt>
                <c:pt idx="531">
                  <c:v>2089296.1308540432</c:v>
                </c:pt>
                <c:pt idx="532">
                  <c:v>2137962.0895022359</c:v>
                </c:pt>
                <c:pt idx="533">
                  <c:v>2187761.6239495561</c:v>
                </c:pt>
                <c:pt idx="534">
                  <c:v>2238721.1385683389</c:v>
                </c:pt>
                <c:pt idx="535">
                  <c:v>2290867.6527677765</c:v>
                </c:pt>
                <c:pt idx="536">
                  <c:v>2344228.8153199251</c:v>
                </c:pt>
                <c:pt idx="537">
                  <c:v>2398832.9190194933</c:v>
                </c:pt>
                <c:pt idx="538">
                  <c:v>2454708.915685033</c:v>
                </c:pt>
                <c:pt idx="539">
                  <c:v>2511886.431509587</c:v>
                </c:pt>
                <c:pt idx="540">
                  <c:v>2570395.782768866</c:v>
                </c:pt>
                <c:pt idx="541">
                  <c:v>2630267.9918953842</c:v>
                </c:pt>
              </c:numCache>
            </c:numRef>
          </c:xVal>
          <c:yVal>
            <c:numRef>
              <c:f>CCM_Loop_Modeling_Isolated!$AE$19:$AE$560</c:f>
              <c:numCache>
                <c:formatCode>General</c:formatCode>
                <c:ptCount val="542"/>
                <c:pt idx="0">
                  <c:v>-17.146267840510163</c:v>
                </c:pt>
                <c:pt idx="1">
                  <c:v>-17.523192937230853</c:v>
                </c:pt>
                <c:pt idx="2">
                  <c:v>-17.907406449410335</c:v>
                </c:pt>
                <c:pt idx="3">
                  <c:v>-18.298984424676409</c:v>
                </c:pt>
                <c:pt idx="4">
                  <c:v>-18.697999377819713</c:v>
                </c:pt>
                <c:pt idx="5">
                  <c:v>-19.104519971942569</c:v>
                </c:pt>
                <c:pt idx="6">
                  <c:v>-19.518610688535709</c:v>
                </c:pt>
                <c:pt idx="7">
                  <c:v>-19.940331487001217</c:v>
                </c:pt>
                <c:pt idx="8">
                  <c:v>-20.369737454256899</c:v>
                </c:pt>
                <c:pt idx="9">
                  <c:v>-20.806878445188048</c:v>
                </c:pt>
                <c:pt idx="10">
                  <c:v>-21.251798714846473</c:v>
                </c:pt>
                <c:pt idx="11">
                  <c:v>-21.704536543441197</c:v>
                </c:pt>
                <c:pt idx="12">
                  <c:v>-22.165123855310398</c:v>
                </c:pt>
                <c:pt idx="13">
                  <c:v>-22.633585833231532</c:v>
                </c:pt>
                <c:pt idx="14">
                  <c:v>-23.109940529573535</c:v>
                </c:pt>
                <c:pt idx="15">
                  <c:v>-23.594198475973599</c:v>
                </c:pt>
                <c:pt idx="16">
                  <c:v>-24.086362293379491</c:v>
                </c:pt>
                <c:pt idx="17">
                  <c:v>-24.586426304471356</c:v>
                </c:pt>
                <c:pt idx="18">
                  <c:v>-25.094376150640684</c:v>
                </c:pt>
                <c:pt idx="19">
                  <c:v>-25.610188415870443</c:v>
                </c:pt>
                <c:pt idx="20">
                  <c:v>-26.133830260013099</c:v>
                </c:pt>
                <c:pt idx="21">
                  <c:v>-26.665259064115244</c:v>
                </c:pt>
                <c:pt idx="22">
                  <c:v>-27.204422090569505</c:v>
                </c:pt>
                <c:pt idx="23">
                  <c:v>-27.751256161000907</c:v>
                </c:pt>
                <c:pt idx="24">
                  <c:v>-28.3056873548921</c:v>
                </c:pt>
                <c:pt idx="25">
                  <c:v>-28.867630732039668</c:v>
                </c:pt>
                <c:pt idx="26">
                  <c:v>-29.436990081985286</c:v>
                </c:pt>
                <c:pt idx="27">
                  <c:v>-30.013657703599417</c:v>
                </c:pt>
                <c:pt idx="28">
                  <c:v>-30.597514217990934</c:v>
                </c:pt>
                <c:pt idx="29">
                  <c:v>-31.188428417878079</c:v>
                </c:pt>
                <c:pt idx="30">
                  <c:v>-31.786257156488006</c:v>
                </c:pt>
                <c:pt idx="31">
                  <c:v>-32.390845278934307</c:v>
                </c:pt>
                <c:pt idx="32">
                  <c:v>-33.00202559886948</c:v>
                </c:pt>
                <c:pt idx="33">
                  <c:v>-33.619618923018351</c:v>
                </c:pt>
                <c:pt idx="34">
                  <c:v>-34.243434125949236</c:v>
                </c:pt>
                <c:pt idx="35">
                  <c:v>-34.873268277164456</c:v>
                </c:pt>
                <c:pt idx="36">
                  <c:v>-35.508906822263945</c:v>
                </c:pt>
                <c:pt idx="37">
                  <c:v>-36.150123819566815</c:v>
                </c:pt>
                <c:pt idx="38">
                  <c:v>-36.796682233175567</c:v>
                </c:pt>
                <c:pt idx="39">
                  <c:v>-37.44833428302146</c:v>
                </c:pt>
                <c:pt idx="40">
                  <c:v>-38.104821851966534</c:v>
                </c:pt>
                <c:pt idx="41">
                  <c:v>-38.765876949534459</c:v>
                </c:pt>
                <c:pt idx="42">
                  <c:v>-39.431222231332043</c:v>
                </c:pt>
                <c:pt idx="43">
                  <c:v>-40.100571572691123</c:v>
                </c:pt>
                <c:pt idx="44">
                  <c:v>-40.77363069453115</c:v>
                </c:pt>
                <c:pt idx="45">
                  <c:v>-41.45009783890773</c:v>
                </c:pt>
                <c:pt idx="46">
                  <c:v>-42.129664491195783</c:v>
                </c:pt>
                <c:pt idx="47">
                  <c:v>-42.812016145352061</c:v>
                </c:pt>
                <c:pt idx="48">
                  <c:v>-43.496833108232842</c:v>
                </c:pt>
                <c:pt idx="49">
                  <c:v>-44.183791338499631</c:v>
                </c:pt>
                <c:pt idx="50">
                  <c:v>-44.872563315258951</c:v>
                </c:pt>
                <c:pt idx="51">
                  <c:v>-45.562818931232208</c:v>
                </c:pt>
                <c:pt idx="52">
                  <c:v>-46.254226404971341</c:v>
                </c:pt>
                <c:pt idx="53">
                  <c:v>-46.94645320641208</c:v>
                </c:pt>
                <c:pt idx="54">
                  <c:v>-47.639166989892502</c:v>
                </c:pt>
                <c:pt idx="55">
                  <c:v>-48.332036528690679</c:v>
                </c:pt>
                <c:pt idx="56">
                  <c:v>-49.024732645103235</c:v>
                </c:pt>
                <c:pt idx="57">
                  <c:v>-49.716929130161652</c:v>
                </c:pt>
                <c:pt idx="58">
                  <c:v>-50.408303647185228</c:v>
                </c:pt>
                <c:pt idx="59">
                  <c:v>-51.098538613589575</c:v>
                </c:pt>
                <c:pt idx="60">
                  <c:v>-51.787322055610375</c:v>
                </c:pt>
                <c:pt idx="61">
                  <c:v>-52.474348430924543</c:v>
                </c:pt>
                <c:pt idx="62">
                  <c:v>-53.159319414530437</c:v>
                </c:pt>
                <c:pt idx="63">
                  <c:v>-53.841944643656397</c:v>
                </c:pt>
                <c:pt idx="64">
                  <c:v>-54.521942417934611</c:v>
                </c:pt>
                <c:pt idx="65">
                  <c:v>-55.199040351559596</c:v>
                </c:pt>
                <c:pt idx="66">
                  <c:v>-55.872975974668527</c:v>
                </c:pt>
                <c:pt idx="67">
                  <c:v>-56.543497281705825</c:v>
                </c:pt>
                <c:pt idx="68">
                  <c:v>-57.210363225064455</c:v>
                </c:pt>
                <c:pt idx="69">
                  <c:v>-57.873344152833887</c:v>
                </c:pt>
                <c:pt idx="70">
                  <c:v>-58.532222190004397</c:v>
                </c:pt>
                <c:pt idx="71">
                  <c:v>-59.186791562976715</c:v>
                </c:pt>
                <c:pt idx="72">
                  <c:v>-59.836858867720608</c:v>
                </c:pt>
                <c:pt idx="73">
                  <c:v>-60.482243282370973</c:v>
                </c:pt>
                <c:pt idx="74">
                  <c:v>-61.122776725468228</c:v>
                </c:pt>
                <c:pt idx="75">
                  <c:v>-61.758303961448931</c:v>
                </c:pt>
                <c:pt idx="76">
                  <c:v>-62.388682655315677</c:v>
                </c:pt>
                <c:pt idx="77">
                  <c:v>-63.013783378733983</c:v>
                </c:pt>
                <c:pt idx="78">
                  <c:v>-63.633489570053264</c:v>
                </c:pt>
                <c:pt idx="79">
                  <c:v>-64.24769745097008</c:v>
                </c:pt>
                <c:pt idx="80">
                  <c:v>-64.856315902715664</c:v>
                </c:pt>
                <c:pt idx="81">
                  <c:v>-65.459266304792109</c:v>
                </c:pt>
                <c:pt idx="82">
                  <c:v>-66.05648233936202</c:v>
                </c:pt>
                <c:pt idx="83">
                  <c:v>-66.647909764450048</c:v>
                </c:pt>
                <c:pt idx="84">
                  <c:v>-67.233506159137136</c:v>
                </c:pt>
                <c:pt idx="85">
                  <c:v>-67.813240643903015</c:v>
                </c:pt>
                <c:pt idx="86">
                  <c:v>-68.387093579236222</c:v>
                </c:pt>
                <c:pt idx="87">
                  <c:v>-68.955056245551859</c:v>
                </c:pt>
                <c:pt idx="88">
                  <c:v>-69.51713050736592</c:v>
                </c:pt>
                <c:pt idx="89">
                  <c:v>-70.073328464562138</c:v>
                </c:pt>
                <c:pt idx="90">
                  <c:v>-70.623672093452385</c:v>
                </c:pt>
                <c:pt idx="91">
                  <c:v>-71.168192880192436</c:v>
                </c:pt>
                <c:pt idx="92">
                  <c:v>-71.706931448958258</c:v>
                </c:pt>
                <c:pt idx="93">
                  <c:v>-72.239937187126685</c:v>
                </c:pt>
                <c:pt idx="94">
                  <c:v>-72.767267869541101</c:v>
                </c:pt>
                <c:pt idx="95">
                  <c:v>-73.28898928376843</c:v>
                </c:pt>
                <c:pt idx="96">
                  <c:v>-73.805174858091505</c:v>
                </c:pt>
                <c:pt idx="97">
                  <c:v>-74.315905293807447</c:v>
                </c:pt>
                <c:pt idx="98">
                  <c:v>-74.821268203242198</c:v>
                </c:pt>
                <c:pt idx="99">
                  <c:v>-75.321357754728922</c:v>
                </c:pt>
                <c:pt idx="100">
                  <c:v>-75.816274325644613</c:v>
                </c:pt>
                <c:pt idx="101">
                  <c:v>-76.306124164451518</c:v>
                </c:pt>
                <c:pt idx="102">
                  <c:v>-76.791019062548742</c:v>
                </c:pt>
                <c:pt idx="103">
                  <c:v>-77.271076036607255</c:v>
                </c:pt>
                <c:pt idx="104">
                  <c:v>-77.746417021935329</c:v>
                </c:pt>
                <c:pt idx="105">
                  <c:v>-78.217168577307959</c:v>
                </c:pt>
                <c:pt idx="106">
                  <c:v>-78.683461601582891</c:v>
                </c:pt>
                <c:pt idx="107">
                  <c:v>-79.145431062328726</c:v>
                </c:pt>
                <c:pt idx="108">
                  <c:v>-79.603215736598813</c:v>
                </c:pt>
                <c:pt idx="109">
                  <c:v>-80.05695796390215</c:v>
                </c:pt>
                <c:pt idx="110">
                  <c:v>-80.506803411346127</c:v>
                </c:pt>
                <c:pt idx="111">
                  <c:v>-80.95290085086134</c:v>
                </c:pt>
                <c:pt idx="112">
                  <c:v>-81.395401948354532</c:v>
                </c:pt>
                <c:pt idx="113">
                  <c:v>-81.834461064586662</c:v>
                </c:pt>
                <c:pt idx="114">
                  <c:v>-82.270235067521142</c:v>
                </c:pt>
                <c:pt idx="115">
                  <c:v>-82.702883155849861</c:v>
                </c:pt>
                <c:pt idx="116">
                  <c:v>-83.132566693366584</c:v>
                </c:pt>
                <c:pt idx="117">
                  <c:v>-83.559449053826938</c:v>
                </c:pt>
                <c:pt idx="118">
                  <c:v>-83.983695475907496</c:v>
                </c:pt>
                <c:pt idx="119">
                  <c:v>-84.405472927855797</c:v>
                </c:pt>
                <c:pt idx="120">
                  <c:v>-84.824949981401474</c:v>
                </c:pt>
                <c:pt idx="121">
                  <c:v>-85.242296694488246</c:v>
                </c:pt>
                <c:pt idx="122">
                  <c:v>-85.657684502367772</c:v>
                </c:pt>
                <c:pt idx="123">
                  <c:v>-86.071286116594422</c:v>
                </c:pt>
                <c:pt idx="124">
                  <c:v>-86.483275431444866</c:v>
                </c:pt>
                <c:pt idx="125">
                  <c:v>-86.893827437286859</c:v>
                </c:pt>
                <c:pt idx="126">
                  <c:v>-87.303118140415421</c:v>
                </c:pt>
                <c:pt idx="127">
                  <c:v>-87.711324488869238</c:v>
                </c:pt>
                <c:pt idx="128">
                  <c:v>-88.118624303744554</c:v>
                </c:pt>
                <c:pt idx="129">
                  <c:v>-88.525196215519756</c:v>
                </c:pt>
                <c:pt idx="130">
                  <c:v>-88.931219604901145</c:v>
                </c:pt>
                <c:pt idx="131">
                  <c:v>-89.336874547708774</c:v>
                </c:pt>
                <c:pt idx="132">
                  <c:v>-89.742341763313561</c:v>
                </c:pt>
                <c:pt idx="133">
                  <c:v>-90.147802566145288</c:v>
                </c:pt>
                <c:pt idx="134">
                  <c:v>-90.553438819786095</c:v>
                </c:pt>
                <c:pt idx="135">
                  <c:v>-90.959432893170359</c:v>
                </c:pt>
                <c:pt idx="136">
                  <c:v>-91.365967618409741</c:v>
                </c:pt>
                <c:pt idx="137">
                  <c:v>-91.773226249763709</c:v>
                </c:pt>
                <c:pt idx="138">
                  <c:v>-92.181392423276534</c:v>
                </c:pt>
                <c:pt idx="139">
                  <c:v>-92.590650116603967</c:v>
                </c:pt>
                <c:pt idx="140">
                  <c:v>-93.00118360854708</c:v>
                </c:pt>
                <c:pt idx="141">
                  <c:v>-93.413177437819044</c:v>
                </c:pt>
                <c:pt idx="142">
                  <c:v>-93.826816360561267</c:v>
                </c:pt>
                <c:pt idx="143">
                  <c:v>-94.242285306130455</c:v>
                </c:pt>
                <c:pt idx="144">
                  <c:v>-94.659769330675076</c:v>
                </c:pt>
                <c:pt idx="145">
                  <c:v>-95.079453568017811</c:v>
                </c:pt>
                <c:pt idx="146">
                  <c:v>-95.501523177360227</c:v>
                </c:pt>
                <c:pt idx="147">
                  <c:v>-95.926163287325025</c:v>
                </c:pt>
                <c:pt idx="148">
                  <c:v>-96.353558935849023</c:v>
                </c:pt>
                <c:pt idx="149">
                  <c:v>-96.783895005440058</c:v>
                </c:pt>
                <c:pt idx="150">
                  <c:v>-97.21735615331157</c:v>
                </c:pt>
                <c:pt idx="151">
                  <c:v>-97.654126735906459</c:v>
                </c:pt>
                <c:pt idx="152">
                  <c:v>-98.094390727325916</c:v>
                </c:pt>
                <c:pt idx="153">
                  <c:v>-98.538331631180739</c:v>
                </c:pt>
                <c:pt idx="154">
                  <c:v>-98.986132385383115</c:v>
                </c:pt>
                <c:pt idx="155">
                  <c:v>-99.437975259407963</c:v>
                </c:pt>
                <c:pt idx="156">
                  <c:v>-99.894041743553657</c:v>
                </c:pt>
                <c:pt idx="157">
                  <c:v>-100.35451242974744</c:v>
                </c:pt>
                <c:pt idx="158">
                  <c:v>-100.819566883447</c:v>
                </c:pt>
                <c:pt idx="159">
                  <c:v>-101.28938350620915</c:v>
                </c:pt>
                <c:pt idx="160">
                  <c:v>-101.76413938851128</c:v>
                </c:pt>
                <c:pt idx="161">
                  <c:v>-102.24401015243555</c:v>
                </c:pt>
                <c:pt idx="162">
                  <c:v>-102.72916978384897</c:v>
                </c:pt>
                <c:pt idx="163">
                  <c:v>-103.21979045374557</c:v>
                </c:pt>
                <c:pt idx="164">
                  <c:v>-103.71604232844899</c:v>
                </c:pt>
                <c:pt idx="165">
                  <c:v>-104.21809336841811</c:v>
                </c:pt>
                <c:pt idx="166">
                  <c:v>-104.72610911544086</c:v>
                </c:pt>
                <c:pt idx="167">
                  <c:v>-105.24025246805714</c:v>
                </c:pt>
                <c:pt idx="168">
                  <c:v>-105.76068344510922</c:v>
                </c:pt>
                <c:pt idx="169">
                  <c:v>-106.28755893738564</c:v>
                </c:pt>
                <c:pt idx="170">
                  <c:v>-106.82103244739838</c:v>
                </c:pt>
                <c:pt idx="171">
                  <c:v>-107.36125381741265</c:v>
                </c:pt>
                <c:pt idx="172">
                  <c:v>-107.90836894594221</c:v>
                </c:pt>
                <c:pt idx="173">
                  <c:v>-108.46251949301869</c:v>
                </c:pt>
                <c:pt idx="174">
                  <c:v>-109.02384257464867</c:v>
                </c:pt>
                <c:pt idx="175">
                  <c:v>-109.5924704469905</c:v>
                </c:pt>
                <c:pt idx="176">
                  <c:v>-110.16853018090265</c:v>
                </c:pt>
                <c:pt idx="177">
                  <c:v>-110.75214332764871</c:v>
                </c:pt>
                <c:pt idx="178">
                  <c:v>-111.34342557668195</c:v>
                </c:pt>
                <c:pt idx="179">
                  <c:v>-111.94248640657871</c:v>
                </c:pt>
                <c:pt idx="180">
                  <c:v>-112.54942873034321</c:v>
                </c:pt>
                <c:pt idx="181">
                  <c:v>-113.16434853646349</c:v>
                </c:pt>
                <c:pt idx="182">
                  <c:v>-113.78733452726006</c:v>
                </c:pt>
                <c:pt idx="183">
                  <c:v>-114.41846775623752</c:v>
                </c:pt>
                <c:pt idx="184">
                  <c:v>-115.05782126631269</c:v>
                </c:pt>
                <c:pt idx="185">
                  <c:v>-115.70545973096004</c:v>
                </c:pt>
                <c:pt idx="186">
                  <c:v>-116.36143910048297</c:v>
                </c:pt>
                <c:pt idx="187">
                  <c:v>-117.02580625577129</c:v>
                </c:pt>
                <c:pt idx="188">
                  <c:v>-117.69859867206605</c:v>
                </c:pt>
                <c:pt idx="189">
                  <c:v>-118.37984409538477</c:v>
                </c:pt>
                <c:pt idx="190">
                  <c:v>-119.06956023439646</c:v>
                </c:pt>
                <c:pt idx="191">
                  <c:v>-119.76775447064298</c:v>
                </c:pt>
                <c:pt idx="192">
                  <c:v>-120.47442359009472</c:v>
                </c:pt>
                <c:pt idx="193">
                  <c:v>-121.18955353910384</c:v>
                </c:pt>
                <c:pt idx="194">
                  <c:v>-121.91311920785316</c:v>
                </c:pt>
                <c:pt idx="195">
                  <c:v>-122.6450842444183</c:v>
                </c:pt>
                <c:pt idx="196">
                  <c:v>-123.38540090253872</c:v>
                </c:pt>
                <c:pt idx="197">
                  <c:v>-124.1340099261384</c:v>
                </c:pt>
                <c:pt idx="198">
                  <c:v>-124.89084047354361</c:v>
                </c:pt>
                <c:pt idx="199">
                  <c:v>-125.65581008421319</c:v>
                </c:pt>
                <c:pt idx="200">
                  <c:v>-126.42882469061998</c:v>
                </c:pt>
                <c:pt idx="201">
                  <c:v>-127.20977867769874</c:v>
                </c:pt>
                <c:pt idx="202">
                  <c:v>-127.99855499202428</c:v>
                </c:pt>
                <c:pt idx="203">
                  <c:v>-128.7950253025607</c:v>
                </c:pt>
                <c:pt idx="204">
                  <c:v>-129.59905021449165</c:v>
                </c:pt>
                <c:pt idx="205">
                  <c:v>-130.41047953723768</c:v>
                </c:pt>
                <c:pt idx="206">
                  <c:v>-131.22915260734965</c:v>
                </c:pt>
                <c:pt idx="207">
                  <c:v>-132.05489866650078</c:v>
                </c:pt>
                <c:pt idx="208">
                  <c:v>-132.8875372943146</c:v>
                </c:pt>
                <c:pt idx="209">
                  <c:v>-133.72687889525068</c:v>
                </c:pt>
                <c:pt idx="210">
                  <c:v>-134.57272523824048</c:v>
                </c:pt>
                <c:pt idx="211">
                  <c:v>-135.42487004722366</c:v>
                </c:pt>
                <c:pt idx="212">
                  <c:v>-136.28309964019539</c:v>
                </c:pt>
                <c:pt idx="213">
                  <c:v>-137.14719361383442</c:v>
                </c:pt>
                <c:pt idx="214">
                  <c:v>-138.01692557025987</c:v>
                </c:pt>
                <c:pt idx="215">
                  <c:v>-138.89206388196288</c:v>
                </c:pt>
                <c:pt idx="216">
                  <c:v>-139.77237249048849</c:v>
                </c:pt>
                <c:pt idx="217">
                  <c:v>-140.65761173401106</c:v>
                </c:pt>
                <c:pt idx="218">
                  <c:v>-141.5475391985625</c:v>
                </c:pt>
                <c:pt idx="219">
                  <c:v>-142.44191058733702</c:v>
                </c:pt>
                <c:pt idx="220">
                  <c:v>-143.34048060222665</c:v>
                </c:pt>
                <c:pt idx="221">
                  <c:v>-144.24300383153013</c:v>
                </c:pt>
                <c:pt idx="222">
                  <c:v>-145.14923563763742</c:v>
                </c:pt>
                <c:pt idx="223">
                  <c:v>-146.05893303842345</c:v>
                </c:pt>
                <c:pt idx="224">
                  <c:v>-146.97185557608216</c:v>
                </c:pt>
                <c:pt idx="225">
                  <c:v>-147.88776616720972</c:v>
                </c:pt>
                <c:pt idx="226">
                  <c:v>-148.80643192808921</c:v>
                </c:pt>
                <c:pt idx="227">
                  <c:v>-149.72762496933009</c:v>
                </c:pt>
                <c:pt idx="228">
                  <c:v>-150.65112315430594</c:v>
                </c:pt>
                <c:pt idx="229">
                  <c:v>-151.5767108161572</c:v>
                </c:pt>
                <c:pt idx="230">
                  <c:v>-152.5041794285014</c:v>
                </c:pt>
                <c:pt idx="231">
                  <c:v>-153.43332822544986</c:v>
                </c:pt>
                <c:pt idx="232">
                  <c:v>-154.36396476696339</c:v>
                </c:pt>
                <c:pt idx="233">
                  <c:v>-155.29590544611011</c:v>
                </c:pt>
                <c:pt idx="234">
                  <c:v>-156.22897593527949</c:v>
                </c:pt>
                <c:pt idx="235">
                  <c:v>-157.1630115689627</c:v>
                </c:pt>
                <c:pt idx="236">
                  <c:v>-158.09785766123338</c:v>
                </c:pt>
                <c:pt idx="237">
                  <c:v>-159.03336975660372</c:v>
                </c:pt>
                <c:pt idx="238">
                  <c:v>-159.96941381346548</c:v>
                </c:pt>
                <c:pt idx="239">
                  <c:v>-160.90586631982796</c:v>
                </c:pt>
                <c:pt idx="240">
                  <c:v>-161.84261434156076</c:v>
                </c:pt>
                <c:pt idx="241">
                  <c:v>-162.77955550382282</c:v>
                </c:pt>
                <c:pt idx="242">
                  <c:v>-163.71659790677879</c:v>
                </c:pt>
                <c:pt idx="243">
                  <c:v>-164.65365997712394</c:v>
                </c:pt>
                <c:pt idx="244">
                  <c:v>-165.59067025729485</c:v>
                </c:pt>
                <c:pt idx="245">
                  <c:v>-166.5275671345866</c:v>
                </c:pt>
                <c:pt idx="246">
                  <c:v>-167.46429851267737</c:v>
                </c:pt>
                <c:pt idx="247">
                  <c:v>-168.40082142833984</c:v>
                </c:pt>
                <c:pt idx="248">
                  <c:v>-169.33710161632558</c:v>
                </c:pt>
                <c:pt idx="249">
                  <c:v>-170.27311302561253</c:v>
                </c:pt>
                <c:pt idx="250">
                  <c:v>-171.20883729035867</c:v>
                </c:pt>
                <c:pt idx="251">
                  <c:v>-172.14426315903665</c:v>
                </c:pt>
                <c:pt idx="252">
                  <c:v>-173.0793858853327</c:v>
                </c:pt>
                <c:pt idx="253">
                  <c:v>-174.01420658447265</c:v>
                </c:pt>
                <c:pt idx="254">
                  <c:v>-174.94873155870212</c:v>
                </c:pt>
                <c:pt idx="255">
                  <c:v>-175.88297159569649</c:v>
                </c:pt>
                <c:pt idx="256">
                  <c:v>-176.81694124370139</c:v>
                </c:pt>
                <c:pt idx="257">
                  <c:v>-177.75065806724268</c:v>
                </c:pt>
                <c:pt idx="258">
                  <c:v>-178.68414188724256</c:v>
                </c:pt>
                <c:pt idx="259">
                  <c:v>-179.61741400939655</c:v>
                </c:pt>
                <c:pt idx="260">
                  <c:v>179.44950355532944</c:v>
                </c:pt>
                <c:pt idx="261">
                  <c:v>178.51658887422155</c:v>
                </c:pt>
                <c:pt idx="262">
                  <c:v>177.58382087650168</c:v>
                </c:pt>
                <c:pt idx="263">
                  <c:v>176.65118013330681</c:v>
                </c:pt>
                <c:pt idx="264">
                  <c:v>175.71864963010623</c:v>
                </c:pt>
                <c:pt idx="265">
                  <c:v>174.78621552769957</c:v>
                </c:pt>
                <c:pt idx="266">
                  <c:v>173.85386790793936</c:v>
                </c:pt>
                <c:pt idx="267">
                  <c:v>172.9216015003359</c:v>
                </c:pt>
                <c:pt idx="268">
                  <c:v>171.98941638571489</c:v>
                </c:pt>
                <c:pt idx="269">
                  <c:v>171.05731867311607</c:v>
                </c:pt>
                <c:pt idx="270">
                  <c:v>170.12532114616306</c:v>
                </c:pt>
                <c:pt idx="271">
                  <c:v>169.19344387516679</c:v>
                </c:pt>
                <c:pt idx="272">
                  <c:v>168.26171479130591</c:v>
                </c:pt>
                <c:pt idx="273">
                  <c:v>167.33017021928649</c:v>
                </c:pt>
                <c:pt idx="274">
                  <c:v>166.39885536500702</c:v>
                </c:pt>
                <c:pt idx="275">
                  <c:v>165.46782475487402</c:v>
                </c:pt>
                <c:pt idx="276">
                  <c:v>164.53714262357312</c:v>
                </c:pt>
                <c:pt idx="277">
                  <c:v>163.60688324729307</c:v>
                </c:pt>
                <c:pt idx="278">
                  <c:v>162.67713121961722</c:v>
                </c:pt>
                <c:pt idx="279">
                  <c:v>161.74798166756153</c:v>
                </c:pt>
                <c:pt idx="280">
                  <c:v>160.81954040552341</c:v>
                </c:pt>
                <c:pt idx="281">
                  <c:v>159.89192402524631</c:v>
                </c:pt>
                <c:pt idx="282">
                  <c:v>158.9652599202598</c:v>
                </c:pt>
                <c:pt idx="283">
                  <c:v>158.03968624366604</c:v>
                </c:pt>
                <c:pt idx="284">
                  <c:v>157.11535179857316</c:v>
                </c:pt>
                <c:pt idx="285">
                  <c:v>156.19241586094043</c:v>
                </c:pt>
                <c:pt idx="286">
                  <c:v>155.27104793509315</c:v>
                </c:pt>
                <c:pt idx="287">
                  <c:v>154.35142744267219</c:v>
                </c:pt>
                <c:pt idx="288">
                  <c:v>153.43374334631869</c:v>
                </c:pt>
                <c:pt idx="289">
                  <c:v>152.51819370991967</c:v>
                </c:pt>
                <c:pt idx="290">
                  <c:v>151.60498519779122</c:v>
                </c:pt>
                <c:pt idx="291">
                  <c:v>150.69433251570081</c:v>
                </c:pt>
                <c:pt idx="292">
                  <c:v>149.78645779715322</c:v>
                </c:pt>
                <c:pt idx="293">
                  <c:v>148.8815899388683</c:v>
                </c:pt>
                <c:pt idx="294">
                  <c:v>147.97996388983969</c:v>
                </c:pt>
                <c:pt idx="295">
                  <c:v>147.0818198988037</c:v>
                </c:pt>
                <c:pt idx="296">
                  <c:v>146.18740272533049</c:v>
                </c:pt>
                <c:pt idx="297">
                  <c:v>145.29696082008743</c:v>
                </c:pt>
                <c:pt idx="298">
                  <c:v>144.41074548010064</c:v>
                </c:pt>
                <c:pt idx="299">
                  <c:v>143.52900998505615</c:v>
                </c:pt>
                <c:pt idx="300">
                  <c:v>142.65200872082841</c:v>
                </c:pt>
                <c:pt idx="301">
                  <c:v>141.77999629650367</c:v>
                </c:pt>
                <c:pt idx="302">
                  <c:v>140.91322666116471</c:v>
                </c:pt>
                <c:pt idx="303">
                  <c:v>140.05195222664639</c:v>
                </c:pt>
                <c:pt idx="304">
                  <c:v>139.19642300232655</c:v>
                </c:pt>
                <c:pt idx="305">
                  <c:v>138.34688574781467</c:v>
                </c:pt>
                <c:pt idx="306">
                  <c:v>137.50358314913001</c:v>
                </c:pt>
                <c:pt idx="307">
                  <c:v>136.66675302363473</c:v>
                </c:pt>
                <c:pt idx="308">
                  <c:v>135.83662755859902</c:v>
                </c:pt>
                <c:pt idx="309">
                  <c:v>135.01343258784985</c:v>
                </c:pt>
                <c:pt idx="310">
                  <c:v>134.1973869104869</c:v>
                </c:pt>
                <c:pt idx="311">
                  <c:v>133.38870165514544</c:v>
                </c:pt>
                <c:pt idx="312">
                  <c:v>132.58757969276422</c:v>
                </c:pt>
                <c:pt idx="313">
                  <c:v>131.79421510028641</c:v>
                </c:pt>
                <c:pt idx="314">
                  <c:v>131.00879267716513</c:v>
                </c:pt>
                <c:pt idx="315">
                  <c:v>130.23148751601607</c:v>
                </c:pt>
                <c:pt idx="316">
                  <c:v>129.46246462822546</c:v>
                </c:pt>
                <c:pt idx="317">
                  <c:v>128.70187862480199</c:v>
                </c:pt>
                <c:pt idx="318">
                  <c:v>127.94987345227665</c:v>
                </c:pt>
                <c:pt idx="319">
                  <c:v>127.20658218299079</c:v>
                </c:pt>
                <c:pt idx="320">
                  <c:v>126.47212685867916</c:v>
                </c:pt>
                <c:pt idx="321">
                  <c:v>125.74661838587042</c:v>
                </c:pt>
                <c:pt idx="322">
                  <c:v>125.03015648127122</c:v>
                </c:pt>
                <c:pt idx="323">
                  <c:v>124.32282966499115</c:v>
                </c:pt>
                <c:pt idx="324">
                  <c:v>123.62471529920373</c:v>
                </c:pt>
                <c:pt idx="325">
                  <c:v>122.9358796696125</c:v>
                </c:pt>
                <c:pt idx="326">
                  <c:v>122.25637810691929</c:v>
                </c:pt>
                <c:pt idx="327">
                  <c:v>121.58625514534339</c:v>
                </c:pt>
                <c:pt idx="328">
                  <c:v>120.9255447151598</c:v>
                </c:pt>
                <c:pt idx="329">
                  <c:v>120.27427036615292</c:v>
                </c:pt>
                <c:pt idx="330">
                  <c:v>119.63244551887634</c:v>
                </c:pt>
                <c:pt idx="331">
                  <c:v>119.00007374059896</c:v>
                </c:pt>
                <c:pt idx="332">
                  <c:v>118.37714904288269</c:v>
                </c:pt>
                <c:pt idx="333">
                  <c:v>117.76365619778333</c:v>
                </c:pt>
                <c:pt idx="334">
                  <c:v>117.15957106977251</c:v>
                </c:pt>
                <c:pt idx="335">
                  <c:v>116.56486096057637</c:v>
                </c:pt>
                <c:pt idx="336">
                  <c:v>115.9794849642647</c:v>
                </c:pt>
                <c:pt idx="337">
                  <c:v>115.40339433005164</c:v>
                </c:pt>
                <c:pt idx="338">
                  <c:v>114.8365328304323</c:v>
                </c:pt>
                <c:pt idx="339">
                  <c:v>114.27883713242771</c:v>
                </c:pt>
                <c:pt idx="340">
                  <c:v>113.73023716988045</c:v>
                </c:pt>
                <c:pt idx="341">
                  <c:v>113.19065651489863</c:v>
                </c:pt>
                <c:pt idx="342">
                  <c:v>112.66001274672863</c:v>
                </c:pt>
                <c:pt idx="343">
                  <c:v>112.1382178164808</c:v>
                </c:pt>
                <c:pt idx="344">
                  <c:v>111.62517840631335</c:v>
                </c:pt>
                <c:pt idx="345">
                  <c:v>111.12079628181965</c:v>
                </c:pt>
                <c:pt idx="346">
                  <c:v>110.62496863653026</c:v>
                </c:pt>
                <c:pt idx="347">
                  <c:v>110.13758842757554</c:v>
                </c:pt>
                <c:pt idx="348">
                  <c:v>109.65854470169737</c:v>
                </c:pt>
                <c:pt idx="349">
                  <c:v>109.18772291092598</c:v>
                </c:pt>
                <c:pt idx="350">
                  <c:v>108.72500521736337</c:v>
                </c:pt>
                <c:pt idx="351">
                  <c:v>108.27027078662181</c:v>
                </c:pt>
                <c:pt idx="352">
                  <c:v>107.8233960695777</c:v>
                </c:pt>
                <c:pt idx="353">
                  <c:v>107.38425507219222</c:v>
                </c:pt>
                <c:pt idx="354">
                  <c:v>106.9527196132364</c:v>
                </c:pt>
                <c:pt idx="355">
                  <c:v>106.52865956984854</c:v>
                </c:pt>
                <c:pt idx="356">
                  <c:v>106.11194311090732</c:v>
                </c:pt>
                <c:pt idx="357">
                  <c:v>105.70243691828126</c:v>
                </c:pt>
                <c:pt idx="358">
                  <c:v>105.30000639606486</c:v>
                </c:pt>
                <c:pt idx="359">
                  <c:v>104.90451586796495</c:v>
                </c:pt>
                <c:pt idx="360">
                  <c:v>104.51582876303988</c:v>
                </c:pt>
                <c:pt idx="361">
                  <c:v>104.1338077900365</c:v>
                </c:pt>
                <c:pt idx="362">
                  <c:v>103.75831510059604</c:v>
                </c:pt>
                <c:pt idx="363">
                  <c:v>103.38921244163178</c:v>
                </c:pt>
                <c:pt idx="364">
                  <c:v>103.02636129719748</c:v>
                </c:pt>
                <c:pt idx="365">
                  <c:v>102.66962302018777</c:v>
                </c:pt>
                <c:pt idx="366">
                  <c:v>102.31885895422003</c:v>
                </c:pt>
                <c:pt idx="367">
                  <c:v>101.97393054606189</c:v>
                </c:pt>
                <c:pt idx="368">
                  <c:v>101.63469944897039</c:v>
                </c:pt>
                <c:pt idx="369">
                  <c:v>101.3010276173159</c:v>
                </c:pt>
                <c:pt idx="370">
                  <c:v>100.97277739286351</c:v>
                </c:pt>
                <c:pt idx="371">
                  <c:v>100.64981158308237</c:v>
                </c:pt>
                <c:pt idx="372">
                  <c:v>100.33199353185344</c:v>
                </c:pt>
                <c:pt idx="373">
                  <c:v>100.01918718293813</c:v>
                </c:pt>
                <c:pt idx="374">
                  <c:v>99.711257136566246</c:v>
                </c:pt>
                <c:pt idx="375">
                  <c:v>99.408068699493782</c:v>
                </c:pt>
                <c:pt idx="376">
                  <c:v>99.109487928872326</c:v>
                </c:pt>
                <c:pt idx="377">
                  <c:v>98.815381670263449</c:v>
                </c:pt>
                <c:pt idx="378">
                  <c:v>98.525617590120646</c:v>
                </c:pt>
                <c:pt idx="379">
                  <c:v>98.240064203052469</c:v>
                </c:pt>
                <c:pt idx="380">
                  <c:v>97.958590894168594</c:v>
                </c:pt>
                <c:pt idx="381">
                  <c:v>97.68106793680036</c:v>
                </c:pt>
                <c:pt idx="382">
                  <c:v>97.407366505876055</c:v>
                </c:pt>
                <c:pt idx="383">
                  <c:v>97.137358687220171</c:v>
                </c:pt>
                <c:pt idx="384">
                  <c:v>96.87091748303483</c:v>
                </c:pt>
                <c:pt idx="385">
                  <c:v>96.607916813811244</c:v>
                </c:pt>
                <c:pt idx="386">
                  <c:v>96.348231516906779</c:v>
                </c:pt>
                <c:pt idx="387">
                  <c:v>96.091737342014355</c:v>
                </c:pt>
                <c:pt idx="388">
                  <c:v>95.838310943740026</c:v>
                </c:pt>
                <c:pt idx="389">
                  <c:v>95.587829871494094</c:v>
                </c:pt>
                <c:pt idx="390">
                  <c:v>95.340172556892725</c:v>
                </c:pt>
                <c:pt idx="391">
                  <c:v>95.095218298856338</c:v>
                </c:pt>
                <c:pt idx="392">
                  <c:v>94.852847246583522</c:v>
                </c:pt>
                <c:pt idx="393">
                  <c:v>94.61294038057008</c:v>
                </c:pt>
                <c:pt idx="394">
                  <c:v>94.375379491834963</c:v>
                </c:pt>
                <c:pt idx="395">
                  <c:v>94.140047159507219</c:v>
                </c:pt>
                <c:pt idx="396">
                  <c:v>93.906826726921153</c:v>
                </c:pt>
                <c:pt idx="397">
                  <c:v>93.67560227636001</c:v>
                </c:pt>
                <c:pt idx="398">
                  <c:v>93.446258602582432</c:v>
                </c:pt>
                <c:pt idx="399">
                  <c:v>93.218681185259882</c:v>
                </c:pt>
                <c:pt idx="400">
                  <c:v>92.992756160448138</c:v>
                </c:pt>
                <c:pt idx="401">
                  <c:v>92.768370291211383</c:v>
                </c:pt>
                <c:pt idx="402">
                  <c:v>92.545410937512088</c:v>
                </c:pt>
                <c:pt idx="403">
                  <c:v>92.323766025476885</c:v>
                </c:pt>
                <c:pt idx="404">
                  <c:v>92.103324016144668</c:v>
                </c:pt>
                <c:pt idx="405">
                  <c:v>91.883973873800173</c:v>
                </c:pt>
                <c:pt idx="406">
                  <c:v>91.665605033993387</c:v>
                </c:pt>
                <c:pt idx="407">
                  <c:v>91.44810737134371</c:v>
                </c:pt>
                <c:pt idx="408">
                  <c:v>91.231371167225106</c:v>
                </c:pt>
                <c:pt idx="409">
                  <c:v>91.015287077427828</c:v>
                </c:pt>
                <c:pt idx="410">
                  <c:v>90.799746099891607</c:v>
                </c:pt>
                <c:pt idx="411">
                  <c:v>90.584639542603824</c:v>
                </c:pt>
                <c:pt idx="412">
                  <c:v>90.369858991757241</c:v>
                </c:pt>
                <c:pt idx="413">
                  <c:v>90.155296280262206</c:v>
                </c:pt>
                <c:pt idx="414">
                  <c:v>89.940843456708166</c:v>
                </c:pt>
                <c:pt idx="415">
                  <c:v>89.72639275487181</c:v>
                </c:pt>
                <c:pt idx="416">
                  <c:v>89.511836563870759</c:v>
                </c:pt>
                <c:pt idx="417">
                  <c:v>89.297067399062826</c:v>
                </c:pt>
                <c:pt idx="418">
                  <c:v>89.081977873795552</c:v>
                </c:pt>
                <c:pt idx="419">
                  <c:v>88.8664606721117</c:v>
                </c:pt>
                <c:pt idx="420">
                  <c:v>88.65040852252136</c:v>
                </c:pt>
                <c:pt idx="421">
                  <c:v>88.433714172954637</c:v>
                </c:pt>
                <c:pt idx="422">
                  <c:v>88.216270367014403</c:v>
                </c:pt>
                <c:pt idx="423">
                  <c:v>87.997969821651068</c:v>
                </c:pt>
                <c:pt idx="424">
                  <c:v>87.778705206390427</c:v>
                </c:pt>
                <c:pt idx="425">
                  <c:v>87.558369124247278</c:v>
                </c:pt>
                <c:pt idx="426">
                  <c:v>87.336854094467</c:v>
                </c:pt>
                <c:pt idx="427">
                  <c:v>87.114052537242713</c:v>
                </c:pt>
                <c:pt idx="428">
                  <c:v>86.889856760563362</c:v>
                </c:pt>
                <c:pt idx="429">
                  <c:v>86.664158949352512</c:v>
                </c:pt>
                <c:pt idx="430">
                  <c:v>86.436851157073008</c:v>
                </c:pt>
                <c:pt idx="431">
                  <c:v>86.207825299971859</c:v>
                </c:pt>
                <c:pt idx="432">
                  <c:v>85.976973154156653</c:v>
                </c:pt>
                <c:pt idx="433">
                  <c:v>85.744186355697238</c:v>
                </c:pt>
                <c:pt idx="434">
                  <c:v>85.509356403963139</c:v>
                </c:pt>
                <c:pt idx="435">
                  <c:v>85.272374668409967</c:v>
                </c:pt>
                <c:pt idx="436">
                  <c:v>85.033132399043794</c:v>
                </c:pt>
                <c:pt idx="437">
                  <c:v>84.791520740799172</c:v>
                </c:pt>
                <c:pt idx="438">
                  <c:v>84.54743075208161</c:v>
                </c:pt>
                <c:pt idx="439">
                  <c:v>84.300753427730754</c:v>
                </c:pt>
                <c:pt idx="440">
                  <c:v>84.051379726676188</c:v>
                </c:pt>
                <c:pt idx="441">
                  <c:v>83.799200604567233</c:v>
                </c:pt>
                <c:pt idx="442">
                  <c:v>83.544107051667496</c:v>
                </c:pt>
                <c:pt idx="443">
                  <c:v>83.285990136320166</c:v>
                </c:pt>
                <c:pt idx="444">
                  <c:v>83.024741054295305</c:v>
                </c:pt>
                <c:pt idx="445">
                  <c:v>82.760251184344853</c:v>
                </c:pt>
                <c:pt idx="446">
                  <c:v>82.492412150300538</c:v>
                </c:pt>
                <c:pt idx="447">
                  <c:v>82.221115890055998</c:v>
                </c:pt>
                <c:pt idx="448">
                  <c:v>81.946254731787221</c:v>
                </c:pt>
                <c:pt idx="449">
                  <c:v>81.667721477768822</c:v>
                </c:pt>
                <c:pt idx="450">
                  <c:v>81.385409496153784</c:v>
                </c:pt>
                <c:pt idx="451">
                  <c:v>81.099212821086155</c:v>
                </c:pt>
                <c:pt idx="452">
                  <c:v>80.809026261521055</c:v>
                </c:pt>
                <c:pt idx="453">
                  <c:v>80.514745519126478</c:v>
                </c:pt>
                <c:pt idx="454">
                  <c:v>80.216267315643364</c:v>
                </c:pt>
                <c:pt idx="455">
                  <c:v>79.91348953007288</c:v>
                </c:pt>
                <c:pt idx="456">
                  <c:v>79.606311346057609</c:v>
                </c:pt>
                <c:pt idx="457">
                  <c:v>79.294633409812107</c:v>
                </c:pt>
                <c:pt idx="458">
                  <c:v>78.978357998944745</c:v>
                </c:pt>
                <c:pt idx="459">
                  <c:v>78.657389202499829</c:v>
                </c:pt>
                <c:pt idx="460">
                  <c:v>78.331633112522411</c:v>
                </c:pt>
                <c:pt idx="461">
                  <c:v>78.0009980274273</c:v>
                </c:pt>
                <c:pt idx="462">
                  <c:v>77.665394667420884</c:v>
                </c:pt>
                <c:pt idx="463">
                  <c:v>77.324736402186431</c:v>
                </c:pt>
                <c:pt idx="464">
                  <c:v>76.978939491004823</c:v>
                </c:pt>
                <c:pt idx="465">
                  <c:v>76.627923335429401</c:v>
                </c:pt>
                <c:pt idx="466">
                  <c:v>76.271610744581437</c:v>
                </c:pt>
                <c:pt idx="467">
                  <c:v>75.909928213066152</c:v>
                </c:pt>
                <c:pt idx="468">
                  <c:v>75.542806211442112</c:v>
                </c:pt>
                <c:pt idx="469">
                  <c:v>75.170179489093996</c:v>
                </c:pt>
                <c:pt idx="470">
                  <c:v>74.791987389275789</c:v>
                </c:pt>
                <c:pt idx="471">
                  <c:v>74.408174175992258</c:v>
                </c:pt>
                <c:pt idx="472">
                  <c:v>74.018689372285209</c:v>
                </c:pt>
                <c:pt idx="473">
                  <c:v>73.623488109376439</c:v>
                </c:pt>
                <c:pt idx="474">
                  <c:v>73.222531485998942</c:v>
                </c:pt>
                <c:pt idx="475">
                  <c:v>72.815786937118659</c:v>
                </c:pt>
                <c:pt idx="476">
                  <c:v>72.403228611108148</c:v>
                </c:pt>
                <c:pt idx="477">
                  <c:v>71.984837754294361</c:v>
                </c:pt>
                <c:pt idx="478">
                  <c:v>71.560603101644347</c:v>
                </c:pt>
                <c:pt idx="479">
                  <c:v>71.130521272197669</c:v>
                </c:pt>
                <c:pt idx="480">
                  <c:v>70.694597167693814</c:v>
                </c:pt>
                <c:pt idx="481">
                  <c:v>70.252844372670765</c:v>
                </c:pt>
                <c:pt idx="482">
                  <c:v>69.805285554148043</c:v>
                </c:pt>
                <c:pt idx="483">
                  <c:v>69.351952858838217</c:v>
                </c:pt>
                <c:pt idx="484">
                  <c:v>68.892888305661018</c:v>
                </c:pt>
                <c:pt idx="485">
                  <c:v>68.428144171176982</c:v>
                </c:pt>
                <c:pt idx="486">
                  <c:v>67.957783365400232</c:v>
                </c:pt>
                <c:pt idx="487">
                  <c:v>67.481879795301623</c:v>
                </c:pt>
                <c:pt idx="488">
                  <c:v>67.000518713186935</c:v>
                </c:pt>
                <c:pt idx="489">
                  <c:v>66.51379704700885</c:v>
                </c:pt>
                <c:pt idx="490">
                  <c:v>66.021823709578996</c:v>
                </c:pt>
                <c:pt idx="491">
                  <c:v>65.524719883568977</c:v>
                </c:pt>
                <c:pt idx="492">
                  <c:v>65.022619279133195</c:v>
                </c:pt>
                <c:pt idx="493">
                  <c:v>64.515668360970167</c:v>
                </c:pt>
                <c:pt idx="494">
                  <c:v>64.004026541646425</c:v>
                </c:pt>
                <c:pt idx="495">
                  <c:v>63.487866338048718</c:v>
                </c:pt>
                <c:pt idx="496">
                  <c:v>62.967373487915935</c:v>
                </c:pt>
                <c:pt idx="497">
                  <c:v>62.442747023521427</c:v>
                </c:pt>
                <c:pt idx="498">
                  <c:v>61.91419929974235</c:v>
                </c:pt>
                <c:pt idx="499">
                  <c:v>61.381955973954369</c:v>
                </c:pt>
                <c:pt idx="500">
                  <c:v>60.846255935443565</c:v>
                </c:pt>
                <c:pt idx="501">
                  <c:v>60.307351182313816</c:v>
                </c:pt>
                <c:pt idx="502">
                  <c:v>59.765506644215243</c:v>
                </c:pt>
                <c:pt idx="503">
                  <c:v>59.220999949572843</c:v>
                </c:pt>
                <c:pt idx="504">
                  <c:v>58.674121136430401</c:v>
                </c:pt>
                <c:pt idx="505">
                  <c:v>58.125172306451347</c:v>
                </c:pt>
                <c:pt idx="506">
                  <c:v>57.574467222107636</c:v>
                </c:pt>
                <c:pt idx="507">
                  <c:v>57.022330847575816</c:v>
                </c:pt>
                <c:pt idx="508">
                  <c:v>56.469098834386529</c:v>
                </c:pt>
                <c:pt idx="509">
                  <c:v>55.915116953392143</c:v>
                </c:pt>
                <c:pt idx="510">
                  <c:v>55.36074047515698</c:v>
                </c:pt>
                <c:pt idx="511">
                  <c:v>54.806333501391173</c:v>
                </c:pt>
                <c:pt idx="512">
                  <c:v>54.252268250569649</c:v>
                </c:pt>
                <c:pt idx="513">
                  <c:v>53.698924301365572</c:v>
                </c:pt>
                <c:pt idx="514">
                  <c:v>53.146687797986765</c:v>
                </c:pt>
                <c:pt idx="515">
                  <c:v>52.59595062193312</c:v>
                </c:pt>
                <c:pt idx="516">
                  <c:v>52.047109535060741</c:v>
                </c:pt>
                <c:pt idx="517">
                  <c:v>51.500565299173346</c:v>
                </c:pt>
                <c:pt idx="518">
                  <c:v>50.956721777619492</c:v>
                </c:pt>
                <c:pt idx="519">
                  <c:v>50.415985024580749</c:v>
                </c:pt>
                <c:pt idx="520">
                  <c:v>49.878762367869889</c:v>
                </c:pt>
                <c:pt idx="521">
                  <c:v>49.34546149111609</c:v>
                </c:pt>
                <c:pt idx="522">
                  <c:v>48.816489521219161</c:v>
                </c:pt>
                <c:pt idx="523">
                  <c:v>48.292252126857377</c:v>
                </c:pt>
                <c:pt idx="524">
                  <c:v>47.773152633698146</c:v>
                </c:pt>
                <c:pt idx="525">
                  <c:v>47.2595911617369</c:v>
                </c:pt>
                <c:pt idx="526">
                  <c:v>46.751963789905389</c:v>
                </c:pt>
                <c:pt idx="527">
                  <c:v>46.250661752756088</c:v>
                </c:pt>
                <c:pt idx="528">
                  <c:v>45.756070673635271</c:v>
                </c:pt>
                <c:pt idx="529">
                  <c:v>45.268569838311933</c:v>
                </c:pt>
                <c:pt idx="530">
                  <c:v>44.788531512572611</c:v>
                </c:pt>
                <c:pt idx="531">
                  <c:v>44.316320306763338</c:v>
                </c:pt>
                <c:pt idx="532">
                  <c:v>43.852292589755471</c:v>
                </c:pt>
                <c:pt idx="533">
                  <c:v>43.39679595425558</c:v>
                </c:pt>
                <c:pt idx="534">
                  <c:v>42.950168734851232</c:v>
                </c:pt>
                <c:pt idx="535">
                  <c:v>42.51273957962799</c:v>
                </c:pt>
                <c:pt idx="536">
                  <c:v>42.084827075684494</c:v>
                </c:pt>
                <c:pt idx="537">
                  <c:v>41.66673942833603</c:v>
                </c:pt>
                <c:pt idx="538">
                  <c:v>41.258774193335313</c:v>
                </c:pt>
                <c:pt idx="539">
                  <c:v>40.861218060963814</c:v>
                </c:pt>
                <c:pt idx="540">
                  <c:v>40.47434669043092</c:v>
                </c:pt>
                <c:pt idx="541">
                  <c:v>40.098424592633933</c:v>
                </c:pt>
              </c:numCache>
            </c:numRef>
          </c:yVal>
          <c:smooth val="1"/>
          <c:extLst>
            <c:ext xmlns:c16="http://schemas.microsoft.com/office/drawing/2014/chart" uri="{C3380CC4-5D6E-409C-BE32-E72D297353CC}">
              <c16:uniqueId val="{00000001-D13D-4F31-A1F4-F359C82058E5}"/>
            </c:ext>
          </c:extLst>
        </c:ser>
        <c:dLbls>
          <c:showLegendKey val="0"/>
          <c:showVal val="0"/>
          <c:showCatName val="0"/>
          <c:showSerName val="0"/>
          <c:showPercent val="0"/>
          <c:showBubbleSize val="0"/>
        </c:dLbls>
        <c:axId val="331791744"/>
        <c:axId val="331790208"/>
      </c:scatterChart>
      <c:valAx>
        <c:axId val="331786112"/>
        <c:scaling>
          <c:logBase val="10"/>
          <c:orientation val="minMax"/>
          <c:max val="2200000"/>
          <c:min val="10"/>
        </c:scaling>
        <c:delete val="0"/>
        <c:axPos val="b"/>
        <c:minorGridlines/>
        <c:title>
          <c:tx>
            <c:rich>
              <a:bodyPr/>
              <a:lstStyle/>
              <a:p>
                <a:pPr>
                  <a:defRPr/>
                </a:pPr>
                <a:r>
                  <a:rPr lang="en-US"/>
                  <a:t>Frequency</a:t>
                </a:r>
                <a:r>
                  <a:rPr lang="en-US" baseline="0"/>
                  <a:t> (Hz)</a:t>
                </a:r>
                <a:endParaRPr lang="en-US"/>
              </a:p>
            </c:rich>
          </c:tx>
          <c:overlay val="0"/>
        </c:title>
        <c:numFmt formatCode="0" sourceLinked="0"/>
        <c:majorTickMark val="out"/>
        <c:minorTickMark val="none"/>
        <c:tickLblPos val="low"/>
        <c:crossAx val="331788288"/>
        <c:crosses val="autoZero"/>
        <c:crossBetween val="midCat"/>
      </c:valAx>
      <c:valAx>
        <c:axId val="331788288"/>
        <c:scaling>
          <c:orientation val="minMax"/>
          <c:max val="40"/>
          <c:min val="-40"/>
        </c:scaling>
        <c:delete val="0"/>
        <c:axPos val="l"/>
        <c:majorGridlines/>
        <c:minorGridlines/>
        <c:title>
          <c:tx>
            <c:rich>
              <a:bodyPr rot="-5400000" vert="horz"/>
              <a:lstStyle/>
              <a:p>
                <a:pPr>
                  <a:defRPr/>
                </a:pPr>
                <a:r>
                  <a:rPr lang="en-US"/>
                  <a:t>Gain</a:t>
                </a:r>
                <a:r>
                  <a:rPr lang="en-US" baseline="0"/>
                  <a:t> (dB)</a:t>
                </a:r>
                <a:endParaRPr lang="en-US"/>
              </a:p>
            </c:rich>
          </c:tx>
          <c:overlay val="0"/>
        </c:title>
        <c:numFmt formatCode="General" sourceLinked="0"/>
        <c:majorTickMark val="out"/>
        <c:minorTickMark val="none"/>
        <c:tickLblPos val="nextTo"/>
        <c:crossAx val="331786112"/>
        <c:crosses val="autoZero"/>
        <c:crossBetween val="midCat"/>
        <c:majorUnit val="20"/>
        <c:minorUnit val="10"/>
      </c:valAx>
      <c:valAx>
        <c:axId val="331790208"/>
        <c:scaling>
          <c:orientation val="minMax"/>
          <c:max val="180"/>
          <c:min val="-180"/>
        </c:scaling>
        <c:delete val="0"/>
        <c:axPos val="r"/>
        <c:numFmt formatCode="General" sourceLinked="1"/>
        <c:majorTickMark val="out"/>
        <c:minorTickMark val="none"/>
        <c:tickLblPos val="nextTo"/>
        <c:crossAx val="331791744"/>
        <c:crosses val="max"/>
        <c:crossBetween val="midCat"/>
        <c:majorUnit val="90"/>
        <c:minorUnit val="45"/>
      </c:valAx>
      <c:valAx>
        <c:axId val="331791744"/>
        <c:scaling>
          <c:logBase val="10"/>
          <c:orientation val="minMax"/>
        </c:scaling>
        <c:delete val="1"/>
        <c:axPos val="b"/>
        <c:numFmt formatCode="0.00" sourceLinked="1"/>
        <c:majorTickMark val="out"/>
        <c:minorTickMark val="none"/>
        <c:tickLblPos val="nextTo"/>
        <c:crossAx val="331790208"/>
        <c:crosses val="autoZero"/>
        <c:crossBetween val="midCat"/>
      </c:valAx>
    </c:plotArea>
    <c:legend>
      <c:legendPos val="r"/>
      <c:layout>
        <c:manualLayout>
          <c:xMode val="edge"/>
          <c:yMode val="edge"/>
          <c:x val="0.79880558209512509"/>
          <c:y val="0.14321997959862004"/>
          <c:w val="0.13459449276057311"/>
          <c:h val="0.10691609861199437"/>
        </c:manualLayout>
      </c:layout>
      <c:overlay val="1"/>
      <c:spPr>
        <a:solidFill>
          <a:schemeClr val="bg1"/>
        </a:solidFill>
      </c:spPr>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2400"/>
            </a:pPr>
            <a:r>
              <a:rPr lang="el-GR" sz="2400"/>
              <a:t>η</a:t>
            </a:r>
            <a:endParaRPr lang="en-US" sz="2400"/>
          </a:p>
        </c:rich>
      </c:tx>
      <c:layout>
        <c:manualLayout>
          <c:xMode val="edge"/>
          <c:yMode val="edge"/>
          <c:x val="9.2321838295158831E-2"/>
          <c:y val="6.7069081153588199E-3"/>
        </c:manualLayout>
      </c:layout>
      <c:overlay val="1"/>
    </c:title>
    <c:autoTitleDeleted val="0"/>
    <c:plotArea>
      <c:layout>
        <c:manualLayout>
          <c:layoutTarget val="inner"/>
          <c:xMode val="edge"/>
          <c:yMode val="edge"/>
          <c:x val="9.4343575816580413E-2"/>
          <c:y val="0.12777504924560487"/>
          <c:w val="0.82170691922728745"/>
          <c:h val="0.74982770867653059"/>
        </c:manualLayout>
      </c:layout>
      <c:scatterChart>
        <c:scatterStyle val="smoothMarker"/>
        <c:varyColors val="0"/>
        <c:ser>
          <c:idx val="0"/>
          <c:order val="0"/>
          <c:tx>
            <c:v>Eff</c:v>
          </c:tx>
          <c:spPr>
            <a:ln>
              <a:solidFill>
                <a:srgbClr val="FF0000"/>
              </a:solidFill>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Eff_vs_IOUT!$BZ$7:$BZ$157</c:f>
              <c:numCache>
                <c:formatCode>General</c:formatCode>
                <c:ptCount val="151"/>
                <c:pt idx="0">
                  <c:v>0</c:v>
                </c:pt>
                <c:pt idx="1">
                  <c:v>91.614175393546276</c:v>
                </c:pt>
                <c:pt idx="2">
                  <c:v>91.407098962065774</c:v>
                </c:pt>
                <c:pt idx="3">
                  <c:v>90.919515145869681</c:v>
                </c:pt>
                <c:pt idx="4">
                  <c:v>90.423397156149136</c:v>
                </c:pt>
                <c:pt idx="5">
                  <c:v>89.953568159285354</c:v>
                </c:pt>
                <c:pt idx="6">
                  <c:v>89.51383788982254</c:v>
                </c:pt>
                <c:pt idx="7">
                  <c:v>89.102050447809063</c:v>
                </c:pt>
                <c:pt idx="8">
                  <c:v>88.715036340984568</c:v>
                </c:pt>
                <c:pt idx="9">
                  <c:v>88.349773309631189</c:v>
                </c:pt>
                <c:pt idx="10">
                  <c:v>88.003636100108977</c:v>
                </c:pt>
                <c:pt idx="11">
                  <c:v>87.674404780249176</c:v>
                </c:pt>
                <c:pt idx="12">
                  <c:v>87.360212725648324</c:v>
                </c:pt>
                <c:pt idx="13">
                  <c:v>87.059486569173671</c:v>
                </c:pt>
                <c:pt idx="14">
                  <c:v>86.770892606437656</c:v>
                </c:pt>
                <c:pt idx="15">
                  <c:v>86.493292518481653</c:v>
                </c:pt>
                <c:pt idx="16">
                  <c:v>86.22570779343539</c:v>
                </c:pt>
                <c:pt idx="17">
                  <c:v>85.967291385869004</c:v>
                </c:pt>
                <c:pt idx="18">
                  <c:v>85.717305145836306</c:v>
                </c:pt>
                <c:pt idx="19">
                  <c:v>85.475101773265081</c:v>
                </c:pt>
                <c:pt idx="20">
                  <c:v>85.240110306010791</c:v>
                </c:pt>
                <c:pt idx="21">
                  <c:v>85.01182437093334</c:v>
                </c:pt>
                <c:pt idx="22">
                  <c:v>84.789792604750019</c:v>
                </c:pt>
                <c:pt idx="23">
                  <c:v>84.573610788738691</c:v>
                </c:pt>
                <c:pt idx="24">
                  <c:v>84.362915346055658</c:v>
                </c:pt>
                <c:pt idx="25">
                  <c:v>84.157377929836684</c:v>
                </c:pt>
                <c:pt idx="26">
                  <c:v>83.956700890484115</c:v>
                </c:pt>
                <c:pt idx="27">
                  <c:v>83.760613456380312</c:v>
                </c:pt>
                <c:pt idx="28">
                  <c:v>83.568868497314881</c:v>
                </c:pt>
                <c:pt idx="29">
                  <c:v>83.381239766864809</c:v>
                </c:pt>
                <c:pt idx="30">
                  <c:v>83.197519540819869</c:v>
                </c:pt>
                <c:pt idx="31">
                  <c:v>83.01751658498479</c:v>
                </c:pt>
                <c:pt idx="32">
                  <c:v>82.841054398415537</c:v>
                </c:pt>
                <c:pt idx="33">
                  <c:v>82.667969688184215</c:v>
                </c:pt>
                <c:pt idx="34">
                  <c:v>82.498111039732223</c:v>
                </c:pt>
                <c:pt idx="35">
                  <c:v>82.331337753230457</c:v>
                </c:pt>
                <c:pt idx="36">
                  <c:v>82.167518821471958</c:v>
                </c:pt>
                <c:pt idx="37">
                  <c:v>82.006532028945742</c:v>
                </c:pt>
                <c:pt idx="38">
                  <c:v>81.848263155089441</c:v>
                </c:pt>
                <c:pt idx="39">
                  <c:v>81.692605267450077</c:v>
                </c:pt>
                <c:pt idx="40">
                  <c:v>81.53945809272382</c:v>
                </c:pt>
                <c:pt idx="41">
                  <c:v>81.388727455492301</c:v>
                </c:pt>
                <c:pt idx="42">
                  <c:v>81.240324776002453</c:v>
                </c:pt>
                <c:pt idx="43">
                  <c:v>81.094028148200508</c:v>
                </c:pt>
                <c:pt idx="44">
                  <c:v>80.946195400887547</c:v>
                </c:pt>
                <c:pt idx="45">
                  <c:v>80.795745329504342</c:v>
                </c:pt>
                <c:pt idx="46">
                  <c:v>80.642915089485427</c:v>
                </c:pt>
                <c:pt idx="47">
                  <c:v>80.487921664638691</c:v>
                </c:pt>
                <c:pt idx="48">
                  <c:v>80.330963895846594</c:v>
                </c:pt>
                <c:pt idx="49">
                  <c:v>80.172224270858976</c:v>
                </c:pt>
                <c:pt idx="50">
                  <c:v>80.011870507349187</c:v>
                </c:pt>
                <c:pt idx="51">
                  <c:v>79.850056956547675</c:v>
                </c:pt>
                <c:pt idx="52">
                  <c:v>79.686925850720257</c:v>
                </c:pt>
                <c:pt idx="53">
                  <c:v>79.522608414372527</c:v>
                </c:pt>
                <c:pt idx="54">
                  <c:v>79.357225856221476</c:v>
                </c:pt>
                <c:pt idx="55">
                  <c:v>79.190890256582406</c:v>
                </c:pt>
                <c:pt idx="56">
                  <c:v>79.023705362799717</c:v>
                </c:pt>
                <c:pt idx="57">
                  <c:v>78.85576730363519</c:v>
                </c:pt>
                <c:pt idx="58">
                  <c:v>78.687165232074292</c:v>
                </c:pt>
                <c:pt idx="59">
                  <c:v>78.517981904768135</c:v>
                </c:pt>
                <c:pt idx="60">
                  <c:v>78.34829420526917</c:v>
                </c:pt>
                <c:pt idx="61">
                  <c:v>78.178173617309071</c:v>
                </c:pt>
                <c:pt idx="62">
                  <c:v>78.007686653586205</c:v>
                </c:pt>
                <c:pt idx="63">
                  <c:v>77.836895244856947</c:v>
                </c:pt>
                <c:pt idx="64">
                  <c:v>77.665857093543579</c:v>
                </c:pt>
                <c:pt idx="65">
                  <c:v>77.49462599556901</c:v>
                </c:pt>
                <c:pt idx="66">
                  <c:v>77.323252133691057</c:v>
                </c:pt>
                <c:pt idx="67">
                  <c:v>77.151782345230302</c:v>
                </c:pt>
                <c:pt idx="68">
                  <c:v>76.980260366754266</c:v>
                </c:pt>
                <c:pt idx="69">
                  <c:v>76.808727057991561</c:v>
                </c:pt>
                <c:pt idx="70">
                  <c:v>76.637220606997758</c:v>
                </c:pt>
                <c:pt idx="71">
                  <c:v>76.465776718372311</c:v>
                </c:pt>
                <c:pt idx="72">
                  <c:v>76.294428786131618</c:v>
                </c:pt>
                <c:pt idx="73">
                  <c:v>76.123208052671941</c:v>
                </c:pt>
                <c:pt idx="74">
                  <c:v>75.952143755105254</c:v>
                </c:pt>
                <c:pt idx="75">
                  <c:v>75.781263260117143</c:v>
                </c:pt>
                <c:pt idx="76">
                  <c:v>75.610592188378462</c:v>
                </c:pt>
                <c:pt idx="77">
                  <c:v>75.440154529437777</c:v>
                </c:pt>
                <c:pt idx="78">
                  <c:v>75.269972747928961</c:v>
                </c:pt>
                <c:pt idx="79">
                  <c:v>75.10006788184532</c:v>
                </c:pt>
                <c:pt idx="80">
                  <c:v>74.930459633559678</c:v>
                </c:pt>
                <c:pt idx="81">
                  <c:v>74.761166454202154</c:v>
                </c:pt>
                <c:pt idx="82">
                  <c:v>74.592205621951635</c:v>
                </c:pt>
                <c:pt idx="83">
                  <c:v>74.423593314742106</c:v>
                </c:pt>
                <c:pt idx="84">
                  <c:v>74.255344677840412</c:v>
                </c:pt>
                <c:pt idx="85">
                  <c:v>74.087473886708494</c:v>
                </c:pt>
                <c:pt idx="86">
                  <c:v>73.919994205526706</c:v>
                </c:pt>
                <c:pt idx="87">
                  <c:v>73.752918041719923</c:v>
                </c:pt>
                <c:pt idx="88">
                  <c:v>73.586256996798767</c:v>
                </c:pt>
                <c:pt idx="89">
                  <c:v>73.4200219137999</c:v>
                </c:pt>
                <c:pt idx="90">
                  <c:v>73.25422292158531</c:v>
                </c:pt>
                <c:pt idx="91">
                  <c:v>73.088869476237548</c:v>
                </c:pt>
                <c:pt idx="92">
                  <c:v>72.923970399768436</c:v>
                </c:pt>
                <c:pt idx="93">
                  <c:v>72.759533916339393</c:v>
                </c:pt>
                <c:pt idx="94">
                  <c:v>72.595567686176082</c:v>
                </c:pt>
                <c:pt idx="95">
                  <c:v>72.43207883734442</c:v>
                </c:pt>
                <c:pt idx="96">
                  <c:v>72.269073995541007</c:v>
                </c:pt>
                <c:pt idx="97">
                  <c:v>72.106559312039721</c:v>
                </c:pt>
                <c:pt idx="98">
                  <c:v>71.944540489923625</c:v>
                </c:pt>
                <c:pt idx="99">
                  <c:v>71.78302280872208</c:v>
                </c:pt>
                <c:pt idx="100">
                  <c:v>71.62201114756293</c:v>
                </c:pt>
                <c:pt idx="101">
                  <c:v>71.461510006941225</c:v>
                </c:pt>
                <c:pt idx="102">
                  <c:v>71.301523529198647</c:v>
                </c:pt>
                <c:pt idx="103">
                  <c:v>71.142055517799236</c:v>
                </c:pt>
                <c:pt idx="104">
                  <c:v>70.983109455482804</c:v>
                </c:pt>
                <c:pt idx="105">
                  <c:v>70.824688521368557</c:v>
                </c:pt>
                <c:pt idx="106">
                  <c:v>70.666795607078583</c:v>
                </c:pt>
                <c:pt idx="107">
                  <c:v>70.50943333194418</c:v>
                </c:pt>
                <c:pt idx="108">
                  <c:v>70.352604057353915</c:v>
                </c:pt>
                <c:pt idx="109">
                  <c:v>70.196309900298075</c:v>
                </c:pt>
                <c:pt idx="110">
                  <c:v>70.04055274616023</c:v>
                </c:pt>
                <c:pt idx="111">
                  <c:v>69.885334260802978</c:v>
                </c:pt>
                <c:pt idx="112">
                  <c:v>69.730655901991582</c:v>
                </c:pt>
                <c:pt idx="113">
                  <c:v>69.576518930196343</c:v>
                </c:pt>
                <c:pt idx="114">
                  <c:v>69.422924418811547</c:v>
                </c:pt>
                <c:pt idx="115">
                  <c:v>69.269873263826355</c:v>
                </c:pt>
                <c:pt idx="116">
                  <c:v>69.117366192980384</c:v>
                </c:pt>
                <c:pt idx="117">
                  <c:v>68.965403774434975</c:v>
                </c:pt>
                <c:pt idx="118">
                  <c:v>68.813986424988443</c:v>
                </c:pt>
                <c:pt idx="119">
                  <c:v>68.663114417862189</c:v>
                </c:pt>
                <c:pt idx="120">
                  <c:v>68.512787890082834</c:v>
                </c:pt>
                <c:pt idx="121">
                  <c:v>68.363006849483384</c:v>
                </c:pt>
                <c:pt idx="122">
                  <c:v>68.213771181345365</c:v>
                </c:pt>
                <c:pt idx="123">
                  <c:v>68.065080654702641</c:v>
                </c:pt>
                <c:pt idx="124">
                  <c:v>67.916934928325645</c:v>
                </c:pt>
                <c:pt idx="125">
                  <c:v>67.769333556404035</c:v>
                </c:pt>
                <c:pt idx="126">
                  <c:v>67.622275993944811</c:v>
                </c:pt>
                <c:pt idx="127">
                  <c:v>67.475761601901354</c:v>
                </c:pt>
                <c:pt idx="128">
                  <c:v>67.329789652048206</c:v>
                </c:pt>
                <c:pt idx="129">
                  <c:v>67.184359331615639</c:v>
                </c:pt>
                <c:pt idx="130">
                  <c:v>67.039469747696756</c:v>
                </c:pt>
                <c:pt idx="131">
                  <c:v>66.895119931439567</c:v>
                </c:pt>
                <c:pt idx="132">
                  <c:v>66.751308842035527</c:v>
                </c:pt>
                <c:pt idx="133">
                  <c:v>66.608035370514941</c:v>
                </c:pt>
                <c:pt idx="134">
                  <c:v>66.465298343360246</c:v>
                </c:pt>
                <c:pt idx="135">
                  <c:v>66.323096525945815</c:v>
                </c:pt>
                <c:pt idx="136">
                  <c:v>66.181428625813822</c:v>
                </c:pt>
                <c:pt idx="137">
                  <c:v>66.04029329579464</c:v>
                </c:pt>
                <c:pt idx="138">
                  <c:v>65.899689136979575</c:v>
                </c:pt>
                <c:pt idx="139">
                  <c:v>65.759614701553588</c:v>
                </c:pt>
                <c:pt idx="140">
                  <c:v>65.620068495495048</c:v>
                </c:pt>
                <c:pt idx="141">
                  <c:v>65.481048981149399</c:v>
                </c:pt>
                <c:pt idx="142">
                  <c:v>65.342554579682925</c:v>
                </c:pt>
                <c:pt idx="143">
                  <c:v>65.204583673422491</c:v>
                </c:pt>
                <c:pt idx="144">
                  <c:v>65.067134608087215</c:v>
                </c:pt>
                <c:pt idx="145">
                  <c:v>64.930205694917191</c:v>
                </c:pt>
                <c:pt idx="146">
                  <c:v>64.793795212704254</c:v>
                </c:pt>
                <c:pt idx="147">
                  <c:v>64.657901409729845</c:v>
                </c:pt>
                <c:pt idx="148">
                  <c:v>64.522522505614134</c:v>
                </c:pt>
                <c:pt idx="149">
                  <c:v>64.387656693080999</c:v>
                </c:pt>
                <c:pt idx="150">
                  <c:v>64.25330213964267</c:v>
                </c:pt>
              </c:numCache>
            </c:numRef>
          </c:yVal>
          <c:smooth val="0"/>
          <c:extLst>
            <c:ext xmlns:c16="http://schemas.microsoft.com/office/drawing/2014/chart" uri="{C3380CC4-5D6E-409C-BE32-E72D297353CC}">
              <c16:uniqueId val="{00000000-2D92-4CB2-A641-52AD34A639BE}"/>
            </c:ext>
          </c:extLst>
        </c:ser>
        <c:dLbls>
          <c:showLegendKey val="0"/>
          <c:showVal val="0"/>
          <c:showCatName val="0"/>
          <c:showSerName val="0"/>
          <c:showPercent val="0"/>
          <c:showBubbleSize val="0"/>
        </c:dLbls>
        <c:axId val="586594176"/>
        <c:axId val="586595712"/>
      </c:scatterChart>
      <c:scatterChart>
        <c:scatterStyle val="smoothMarker"/>
        <c:varyColors val="0"/>
        <c:ser>
          <c:idx val="1"/>
          <c:order val="1"/>
          <c:tx>
            <c:v>MOSFET</c:v>
          </c:tx>
          <c:spPr>
            <a:ln>
              <a:solidFill>
                <a:schemeClr val="tx2">
                  <a:lumMod val="75000"/>
                </a:schemeClr>
              </a:solidFill>
              <a:prstDash val="dashDot"/>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Eff_vs_IOUT!$AJ$7:$AJ$157</c:f>
              <c:numCache>
                <c:formatCode>General</c:formatCode>
                <c:ptCount val="151"/>
                <c:pt idx="0">
                  <c:v>0</c:v>
                </c:pt>
                <c:pt idx="1">
                  <c:v>5.4618288037103484E-3</c:v>
                </c:pt>
                <c:pt idx="2">
                  <c:v>1.1205673851048672E-2</c:v>
                </c:pt>
                <c:pt idx="3">
                  <c:v>1.7988018168847937E-2</c:v>
                </c:pt>
                <c:pt idx="4">
                  <c:v>2.5694332592206354E-2</c:v>
                </c:pt>
                <c:pt idx="5">
                  <c:v>3.4231842712920312E-2</c:v>
                </c:pt>
                <c:pt idx="6">
                  <c:v>4.3529207689206671E-2</c:v>
                </c:pt>
                <c:pt idx="7">
                  <c:v>5.3530173424532618E-2</c:v>
                </c:pt>
                <c:pt idx="8">
                  <c:v>6.4189125479875112E-2</c:v>
                </c:pt>
                <c:pt idx="9">
                  <c:v>7.5468186350273664E-2</c:v>
                </c:pt>
                <c:pt idx="10">
                  <c:v>8.7335282504630837E-2</c:v>
                </c:pt>
                <c:pt idx="11">
                  <c:v>9.976281485243374E-2</c:v>
                </c:pt>
                <c:pt idx="12">
                  <c:v>0.11272671494490211</c:v>
                </c:pt>
                <c:pt idx="13">
                  <c:v>0.12620575587129973</c:v>
                </c:pt>
                <c:pt idx="14">
                  <c:v>0.14018103661169484</c:v>
                </c:pt>
                <c:pt idx="15">
                  <c:v>0.15463558786267997</c:v>
                </c:pt>
                <c:pt idx="16">
                  <c:v>0.16955406506269799</c:v>
                </c:pt>
                <c:pt idx="17">
                  <c:v>0.18492250539724489</c:v>
                </c:pt>
                <c:pt idx="18">
                  <c:v>0.20072813266425713</c:v>
                </c:pt>
                <c:pt idx="19">
                  <c:v>0.21695919856198775</c:v>
                </c:pt>
                <c:pt idx="20">
                  <c:v>0.23360485212352272</c:v>
                </c:pt>
                <c:pt idx="21">
                  <c:v>0.25065503120379601</c:v>
                </c:pt>
                <c:pt idx="22">
                  <c:v>0.26810037145991977</c:v>
                </c:pt>
                <c:pt idx="23">
                  <c:v>0.28593212936479107</c:v>
                </c:pt>
                <c:pt idx="24">
                  <c:v>0.3041421165937126</c:v>
                </c:pt>
                <c:pt idx="25">
                  <c:v>0.32272264371426496</c:v>
                </c:pt>
                <c:pt idx="26">
                  <c:v>0.34166647155151741</c:v>
                </c:pt>
                <c:pt idx="27">
                  <c:v>0.36096676893536878</c:v>
                </c:pt>
                <c:pt idx="28">
                  <c:v>0.38061707579320458</c:v>
                </c:pt>
                <c:pt idx="29">
                  <c:v>0.40061127074955311</c:v>
                </c:pt>
                <c:pt idx="30">
                  <c:v>0.42094354254954797</c:v>
                </c:pt>
                <c:pt idx="31">
                  <c:v>0.44160836474534948</c:v>
                </c:pt>
                <c:pt idx="32">
                  <c:v>0.46260047318197239</c:v>
                </c:pt>
                <c:pt idx="33">
                  <c:v>0.48391484589693118</c:v>
                </c:pt>
                <c:pt idx="34">
                  <c:v>0.5055466851110556</c:v>
                </c:pt>
                <c:pt idx="35">
                  <c:v>0.52749140103899428</c:v>
                </c:pt>
                <c:pt idx="36">
                  <c:v>0.54974459728976022</c:v>
                </c:pt>
                <c:pt idx="37">
                  <c:v>0.5723020576621175</c:v>
                </c:pt>
                <c:pt idx="38">
                  <c:v>0.5951597341680952</c:v>
                </c:pt>
                <c:pt idx="39">
                  <c:v>0.61831373614163754</c:v>
                </c:pt>
                <c:pt idx="40">
                  <c:v>0.6417603203092177</c:v>
                </c:pt>
                <c:pt idx="41">
                  <c:v>0.66549588171590757</c:v>
                </c:pt>
                <c:pt idx="42">
                  <c:v>0.68951694541445319</c:v>
                </c:pt>
                <c:pt idx="43">
                  <c:v>0.71385316477143634</c:v>
                </c:pt>
                <c:pt idx="44">
                  <c:v>0.73884537754734958</c:v>
                </c:pt>
                <c:pt idx="45">
                  <c:v>0.76440159032326294</c:v>
                </c:pt>
                <c:pt idx="46">
                  <c:v>0.79052180309917663</c:v>
                </c:pt>
                <c:pt idx="47">
                  <c:v>0.81720601587508968</c:v>
                </c:pt>
                <c:pt idx="48">
                  <c:v>0.84445422865100284</c:v>
                </c:pt>
                <c:pt idx="49">
                  <c:v>0.87226644142691612</c:v>
                </c:pt>
                <c:pt idx="50">
                  <c:v>0.90064265420282941</c:v>
                </c:pt>
                <c:pt idx="51">
                  <c:v>0.92958286697874248</c:v>
                </c:pt>
                <c:pt idx="52">
                  <c:v>0.9590870797546559</c:v>
                </c:pt>
                <c:pt idx="53">
                  <c:v>0.98915529253056922</c:v>
                </c:pt>
                <c:pt idx="54">
                  <c:v>1.019787505306482</c:v>
                </c:pt>
                <c:pt idx="55">
                  <c:v>1.0509837180823955</c:v>
                </c:pt>
                <c:pt idx="56">
                  <c:v>1.0827439308583089</c:v>
                </c:pt>
                <c:pt idx="57">
                  <c:v>1.1150681436342222</c:v>
                </c:pt>
                <c:pt idx="58">
                  <c:v>1.1479563564101356</c:v>
                </c:pt>
                <c:pt idx="59">
                  <c:v>1.1814085691860496</c:v>
                </c:pt>
                <c:pt idx="60">
                  <c:v>1.2154247819619619</c:v>
                </c:pt>
                <c:pt idx="61">
                  <c:v>1.2500049947378746</c:v>
                </c:pt>
                <c:pt idx="62">
                  <c:v>1.2851492075137887</c:v>
                </c:pt>
                <c:pt idx="63">
                  <c:v>1.3208574202897019</c:v>
                </c:pt>
                <c:pt idx="64">
                  <c:v>1.3571296330656155</c:v>
                </c:pt>
                <c:pt idx="65">
                  <c:v>1.3939658458415281</c:v>
                </c:pt>
                <c:pt idx="66">
                  <c:v>1.431366058617441</c:v>
                </c:pt>
                <c:pt idx="67">
                  <c:v>1.4693302713933549</c:v>
                </c:pt>
                <c:pt idx="68">
                  <c:v>1.5078584841692684</c:v>
                </c:pt>
                <c:pt idx="69">
                  <c:v>1.5469506969451807</c:v>
                </c:pt>
                <c:pt idx="70">
                  <c:v>1.5866069097210942</c:v>
                </c:pt>
                <c:pt idx="71">
                  <c:v>1.6268271224970077</c:v>
                </c:pt>
                <c:pt idx="72">
                  <c:v>1.6676113352729212</c:v>
                </c:pt>
                <c:pt idx="73">
                  <c:v>1.7089595480488335</c:v>
                </c:pt>
                <c:pt idx="74">
                  <c:v>1.7508717608247484</c:v>
                </c:pt>
                <c:pt idx="75">
                  <c:v>1.7933479736006606</c:v>
                </c:pt>
                <c:pt idx="76">
                  <c:v>1.8363881863765732</c:v>
                </c:pt>
                <c:pt idx="77">
                  <c:v>1.8799923991524881</c:v>
                </c:pt>
                <c:pt idx="78">
                  <c:v>1.9241606119284</c:v>
                </c:pt>
                <c:pt idx="79">
                  <c:v>1.9688928247043147</c:v>
                </c:pt>
                <c:pt idx="80">
                  <c:v>2.0141890374802265</c:v>
                </c:pt>
                <c:pt idx="81">
                  <c:v>2.0600492502561401</c:v>
                </c:pt>
                <c:pt idx="82">
                  <c:v>2.106473463032053</c:v>
                </c:pt>
                <c:pt idx="83">
                  <c:v>2.153461675807967</c:v>
                </c:pt>
                <c:pt idx="84">
                  <c:v>2.2010138885838799</c:v>
                </c:pt>
                <c:pt idx="85">
                  <c:v>2.2491301013597935</c:v>
                </c:pt>
                <c:pt idx="86">
                  <c:v>2.2978103141357069</c:v>
                </c:pt>
                <c:pt idx="87">
                  <c:v>2.3470545269116205</c:v>
                </c:pt>
                <c:pt idx="88">
                  <c:v>2.3968627396875335</c:v>
                </c:pt>
                <c:pt idx="89">
                  <c:v>2.4472349524634462</c:v>
                </c:pt>
                <c:pt idx="90">
                  <c:v>2.4981711652393601</c:v>
                </c:pt>
                <c:pt idx="91">
                  <c:v>2.5496713780152724</c:v>
                </c:pt>
                <c:pt idx="92">
                  <c:v>2.6017355907911872</c:v>
                </c:pt>
                <c:pt idx="93">
                  <c:v>2.6543638035670987</c:v>
                </c:pt>
                <c:pt idx="94">
                  <c:v>2.7075560163430135</c:v>
                </c:pt>
                <c:pt idx="95">
                  <c:v>2.7613122291189254</c:v>
                </c:pt>
                <c:pt idx="96">
                  <c:v>2.8156324418948393</c:v>
                </c:pt>
                <c:pt idx="97">
                  <c:v>2.8705166546707517</c:v>
                </c:pt>
                <c:pt idx="98">
                  <c:v>2.9259648674466661</c:v>
                </c:pt>
                <c:pt idx="99">
                  <c:v>2.9819770802225802</c:v>
                </c:pt>
                <c:pt idx="100">
                  <c:v>3.0385532929984924</c:v>
                </c:pt>
                <c:pt idx="101">
                  <c:v>3.0956935057744057</c:v>
                </c:pt>
                <c:pt idx="102">
                  <c:v>3.1533977185503179</c:v>
                </c:pt>
                <c:pt idx="103">
                  <c:v>3.2116659313262326</c:v>
                </c:pt>
                <c:pt idx="104">
                  <c:v>3.2704981441021461</c:v>
                </c:pt>
                <c:pt idx="105">
                  <c:v>3.3298943568780586</c:v>
                </c:pt>
                <c:pt idx="106">
                  <c:v>3.3898545696539713</c:v>
                </c:pt>
                <c:pt idx="107">
                  <c:v>3.4503787824298859</c:v>
                </c:pt>
                <c:pt idx="108">
                  <c:v>3.5114669952057986</c:v>
                </c:pt>
                <c:pt idx="109">
                  <c:v>3.5731192079817116</c:v>
                </c:pt>
                <c:pt idx="110">
                  <c:v>3.6353354207576243</c:v>
                </c:pt>
                <c:pt idx="111">
                  <c:v>3.698115633533539</c:v>
                </c:pt>
                <c:pt idx="112">
                  <c:v>3.7614598463094513</c:v>
                </c:pt>
                <c:pt idx="113">
                  <c:v>3.8253680590853638</c:v>
                </c:pt>
                <c:pt idx="114">
                  <c:v>3.8898402718612788</c:v>
                </c:pt>
                <c:pt idx="115">
                  <c:v>3.9548764846371891</c:v>
                </c:pt>
                <c:pt idx="116">
                  <c:v>4.0204766974131045</c:v>
                </c:pt>
                <c:pt idx="117">
                  <c:v>4.0866409101890175</c:v>
                </c:pt>
                <c:pt idx="118">
                  <c:v>4.1533691229649321</c:v>
                </c:pt>
                <c:pt idx="119">
                  <c:v>4.220661335740842</c:v>
                </c:pt>
                <c:pt idx="120">
                  <c:v>4.2885175485167579</c:v>
                </c:pt>
                <c:pt idx="121">
                  <c:v>4.3569377612926692</c:v>
                </c:pt>
                <c:pt idx="122">
                  <c:v>4.4259219740685802</c:v>
                </c:pt>
                <c:pt idx="123">
                  <c:v>4.4954701868444955</c:v>
                </c:pt>
                <c:pt idx="124">
                  <c:v>4.5655823996204097</c:v>
                </c:pt>
                <c:pt idx="125">
                  <c:v>4.6362586123963228</c:v>
                </c:pt>
                <c:pt idx="126">
                  <c:v>4.7074988251722347</c:v>
                </c:pt>
                <c:pt idx="127">
                  <c:v>4.7793030379481491</c:v>
                </c:pt>
                <c:pt idx="128">
                  <c:v>4.8516712507240625</c:v>
                </c:pt>
                <c:pt idx="129">
                  <c:v>4.9246034634999756</c:v>
                </c:pt>
                <c:pt idx="130">
                  <c:v>4.9980996762758867</c:v>
                </c:pt>
                <c:pt idx="131">
                  <c:v>5.0721598890518038</c:v>
                </c:pt>
                <c:pt idx="132">
                  <c:v>5.1467841018277145</c:v>
                </c:pt>
                <c:pt idx="133">
                  <c:v>5.2219723146036312</c:v>
                </c:pt>
                <c:pt idx="134">
                  <c:v>5.2977245273795424</c:v>
                </c:pt>
                <c:pt idx="135">
                  <c:v>5.3740407401554542</c:v>
                </c:pt>
                <c:pt idx="136">
                  <c:v>5.4509209529313676</c:v>
                </c:pt>
                <c:pt idx="137">
                  <c:v>5.5283651657072834</c:v>
                </c:pt>
                <c:pt idx="138">
                  <c:v>5.6063733784831955</c:v>
                </c:pt>
                <c:pt idx="139">
                  <c:v>5.6849455912591074</c:v>
                </c:pt>
                <c:pt idx="140">
                  <c:v>5.7640818040350208</c:v>
                </c:pt>
                <c:pt idx="141">
                  <c:v>5.8437820168109358</c:v>
                </c:pt>
                <c:pt idx="142">
                  <c:v>5.9240462295868497</c:v>
                </c:pt>
                <c:pt idx="143">
                  <c:v>6.0048744423627616</c:v>
                </c:pt>
                <c:pt idx="144">
                  <c:v>6.0862666551386759</c:v>
                </c:pt>
                <c:pt idx="145">
                  <c:v>6.1682228679145874</c:v>
                </c:pt>
                <c:pt idx="146">
                  <c:v>6.2507430806905022</c:v>
                </c:pt>
                <c:pt idx="147">
                  <c:v>6.3338272934664133</c:v>
                </c:pt>
                <c:pt idx="148">
                  <c:v>6.4174755062423294</c:v>
                </c:pt>
                <c:pt idx="149">
                  <c:v>6.5016877190182418</c:v>
                </c:pt>
                <c:pt idx="150">
                  <c:v>6.5864639317941522</c:v>
                </c:pt>
              </c:numCache>
            </c:numRef>
          </c:yVal>
          <c:smooth val="1"/>
          <c:extLst>
            <c:ext xmlns:c16="http://schemas.microsoft.com/office/drawing/2014/chart" uri="{C3380CC4-5D6E-409C-BE32-E72D297353CC}">
              <c16:uniqueId val="{00000001-2D92-4CB2-A641-52AD34A639BE}"/>
            </c:ext>
          </c:extLst>
        </c:ser>
        <c:ser>
          <c:idx val="3"/>
          <c:order val="2"/>
          <c:tx>
            <c:v>RS</c:v>
          </c:tx>
          <c:spPr>
            <a:ln>
              <a:solidFill>
                <a:schemeClr val="accent5">
                  <a:lumMod val="75000"/>
                </a:schemeClr>
              </a:solidFill>
              <a:prstDash val="lgDashDotDot"/>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Eff_vs_IOUT!$BU$7:$BU$157</c:f>
              <c:numCache>
                <c:formatCode>General</c:formatCode>
                <c:ptCount val="151"/>
                <c:pt idx="0">
                  <c:v>0</c:v>
                </c:pt>
                <c:pt idx="1">
                  <c:v>4.1902624070313919E-5</c:v>
                </c:pt>
                <c:pt idx="2">
                  <c:v>1.1851851851851848E-4</c:v>
                </c:pt>
                <c:pt idx="3">
                  <c:v>2.1773242158072689E-4</c:v>
                </c:pt>
                <c:pt idx="4">
                  <c:v>3.3522099256251135E-4</c:v>
                </c:pt>
                <c:pt idx="5">
                  <c:v>4.6848557928420447E-4</c:v>
                </c:pt>
                <c:pt idx="6">
                  <c:v>6.1584028713560065E-4</c:v>
                </c:pt>
                <c:pt idx="7">
                  <c:v>7.7604745799755826E-4</c:v>
                </c:pt>
                <c:pt idx="8">
                  <c:v>9.4814814814814794E-4</c:v>
                </c:pt>
                <c:pt idx="9">
                  <c:v>1.1313708498984758E-3</c:v>
                </c:pt>
                <c:pt idx="10">
                  <c:v>1.3250773199998756E-3</c:v>
                </c:pt>
                <c:pt idx="11">
                  <c:v>1.5287280994980067E-3</c:v>
                </c:pt>
                <c:pt idx="12">
                  <c:v>1.7418593726458151E-3</c:v>
                </c:pt>
                <c:pt idx="13">
                  <c:v>1.9640667756061088E-3</c:v>
                </c:pt>
                <c:pt idx="14">
                  <c:v>2.1949936802906221E-3</c:v>
                </c:pt>
                <c:pt idx="15">
                  <c:v>2.4343224778007378E-3</c:v>
                </c:pt>
                <c:pt idx="16">
                  <c:v>2.6817679405000908E-3</c:v>
                </c:pt>
                <c:pt idx="17">
                  <c:v>2.9370720655517071E-3</c:v>
                </c:pt>
                <c:pt idx="18">
                  <c:v>3.1999999999999997E-3</c:v>
                </c:pt>
                <c:pt idx="19">
                  <c:v>3.4703367720417956E-3</c:v>
                </c:pt>
                <c:pt idx="20">
                  <c:v>3.7478846342736357E-3</c:v>
                </c:pt>
                <c:pt idx="21">
                  <c:v>4.0324608790093339E-3</c:v>
                </c:pt>
                <c:pt idx="22">
                  <c:v>4.3238960229818532E-3</c:v>
                </c:pt>
                <c:pt idx="23">
                  <c:v>4.6220322847964797E-3</c:v>
                </c:pt>
                <c:pt idx="24">
                  <c:v>4.9267222970848052E-3</c:v>
                </c:pt>
                <c:pt idx="25">
                  <c:v>5.237828008789241E-3</c:v>
                </c:pt>
                <c:pt idx="26">
                  <c:v>5.5552197429371069E-3</c:v>
                </c:pt>
                <c:pt idx="27">
                  <c:v>5.8787753826796268E-3</c:v>
                </c:pt>
                <c:pt idx="28">
                  <c:v>6.2083796639804661E-3</c:v>
                </c:pt>
                <c:pt idx="29">
                  <c:v>6.5439235576312087E-3</c:v>
                </c:pt>
                <c:pt idx="30">
                  <c:v>6.8853037265909642E-3</c:v>
                </c:pt>
                <c:pt idx="31">
                  <c:v>7.2324220472404794E-3</c:v>
                </c:pt>
                <c:pt idx="32">
                  <c:v>7.5851851851851827E-3</c:v>
                </c:pt>
                <c:pt idx="33">
                  <c:v>7.9435042178662707E-3</c:v>
                </c:pt>
                <c:pt idx="34">
                  <c:v>8.3072942975407679E-3</c:v>
                </c:pt>
                <c:pt idx="35">
                  <c:v>8.6764743492422688E-3</c:v>
                </c:pt>
                <c:pt idx="36">
                  <c:v>9.0509667991878085E-3</c:v>
                </c:pt>
                <c:pt idx="37">
                  <c:v>9.4306973297948807E-3</c:v>
                </c:pt>
                <c:pt idx="38">
                  <c:v>9.8155946580471467E-3</c:v>
                </c:pt>
                <c:pt idx="39">
                  <c:v>1.020559033442329E-2</c:v>
                </c:pt>
                <c:pt idx="40">
                  <c:v>1.0600618559999003E-2</c:v>
                </c:pt>
                <c:pt idx="41">
                  <c:v>1.1000616019663234E-2</c:v>
                </c:pt>
                <c:pt idx="42">
                  <c:v>1.1405521729667866E-2</c:v>
                </c:pt>
                <c:pt idx="43">
                  <c:v>1.1815319411185809E-2</c:v>
                </c:pt>
                <c:pt idx="44">
                  <c:v>1.2232919411185808E-2</c:v>
                </c:pt>
                <c:pt idx="45">
                  <c:v>1.266011941118581E-2</c:v>
                </c:pt>
                <c:pt idx="46">
                  <c:v>1.3096919411185817E-2</c:v>
                </c:pt>
                <c:pt idx="47">
                  <c:v>1.3543319411185814E-2</c:v>
                </c:pt>
                <c:pt idx="48">
                  <c:v>1.3999319411185812E-2</c:v>
                </c:pt>
                <c:pt idx="49">
                  <c:v>1.4464919411185813E-2</c:v>
                </c:pt>
                <c:pt idx="50">
                  <c:v>1.4940119411185815E-2</c:v>
                </c:pt>
                <c:pt idx="51">
                  <c:v>1.542491941118581E-2</c:v>
                </c:pt>
                <c:pt idx="52">
                  <c:v>1.5919319411185812E-2</c:v>
                </c:pt>
                <c:pt idx="53">
                  <c:v>1.6423319411185817E-2</c:v>
                </c:pt>
                <c:pt idx="54">
                  <c:v>1.6936919411185806E-2</c:v>
                </c:pt>
                <c:pt idx="55">
                  <c:v>1.7460119411185811E-2</c:v>
                </c:pt>
                <c:pt idx="56">
                  <c:v>1.7992919411185814E-2</c:v>
                </c:pt>
                <c:pt idx="57">
                  <c:v>1.8535319411185813E-2</c:v>
                </c:pt>
                <c:pt idx="58">
                  <c:v>1.9087319411185813E-2</c:v>
                </c:pt>
                <c:pt idx="59">
                  <c:v>1.9648919411185829E-2</c:v>
                </c:pt>
                <c:pt idx="60">
                  <c:v>2.0220119411185809E-2</c:v>
                </c:pt>
                <c:pt idx="61">
                  <c:v>2.0800919411185802E-2</c:v>
                </c:pt>
                <c:pt idx="62">
                  <c:v>2.139131941118582E-2</c:v>
                </c:pt>
                <c:pt idx="63">
                  <c:v>2.1991319411185813E-2</c:v>
                </c:pt>
                <c:pt idx="64">
                  <c:v>2.2600919411185822E-2</c:v>
                </c:pt>
                <c:pt idx="65">
                  <c:v>2.3220119411185808E-2</c:v>
                </c:pt>
                <c:pt idx="66">
                  <c:v>2.3848919411185804E-2</c:v>
                </c:pt>
                <c:pt idx="67">
                  <c:v>2.4487319411185815E-2</c:v>
                </c:pt>
                <c:pt idx="68">
                  <c:v>2.5135319411185818E-2</c:v>
                </c:pt>
                <c:pt idx="69">
                  <c:v>2.5792919411185805E-2</c:v>
                </c:pt>
                <c:pt idx="70">
                  <c:v>2.6460119411185808E-2</c:v>
                </c:pt>
                <c:pt idx="71">
                  <c:v>2.7136919411185813E-2</c:v>
                </c:pt>
                <c:pt idx="72">
                  <c:v>2.7823319411185814E-2</c:v>
                </c:pt>
                <c:pt idx="73">
                  <c:v>2.8519319411185802E-2</c:v>
                </c:pt>
                <c:pt idx="74">
                  <c:v>2.9224919411185827E-2</c:v>
                </c:pt>
                <c:pt idx="75">
                  <c:v>2.9940119411185809E-2</c:v>
                </c:pt>
                <c:pt idx="76">
                  <c:v>3.0664919411185796E-2</c:v>
                </c:pt>
                <c:pt idx="77">
                  <c:v>3.1399319411185823E-2</c:v>
                </c:pt>
                <c:pt idx="78">
                  <c:v>3.2143319411185797E-2</c:v>
                </c:pt>
                <c:pt idx="79">
                  <c:v>3.2896919411185825E-2</c:v>
                </c:pt>
                <c:pt idx="80">
                  <c:v>3.3660119411185803E-2</c:v>
                </c:pt>
                <c:pt idx="81">
                  <c:v>3.4432919411185807E-2</c:v>
                </c:pt>
                <c:pt idx="82">
                  <c:v>3.5215319411185803E-2</c:v>
                </c:pt>
                <c:pt idx="83">
                  <c:v>3.6007319411185811E-2</c:v>
                </c:pt>
                <c:pt idx="84">
                  <c:v>3.680891941118581E-2</c:v>
                </c:pt>
                <c:pt idx="85">
                  <c:v>3.7620119411185815E-2</c:v>
                </c:pt>
                <c:pt idx="86">
                  <c:v>3.8440919411185819E-2</c:v>
                </c:pt>
                <c:pt idx="87">
                  <c:v>3.9271319411185827E-2</c:v>
                </c:pt>
                <c:pt idx="88">
                  <c:v>4.0111319411185821E-2</c:v>
                </c:pt>
                <c:pt idx="89">
                  <c:v>4.0960919411185806E-2</c:v>
                </c:pt>
                <c:pt idx="90">
                  <c:v>4.1820119411185824E-2</c:v>
                </c:pt>
                <c:pt idx="91">
                  <c:v>4.2688919411185799E-2</c:v>
                </c:pt>
                <c:pt idx="92">
                  <c:v>4.3567319411185829E-2</c:v>
                </c:pt>
                <c:pt idx="93">
                  <c:v>4.4455319411185808E-2</c:v>
                </c:pt>
                <c:pt idx="94">
                  <c:v>4.5352919411185827E-2</c:v>
                </c:pt>
                <c:pt idx="95">
                  <c:v>4.6260119411185796E-2</c:v>
                </c:pt>
                <c:pt idx="96">
                  <c:v>4.7176919411185812E-2</c:v>
                </c:pt>
                <c:pt idx="97">
                  <c:v>4.8103319411185799E-2</c:v>
                </c:pt>
                <c:pt idx="98">
                  <c:v>4.9039319411185819E-2</c:v>
                </c:pt>
                <c:pt idx="99">
                  <c:v>4.9984919411185831E-2</c:v>
                </c:pt>
                <c:pt idx="100">
                  <c:v>5.094011941118582E-2</c:v>
                </c:pt>
                <c:pt idx="101">
                  <c:v>5.1904919411185815E-2</c:v>
                </c:pt>
                <c:pt idx="102">
                  <c:v>5.2879319411185788E-2</c:v>
                </c:pt>
                <c:pt idx="103">
                  <c:v>5.3863319411185821E-2</c:v>
                </c:pt>
                <c:pt idx="104">
                  <c:v>5.4856919411185825E-2</c:v>
                </c:pt>
                <c:pt idx="105">
                  <c:v>5.5860119411185807E-2</c:v>
                </c:pt>
                <c:pt idx="106">
                  <c:v>5.6872919411185809E-2</c:v>
                </c:pt>
                <c:pt idx="107">
                  <c:v>5.7895319411185822E-2</c:v>
                </c:pt>
                <c:pt idx="108">
                  <c:v>5.8927319411185813E-2</c:v>
                </c:pt>
                <c:pt idx="109">
                  <c:v>5.9968919411185817E-2</c:v>
                </c:pt>
                <c:pt idx="110">
                  <c:v>6.1020119411185805E-2</c:v>
                </c:pt>
                <c:pt idx="111">
                  <c:v>6.2080919411185827E-2</c:v>
                </c:pt>
                <c:pt idx="112">
                  <c:v>6.3151319411185805E-2</c:v>
                </c:pt>
                <c:pt idx="113">
                  <c:v>6.4231319411185789E-2</c:v>
                </c:pt>
                <c:pt idx="114">
                  <c:v>6.5320919411185827E-2</c:v>
                </c:pt>
                <c:pt idx="115">
                  <c:v>6.642011941118578E-2</c:v>
                </c:pt>
                <c:pt idx="116">
                  <c:v>6.7528919411185814E-2</c:v>
                </c:pt>
                <c:pt idx="117">
                  <c:v>6.8647319411185806E-2</c:v>
                </c:pt>
                <c:pt idx="118">
                  <c:v>6.9775319411185824E-2</c:v>
                </c:pt>
                <c:pt idx="119">
                  <c:v>7.0912919411185785E-2</c:v>
                </c:pt>
                <c:pt idx="120">
                  <c:v>7.2060119411185827E-2</c:v>
                </c:pt>
                <c:pt idx="121">
                  <c:v>7.3216919411185785E-2</c:v>
                </c:pt>
                <c:pt idx="122">
                  <c:v>7.4383319411185755E-2</c:v>
                </c:pt>
                <c:pt idx="123">
                  <c:v>7.555931941118578E-2</c:v>
                </c:pt>
                <c:pt idx="124">
                  <c:v>7.6744919411185789E-2</c:v>
                </c:pt>
                <c:pt idx="125">
                  <c:v>7.794011941118581E-2</c:v>
                </c:pt>
                <c:pt idx="126">
                  <c:v>7.9144919411185788E-2</c:v>
                </c:pt>
                <c:pt idx="127">
                  <c:v>8.0359319411185792E-2</c:v>
                </c:pt>
                <c:pt idx="128">
                  <c:v>8.1583319411185795E-2</c:v>
                </c:pt>
                <c:pt idx="129">
                  <c:v>8.2816919411185796E-2</c:v>
                </c:pt>
                <c:pt idx="130">
                  <c:v>8.4060119411185755E-2</c:v>
                </c:pt>
                <c:pt idx="131">
                  <c:v>8.5312919411185822E-2</c:v>
                </c:pt>
                <c:pt idx="132">
                  <c:v>8.6575319411185778E-2</c:v>
                </c:pt>
                <c:pt idx="133">
                  <c:v>8.7847319411185842E-2</c:v>
                </c:pt>
                <c:pt idx="134">
                  <c:v>8.9128919411185795E-2</c:v>
                </c:pt>
                <c:pt idx="135">
                  <c:v>9.0420119411185773E-2</c:v>
                </c:pt>
                <c:pt idx="136">
                  <c:v>9.1720919411185778E-2</c:v>
                </c:pt>
                <c:pt idx="137">
                  <c:v>9.3031319411185809E-2</c:v>
                </c:pt>
                <c:pt idx="138">
                  <c:v>9.4351319411185797E-2</c:v>
                </c:pt>
                <c:pt idx="139">
                  <c:v>9.5680919411185783E-2</c:v>
                </c:pt>
                <c:pt idx="140">
                  <c:v>9.7020119411185782E-2</c:v>
                </c:pt>
                <c:pt idx="141">
                  <c:v>9.8368919411185807E-2</c:v>
                </c:pt>
                <c:pt idx="142">
                  <c:v>9.9727319411185816E-2</c:v>
                </c:pt>
                <c:pt idx="143">
                  <c:v>0.10109531941118578</c:v>
                </c:pt>
                <c:pt idx="144">
                  <c:v>0.10247291941118582</c:v>
                </c:pt>
                <c:pt idx="145">
                  <c:v>0.10386011941118579</c:v>
                </c:pt>
                <c:pt idx="146">
                  <c:v>0.10525691941118581</c:v>
                </c:pt>
                <c:pt idx="147">
                  <c:v>0.10666331941118577</c:v>
                </c:pt>
                <c:pt idx="148">
                  <c:v>0.10807931941118583</c:v>
                </c:pt>
                <c:pt idx="149">
                  <c:v>0.1095049194111858</c:v>
                </c:pt>
                <c:pt idx="150">
                  <c:v>0.11094011941118577</c:v>
                </c:pt>
              </c:numCache>
            </c:numRef>
          </c:yVal>
          <c:smooth val="1"/>
          <c:extLst>
            <c:ext xmlns:c16="http://schemas.microsoft.com/office/drawing/2014/chart" uri="{C3380CC4-5D6E-409C-BE32-E72D297353CC}">
              <c16:uniqueId val="{00000002-2D92-4CB2-A641-52AD34A639BE}"/>
            </c:ext>
          </c:extLst>
        </c:ser>
        <c:ser>
          <c:idx val="2"/>
          <c:order val="3"/>
          <c:tx>
            <c:v>D1</c:v>
          </c:tx>
          <c:spPr>
            <a:ln>
              <a:solidFill>
                <a:schemeClr val="bg2">
                  <a:lumMod val="50000"/>
                </a:schemeClr>
              </a:solidFill>
              <a:prstDash val="sysDash"/>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Eff_vs_IOUT!$AY$8:$AY$157</c:f>
              <c:numCache>
                <c:formatCode>General</c:formatCode>
                <c:ptCount val="150"/>
                <c:pt idx="0">
                  <c:v>3.8333333333333329E-4</c:v>
                </c:pt>
                <c:pt idx="1">
                  <c:v>7.6666666666666658E-4</c:v>
                </c:pt>
                <c:pt idx="2">
                  <c:v>1.15E-3</c:v>
                </c:pt>
                <c:pt idx="3">
                  <c:v>1.5333333333333332E-3</c:v>
                </c:pt>
                <c:pt idx="4">
                  <c:v>1.9166666666666666E-3</c:v>
                </c:pt>
                <c:pt idx="5">
                  <c:v>2.3E-3</c:v>
                </c:pt>
                <c:pt idx="6">
                  <c:v>2.6833333333333331E-3</c:v>
                </c:pt>
                <c:pt idx="7">
                  <c:v>3.0666666666666663E-3</c:v>
                </c:pt>
                <c:pt idx="8">
                  <c:v>3.4499999999999999E-3</c:v>
                </c:pt>
                <c:pt idx="9">
                  <c:v>3.8333333333333331E-3</c:v>
                </c:pt>
                <c:pt idx="10">
                  <c:v>4.2166666666666663E-3</c:v>
                </c:pt>
                <c:pt idx="11">
                  <c:v>4.5999999999999999E-3</c:v>
                </c:pt>
                <c:pt idx="12">
                  <c:v>4.9833333333333327E-3</c:v>
                </c:pt>
                <c:pt idx="13">
                  <c:v>5.3666666666666663E-3</c:v>
                </c:pt>
                <c:pt idx="14">
                  <c:v>5.7499999999999999E-3</c:v>
                </c:pt>
                <c:pt idx="15">
                  <c:v>6.1333333333333327E-3</c:v>
                </c:pt>
                <c:pt idx="16">
                  <c:v>6.5166666666666663E-3</c:v>
                </c:pt>
                <c:pt idx="17">
                  <c:v>6.8999999999999999E-3</c:v>
                </c:pt>
                <c:pt idx="18">
                  <c:v>7.2833333333333326E-3</c:v>
                </c:pt>
                <c:pt idx="19">
                  <c:v>7.6666666666666662E-3</c:v>
                </c:pt>
                <c:pt idx="20">
                  <c:v>8.0499999999999999E-3</c:v>
                </c:pt>
                <c:pt idx="21">
                  <c:v>8.4333333333333326E-3</c:v>
                </c:pt>
                <c:pt idx="22">
                  <c:v>8.8166666666666654E-3</c:v>
                </c:pt>
                <c:pt idx="23">
                  <c:v>9.1999999999999998E-3</c:v>
                </c:pt>
                <c:pt idx="24">
                  <c:v>9.5833333333333326E-3</c:v>
                </c:pt>
                <c:pt idx="25">
                  <c:v>9.9666666666666653E-3</c:v>
                </c:pt>
                <c:pt idx="26">
                  <c:v>1.0349999999999998E-2</c:v>
                </c:pt>
                <c:pt idx="27">
                  <c:v>1.0733333333333333E-2</c:v>
                </c:pt>
                <c:pt idx="28">
                  <c:v>1.1116666666666667E-2</c:v>
                </c:pt>
                <c:pt idx="29">
                  <c:v>1.15E-2</c:v>
                </c:pt>
                <c:pt idx="30">
                  <c:v>1.1883333333333333E-2</c:v>
                </c:pt>
                <c:pt idx="31">
                  <c:v>1.2266666666666665E-2</c:v>
                </c:pt>
                <c:pt idx="32">
                  <c:v>1.2649999999999998E-2</c:v>
                </c:pt>
                <c:pt idx="33">
                  <c:v>1.3033333333333333E-2</c:v>
                </c:pt>
                <c:pt idx="34">
                  <c:v>1.3416666666666667E-2</c:v>
                </c:pt>
                <c:pt idx="35">
                  <c:v>1.38E-2</c:v>
                </c:pt>
                <c:pt idx="36">
                  <c:v>1.4183333333333333E-2</c:v>
                </c:pt>
                <c:pt idx="37">
                  <c:v>1.4566666666666665E-2</c:v>
                </c:pt>
                <c:pt idx="38">
                  <c:v>1.4949999999999998E-2</c:v>
                </c:pt>
                <c:pt idx="39">
                  <c:v>1.5333333333333332E-2</c:v>
                </c:pt>
                <c:pt idx="40">
                  <c:v>1.5716666666666667E-2</c:v>
                </c:pt>
                <c:pt idx="41">
                  <c:v>1.61E-2</c:v>
                </c:pt>
                <c:pt idx="42">
                  <c:v>1.6483333333333332E-2</c:v>
                </c:pt>
                <c:pt idx="43">
                  <c:v>1.6866666666666665E-2</c:v>
                </c:pt>
                <c:pt idx="44">
                  <c:v>1.7249999999999998E-2</c:v>
                </c:pt>
                <c:pt idx="45">
                  <c:v>1.7633333333333331E-2</c:v>
                </c:pt>
                <c:pt idx="46">
                  <c:v>1.8016666666666663E-2</c:v>
                </c:pt>
                <c:pt idx="47">
                  <c:v>1.84E-2</c:v>
                </c:pt>
                <c:pt idx="48">
                  <c:v>1.8783333333333329E-2</c:v>
                </c:pt>
                <c:pt idx="49">
                  <c:v>1.9166666666666665E-2</c:v>
                </c:pt>
                <c:pt idx="50">
                  <c:v>1.9550000000000001E-2</c:v>
                </c:pt>
                <c:pt idx="51">
                  <c:v>1.9933333333333331E-2</c:v>
                </c:pt>
                <c:pt idx="52">
                  <c:v>2.0316666666666667E-2</c:v>
                </c:pt>
                <c:pt idx="53">
                  <c:v>2.0699999999999996E-2</c:v>
                </c:pt>
                <c:pt idx="54">
                  <c:v>2.1083333333333332E-2</c:v>
                </c:pt>
                <c:pt idx="55">
                  <c:v>2.1466666666666665E-2</c:v>
                </c:pt>
                <c:pt idx="56">
                  <c:v>2.1849999999999998E-2</c:v>
                </c:pt>
                <c:pt idx="57">
                  <c:v>2.2233333333333334E-2</c:v>
                </c:pt>
                <c:pt idx="58">
                  <c:v>2.2616666666666663E-2</c:v>
                </c:pt>
                <c:pt idx="59">
                  <c:v>2.3E-2</c:v>
                </c:pt>
                <c:pt idx="60">
                  <c:v>2.3383333333333329E-2</c:v>
                </c:pt>
                <c:pt idx="61">
                  <c:v>2.3766666666666665E-2</c:v>
                </c:pt>
                <c:pt idx="62">
                  <c:v>2.4150000000000001E-2</c:v>
                </c:pt>
                <c:pt idx="63">
                  <c:v>2.4533333333333331E-2</c:v>
                </c:pt>
                <c:pt idx="64">
                  <c:v>2.4916666666666667E-2</c:v>
                </c:pt>
                <c:pt idx="65">
                  <c:v>2.5299999999999996E-2</c:v>
                </c:pt>
                <c:pt idx="66">
                  <c:v>2.5683333333333332E-2</c:v>
                </c:pt>
                <c:pt idx="67">
                  <c:v>2.6066666666666665E-2</c:v>
                </c:pt>
                <c:pt idx="68">
                  <c:v>2.6449999999999998E-2</c:v>
                </c:pt>
                <c:pt idx="69">
                  <c:v>2.6833333333333334E-2</c:v>
                </c:pt>
                <c:pt idx="70">
                  <c:v>2.7216666666666663E-2</c:v>
                </c:pt>
                <c:pt idx="71">
                  <c:v>2.76E-2</c:v>
                </c:pt>
                <c:pt idx="72">
                  <c:v>2.7983333333333329E-2</c:v>
                </c:pt>
                <c:pt idx="73">
                  <c:v>2.8366666666666665E-2</c:v>
                </c:pt>
                <c:pt idx="74">
                  <c:v>2.8749999999999998E-2</c:v>
                </c:pt>
                <c:pt idx="75">
                  <c:v>2.9133333333333331E-2</c:v>
                </c:pt>
                <c:pt idx="76">
                  <c:v>2.9516666666666667E-2</c:v>
                </c:pt>
                <c:pt idx="77">
                  <c:v>2.9899999999999996E-2</c:v>
                </c:pt>
                <c:pt idx="78">
                  <c:v>3.0283333333333332E-2</c:v>
                </c:pt>
                <c:pt idx="79">
                  <c:v>3.0666666666666665E-2</c:v>
                </c:pt>
                <c:pt idx="80">
                  <c:v>3.1049999999999998E-2</c:v>
                </c:pt>
                <c:pt idx="81">
                  <c:v>3.1433333333333334E-2</c:v>
                </c:pt>
                <c:pt idx="82">
                  <c:v>3.181666666666666E-2</c:v>
                </c:pt>
                <c:pt idx="83">
                  <c:v>3.2199999999999999E-2</c:v>
                </c:pt>
                <c:pt idx="84">
                  <c:v>3.2583333333333332E-2</c:v>
                </c:pt>
                <c:pt idx="85">
                  <c:v>3.2966666666666665E-2</c:v>
                </c:pt>
                <c:pt idx="86">
                  <c:v>3.3349999999999998E-2</c:v>
                </c:pt>
                <c:pt idx="87">
                  <c:v>3.373333333333333E-2</c:v>
                </c:pt>
                <c:pt idx="88">
                  <c:v>3.4116666666666663E-2</c:v>
                </c:pt>
                <c:pt idx="89">
                  <c:v>3.4499999999999996E-2</c:v>
                </c:pt>
                <c:pt idx="90">
                  <c:v>3.4883333333333329E-2</c:v>
                </c:pt>
                <c:pt idx="91">
                  <c:v>3.5266666666666661E-2</c:v>
                </c:pt>
                <c:pt idx="92">
                  <c:v>3.5649999999999994E-2</c:v>
                </c:pt>
                <c:pt idx="93">
                  <c:v>3.6033333333333327E-2</c:v>
                </c:pt>
                <c:pt idx="94">
                  <c:v>3.6416666666666667E-2</c:v>
                </c:pt>
                <c:pt idx="95">
                  <c:v>3.6799999999999999E-2</c:v>
                </c:pt>
                <c:pt idx="96">
                  <c:v>3.7183333333333332E-2</c:v>
                </c:pt>
                <c:pt idx="97">
                  <c:v>3.7566666666666658E-2</c:v>
                </c:pt>
                <c:pt idx="98">
                  <c:v>3.7949999999999998E-2</c:v>
                </c:pt>
                <c:pt idx="99">
                  <c:v>3.833333333333333E-2</c:v>
                </c:pt>
                <c:pt idx="100">
                  <c:v>3.8716666666666663E-2</c:v>
                </c:pt>
                <c:pt idx="101">
                  <c:v>3.9100000000000003E-2</c:v>
                </c:pt>
                <c:pt idx="102">
                  <c:v>3.9483333333333329E-2</c:v>
                </c:pt>
                <c:pt idx="103">
                  <c:v>3.9866666666666661E-2</c:v>
                </c:pt>
                <c:pt idx="104">
                  <c:v>4.0250000000000001E-2</c:v>
                </c:pt>
                <c:pt idx="105">
                  <c:v>4.0633333333333334E-2</c:v>
                </c:pt>
                <c:pt idx="106">
                  <c:v>4.101666666666666E-2</c:v>
                </c:pt>
                <c:pt idx="107">
                  <c:v>4.1399999999999992E-2</c:v>
                </c:pt>
                <c:pt idx="108">
                  <c:v>4.1783333333333332E-2</c:v>
                </c:pt>
                <c:pt idx="109">
                  <c:v>4.2166666666666665E-2</c:v>
                </c:pt>
                <c:pt idx="110">
                  <c:v>4.2549999999999998E-2</c:v>
                </c:pt>
                <c:pt idx="111">
                  <c:v>4.293333333333333E-2</c:v>
                </c:pt>
                <c:pt idx="112">
                  <c:v>4.3316666666666663E-2</c:v>
                </c:pt>
                <c:pt idx="113">
                  <c:v>4.3699999999999996E-2</c:v>
                </c:pt>
                <c:pt idx="114">
                  <c:v>4.4083333333333329E-2</c:v>
                </c:pt>
                <c:pt idx="115">
                  <c:v>4.4466666666666668E-2</c:v>
                </c:pt>
                <c:pt idx="116">
                  <c:v>4.4849999999999994E-2</c:v>
                </c:pt>
                <c:pt idx="117">
                  <c:v>4.5233333333333327E-2</c:v>
                </c:pt>
                <c:pt idx="118">
                  <c:v>4.5616666666666666E-2</c:v>
                </c:pt>
                <c:pt idx="119">
                  <c:v>4.5999999999999999E-2</c:v>
                </c:pt>
                <c:pt idx="120">
                  <c:v>4.6383333333333325E-2</c:v>
                </c:pt>
                <c:pt idx="121">
                  <c:v>4.6766666666666658E-2</c:v>
                </c:pt>
                <c:pt idx="122">
                  <c:v>4.7149999999999997E-2</c:v>
                </c:pt>
                <c:pt idx="123">
                  <c:v>4.753333333333333E-2</c:v>
                </c:pt>
                <c:pt idx="124">
                  <c:v>4.7916666666666663E-2</c:v>
                </c:pt>
                <c:pt idx="125">
                  <c:v>4.8300000000000003E-2</c:v>
                </c:pt>
                <c:pt idx="126">
                  <c:v>4.8683333333333328E-2</c:v>
                </c:pt>
                <c:pt idx="127">
                  <c:v>4.9066666666666661E-2</c:v>
                </c:pt>
                <c:pt idx="128">
                  <c:v>4.9449999999999994E-2</c:v>
                </c:pt>
                <c:pt idx="129">
                  <c:v>4.9833333333333334E-2</c:v>
                </c:pt>
                <c:pt idx="130">
                  <c:v>5.0216666666666659E-2</c:v>
                </c:pt>
                <c:pt idx="131">
                  <c:v>5.0599999999999992E-2</c:v>
                </c:pt>
                <c:pt idx="132">
                  <c:v>5.0983333333333332E-2</c:v>
                </c:pt>
                <c:pt idx="133">
                  <c:v>5.1366666666666665E-2</c:v>
                </c:pt>
                <c:pt idx="134">
                  <c:v>5.1749999999999997E-2</c:v>
                </c:pt>
                <c:pt idx="135">
                  <c:v>5.213333333333333E-2</c:v>
                </c:pt>
                <c:pt idx="136">
                  <c:v>5.2516666666666663E-2</c:v>
                </c:pt>
                <c:pt idx="137">
                  <c:v>5.2899999999999996E-2</c:v>
                </c:pt>
                <c:pt idx="138">
                  <c:v>5.3283333333333328E-2</c:v>
                </c:pt>
                <c:pt idx="139">
                  <c:v>5.3666666666666668E-2</c:v>
                </c:pt>
                <c:pt idx="140">
                  <c:v>5.4049999999999994E-2</c:v>
                </c:pt>
                <c:pt idx="141">
                  <c:v>5.4433333333333327E-2</c:v>
                </c:pt>
                <c:pt idx="142">
                  <c:v>5.4816666666666666E-2</c:v>
                </c:pt>
                <c:pt idx="143">
                  <c:v>5.5199999999999999E-2</c:v>
                </c:pt>
                <c:pt idx="144">
                  <c:v>5.5583333333333325E-2</c:v>
                </c:pt>
                <c:pt idx="145">
                  <c:v>5.5966666666666658E-2</c:v>
                </c:pt>
                <c:pt idx="146">
                  <c:v>5.6349999999999997E-2</c:v>
                </c:pt>
                <c:pt idx="147">
                  <c:v>5.673333333333333E-2</c:v>
                </c:pt>
                <c:pt idx="148">
                  <c:v>5.7116666666666663E-2</c:v>
                </c:pt>
                <c:pt idx="149">
                  <c:v>5.7499999999999996E-2</c:v>
                </c:pt>
              </c:numCache>
            </c:numRef>
          </c:yVal>
          <c:smooth val="1"/>
          <c:extLst>
            <c:ext xmlns:c16="http://schemas.microsoft.com/office/drawing/2014/chart" uri="{C3380CC4-5D6E-409C-BE32-E72D297353CC}">
              <c16:uniqueId val="{00000003-2D92-4CB2-A641-52AD34A639BE}"/>
            </c:ext>
          </c:extLst>
        </c:ser>
        <c:dLbls>
          <c:showLegendKey val="0"/>
          <c:showVal val="0"/>
          <c:showCatName val="0"/>
          <c:showSerName val="0"/>
          <c:showPercent val="0"/>
          <c:showBubbleSize val="0"/>
        </c:dLbls>
        <c:axId val="586288512"/>
        <c:axId val="586286592"/>
      </c:scatterChart>
      <c:valAx>
        <c:axId val="586594176"/>
        <c:scaling>
          <c:orientation val="minMax"/>
        </c:scaling>
        <c:delete val="0"/>
        <c:axPos val="b"/>
        <c:majorGridlines/>
        <c:numFmt formatCode="General" sourceLinked="1"/>
        <c:majorTickMark val="out"/>
        <c:minorTickMark val="none"/>
        <c:tickLblPos val="nextTo"/>
        <c:crossAx val="586595712"/>
        <c:crosses val="autoZero"/>
        <c:crossBetween val="midCat"/>
      </c:valAx>
      <c:valAx>
        <c:axId val="586595712"/>
        <c:scaling>
          <c:orientation val="minMax"/>
          <c:max val="100"/>
          <c:min val="60"/>
        </c:scaling>
        <c:delete val="0"/>
        <c:axPos val="l"/>
        <c:majorGridlines/>
        <c:title>
          <c:tx>
            <c:rich>
              <a:bodyPr rot="-5400000" vert="horz"/>
              <a:lstStyle/>
              <a:p>
                <a:pPr>
                  <a:defRPr sz="1400"/>
                </a:pPr>
                <a:r>
                  <a:rPr lang="en-US" sz="1400"/>
                  <a:t>Efficiency</a:t>
                </a:r>
                <a:r>
                  <a:rPr lang="en-US" sz="1400" baseline="0"/>
                  <a:t> (%)</a:t>
                </a:r>
                <a:endParaRPr lang="en-US" sz="1400"/>
              </a:p>
            </c:rich>
          </c:tx>
          <c:overlay val="0"/>
        </c:title>
        <c:numFmt formatCode="General" sourceLinked="1"/>
        <c:majorTickMark val="out"/>
        <c:minorTickMark val="none"/>
        <c:tickLblPos val="nextTo"/>
        <c:crossAx val="586594176"/>
        <c:crosses val="autoZero"/>
        <c:crossBetween val="midCat"/>
      </c:valAx>
      <c:valAx>
        <c:axId val="586286592"/>
        <c:scaling>
          <c:orientation val="minMax"/>
        </c:scaling>
        <c:delete val="0"/>
        <c:axPos val="r"/>
        <c:title>
          <c:tx>
            <c:rich>
              <a:bodyPr rot="-5400000" vert="horz"/>
              <a:lstStyle/>
              <a:p>
                <a:pPr>
                  <a:defRPr sz="1400"/>
                </a:pPr>
                <a:r>
                  <a:rPr lang="en-US" sz="1400"/>
                  <a:t>Losses</a:t>
                </a:r>
                <a:r>
                  <a:rPr lang="en-US" sz="1400" baseline="0"/>
                  <a:t> (W)</a:t>
                </a:r>
                <a:endParaRPr lang="en-US" sz="1400"/>
              </a:p>
            </c:rich>
          </c:tx>
          <c:overlay val="0"/>
        </c:title>
        <c:numFmt formatCode="General" sourceLinked="1"/>
        <c:majorTickMark val="out"/>
        <c:minorTickMark val="none"/>
        <c:tickLblPos val="nextTo"/>
        <c:crossAx val="586288512"/>
        <c:crosses val="max"/>
        <c:crossBetween val="midCat"/>
      </c:valAx>
      <c:valAx>
        <c:axId val="586288512"/>
        <c:scaling>
          <c:orientation val="minMax"/>
        </c:scaling>
        <c:delete val="1"/>
        <c:axPos val="b"/>
        <c:title>
          <c:tx>
            <c:rich>
              <a:bodyPr/>
              <a:lstStyle/>
              <a:p>
                <a:pPr>
                  <a:defRPr sz="1100"/>
                </a:pPr>
                <a:r>
                  <a:rPr lang="en-US" sz="1100"/>
                  <a:t>P</a:t>
                </a:r>
                <a:r>
                  <a:rPr lang="en-US" sz="1100" baseline="-25000"/>
                  <a:t>OUT</a:t>
                </a:r>
                <a:r>
                  <a:rPr lang="en-US" sz="1100"/>
                  <a:t> </a:t>
                </a:r>
                <a:r>
                  <a:rPr lang="en-US" sz="1100" baseline="0"/>
                  <a:t>(W)</a:t>
                </a:r>
                <a:endParaRPr lang="en-US" sz="1100"/>
              </a:p>
            </c:rich>
          </c:tx>
          <c:overlay val="0"/>
        </c:title>
        <c:numFmt formatCode="General" sourceLinked="1"/>
        <c:majorTickMark val="out"/>
        <c:minorTickMark val="none"/>
        <c:tickLblPos val="nextTo"/>
        <c:crossAx val="586286592"/>
        <c:crosses val="autoZero"/>
        <c:crossBetween val="midCat"/>
      </c:valAx>
    </c:plotArea>
    <c:legend>
      <c:legendPos val="r"/>
      <c:layout>
        <c:manualLayout>
          <c:xMode val="edge"/>
          <c:yMode val="edge"/>
          <c:x val="0.51894403926190358"/>
          <c:y val="6.4862204724409449E-3"/>
          <c:w val="0.39609572935704079"/>
          <c:h val="0.12183653099700564"/>
        </c:manualLayout>
      </c:layout>
      <c:overlay val="1"/>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2400"/>
            </a:pPr>
            <a:r>
              <a:rPr lang="el-GR" sz="2400"/>
              <a:t>η</a:t>
            </a:r>
            <a:endParaRPr lang="en-US" sz="2400"/>
          </a:p>
        </c:rich>
      </c:tx>
      <c:layout>
        <c:manualLayout>
          <c:xMode val="edge"/>
          <c:yMode val="edge"/>
          <c:x val="9.2321838295158831E-2"/>
          <c:y val="6.7069081153588199E-3"/>
        </c:manualLayout>
      </c:layout>
      <c:overlay val="1"/>
    </c:title>
    <c:autoTitleDeleted val="0"/>
    <c:plotArea>
      <c:layout>
        <c:manualLayout>
          <c:layoutTarget val="inner"/>
          <c:xMode val="edge"/>
          <c:yMode val="edge"/>
          <c:x val="9.4343575816580413E-2"/>
          <c:y val="0.12777504924560487"/>
          <c:w val="0.82170691922728745"/>
          <c:h val="0.74982770867653059"/>
        </c:manualLayout>
      </c:layout>
      <c:scatterChart>
        <c:scatterStyle val="smoothMarker"/>
        <c:varyColors val="0"/>
        <c:ser>
          <c:idx val="0"/>
          <c:order val="0"/>
          <c:tx>
            <c:v>Eff</c:v>
          </c:tx>
          <c:spPr>
            <a:ln>
              <a:solidFill>
                <a:srgbClr val="FF0000"/>
              </a:solidFill>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Eff_vs_IOUT!$BZ$7:$BZ$157</c:f>
              <c:numCache>
                <c:formatCode>General</c:formatCode>
                <c:ptCount val="151"/>
                <c:pt idx="0">
                  <c:v>0</c:v>
                </c:pt>
                <c:pt idx="1">
                  <c:v>91.614175393546276</c:v>
                </c:pt>
                <c:pt idx="2">
                  <c:v>91.407098962065774</c:v>
                </c:pt>
                <c:pt idx="3">
                  <c:v>90.919515145869681</c:v>
                </c:pt>
                <c:pt idx="4">
                  <c:v>90.423397156149136</c:v>
                </c:pt>
                <c:pt idx="5">
                  <c:v>89.953568159285354</c:v>
                </c:pt>
                <c:pt idx="6">
                  <c:v>89.51383788982254</c:v>
                </c:pt>
                <c:pt idx="7">
                  <c:v>89.102050447809063</c:v>
                </c:pt>
                <c:pt idx="8">
                  <c:v>88.715036340984568</c:v>
                </c:pt>
                <c:pt idx="9">
                  <c:v>88.349773309631189</c:v>
                </c:pt>
                <c:pt idx="10">
                  <c:v>88.003636100108977</c:v>
                </c:pt>
                <c:pt idx="11">
                  <c:v>87.674404780249176</c:v>
                </c:pt>
                <c:pt idx="12">
                  <c:v>87.360212725648324</c:v>
                </c:pt>
                <c:pt idx="13">
                  <c:v>87.059486569173671</c:v>
                </c:pt>
                <c:pt idx="14">
                  <c:v>86.770892606437656</c:v>
                </c:pt>
                <c:pt idx="15">
                  <c:v>86.493292518481653</c:v>
                </c:pt>
                <c:pt idx="16">
                  <c:v>86.22570779343539</c:v>
                </c:pt>
                <c:pt idx="17">
                  <c:v>85.967291385869004</c:v>
                </c:pt>
                <c:pt idx="18">
                  <c:v>85.717305145836306</c:v>
                </c:pt>
                <c:pt idx="19">
                  <c:v>85.475101773265081</c:v>
                </c:pt>
                <c:pt idx="20">
                  <c:v>85.240110306010791</c:v>
                </c:pt>
                <c:pt idx="21">
                  <c:v>85.01182437093334</c:v>
                </c:pt>
                <c:pt idx="22">
                  <c:v>84.789792604750019</c:v>
                </c:pt>
                <c:pt idx="23">
                  <c:v>84.573610788738691</c:v>
                </c:pt>
                <c:pt idx="24">
                  <c:v>84.362915346055658</c:v>
                </c:pt>
                <c:pt idx="25">
                  <c:v>84.157377929836684</c:v>
                </c:pt>
                <c:pt idx="26">
                  <c:v>83.956700890484115</c:v>
                </c:pt>
                <c:pt idx="27">
                  <c:v>83.760613456380312</c:v>
                </c:pt>
                <c:pt idx="28">
                  <c:v>83.568868497314881</c:v>
                </c:pt>
                <c:pt idx="29">
                  <c:v>83.381239766864809</c:v>
                </c:pt>
                <c:pt idx="30">
                  <c:v>83.197519540819869</c:v>
                </c:pt>
                <c:pt idx="31">
                  <c:v>83.01751658498479</c:v>
                </c:pt>
                <c:pt idx="32">
                  <c:v>82.841054398415537</c:v>
                </c:pt>
                <c:pt idx="33">
                  <c:v>82.667969688184215</c:v>
                </c:pt>
                <c:pt idx="34">
                  <c:v>82.498111039732223</c:v>
                </c:pt>
                <c:pt idx="35">
                  <c:v>82.331337753230457</c:v>
                </c:pt>
                <c:pt idx="36">
                  <c:v>82.167518821471958</c:v>
                </c:pt>
                <c:pt idx="37">
                  <c:v>82.006532028945742</c:v>
                </c:pt>
                <c:pt idx="38">
                  <c:v>81.848263155089441</c:v>
                </c:pt>
                <c:pt idx="39">
                  <c:v>81.692605267450077</c:v>
                </c:pt>
                <c:pt idx="40">
                  <c:v>81.53945809272382</c:v>
                </c:pt>
                <c:pt idx="41">
                  <c:v>81.388727455492301</c:v>
                </c:pt>
                <c:pt idx="42">
                  <c:v>81.240324776002453</c:v>
                </c:pt>
                <c:pt idx="43">
                  <c:v>81.094028148200508</c:v>
                </c:pt>
                <c:pt idx="44">
                  <c:v>80.946195400887547</c:v>
                </c:pt>
                <c:pt idx="45">
                  <c:v>80.795745329504342</c:v>
                </c:pt>
                <c:pt idx="46">
                  <c:v>80.642915089485427</c:v>
                </c:pt>
                <c:pt idx="47">
                  <c:v>80.487921664638691</c:v>
                </c:pt>
                <c:pt idx="48">
                  <c:v>80.330963895846594</c:v>
                </c:pt>
                <c:pt idx="49">
                  <c:v>80.172224270858976</c:v>
                </c:pt>
                <c:pt idx="50">
                  <c:v>80.011870507349187</c:v>
                </c:pt>
                <c:pt idx="51">
                  <c:v>79.850056956547675</c:v>
                </c:pt>
                <c:pt idx="52">
                  <c:v>79.686925850720257</c:v>
                </c:pt>
                <c:pt idx="53">
                  <c:v>79.522608414372527</c:v>
                </c:pt>
                <c:pt idx="54">
                  <c:v>79.357225856221476</c:v>
                </c:pt>
                <c:pt idx="55">
                  <c:v>79.190890256582406</c:v>
                </c:pt>
                <c:pt idx="56">
                  <c:v>79.023705362799717</c:v>
                </c:pt>
                <c:pt idx="57">
                  <c:v>78.85576730363519</c:v>
                </c:pt>
                <c:pt idx="58">
                  <c:v>78.687165232074292</c:v>
                </c:pt>
                <c:pt idx="59">
                  <c:v>78.517981904768135</c:v>
                </c:pt>
                <c:pt idx="60">
                  <c:v>78.34829420526917</c:v>
                </c:pt>
                <c:pt idx="61">
                  <c:v>78.178173617309071</c:v>
                </c:pt>
                <c:pt idx="62">
                  <c:v>78.007686653586205</c:v>
                </c:pt>
                <c:pt idx="63">
                  <c:v>77.836895244856947</c:v>
                </c:pt>
                <c:pt idx="64">
                  <c:v>77.665857093543579</c:v>
                </c:pt>
                <c:pt idx="65">
                  <c:v>77.49462599556901</c:v>
                </c:pt>
                <c:pt idx="66">
                  <c:v>77.323252133691057</c:v>
                </c:pt>
                <c:pt idx="67">
                  <c:v>77.151782345230302</c:v>
                </c:pt>
                <c:pt idx="68">
                  <c:v>76.980260366754266</c:v>
                </c:pt>
                <c:pt idx="69">
                  <c:v>76.808727057991561</c:v>
                </c:pt>
                <c:pt idx="70">
                  <c:v>76.637220606997758</c:v>
                </c:pt>
                <c:pt idx="71">
                  <c:v>76.465776718372311</c:v>
                </c:pt>
                <c:pt idx="72">
                  <c:v>76.294428786131618</c:v>
                </c:pt>
                <c:pt idx="73">
                  <c:v>76.123208052671941</c:v>
                </c:pt>
                <c:pt idx="74">
                  <c:v>75.952143755105254</c:v>
                </c:pt>
                <c:pt idx="75">
                  <c:v>75.781263260117143</c:v>
                </c:pt>
                <c:pt idx="76">
                  <c:v>75.610592188378462</c:v>
                </c:pt>
                <c:pt idx="77">
                  <c:v>75.440154529437777</c:v>
                </c:pt>
                <c:pt idx="78">
                  <c:v>75.269972747928961</c:v>
                </c:pt>
                <c:pt idx="79">
                  <c:v>75.10006788184532</c:v>
                </c:pt>
                <c:pt idx="80">
                  <c:v>74.930459633559678</c:v>
                </c:pt>
                <c:pt idx="81">
                  <c:v>74.761166454202154</c:v>
                </c:pt>
                <c:pt idx="82">
                  <c:v>74.592205621951635</c:v>
                </c:pt>
                <c:pt idx="83">
                  <c:v>74.423593314742106</c:v>
                </c:pt>
                <c:pt idx="84">
                  <c:v>74.255344677840412</c:v>
                </c:pt>
                <c:pt idx="85">
                  <c:v>74.087473886708494</c:v>
                </c:pt>
                <c:pt idx="86">
                  <c:v>73.919994205526706</c:v>
                </c:pt>
                <c:pt idx="87">
                  <c:v>73.752918041719923</c:v>
                </c:pt>
                <c:pt idx="88">
                  <c:v>73.586256996798767</c:v>
                </c:pt>
                <c:pt idx="89">
                  <c:v>73.4200219137999</c:v>
                </c:pt>
                <c:pt idx="90">
                  <c:v>73.25422292158531</c:v>
                </c:pt>
                <c:pt idx="91">
                  <c:v>73.088869476237548</c:v>
                </c:pt>
                <c:pt idx="92">
                  <c:v>72.923970399768436</c:v>
                </c:pt>
                <c:pt idx="93">
                  <c:v>72.759533916339393</c:v>
                </c:pt>
                <c:pt idx="94">
                  <c:v>72.595567686176082</c:v>
                </c:pt>
                <c:pt idx="95">
                  <c:v>72.43207883734442</c:v>
                </c:pt>
                <c:pt idx="96">
                  <c:v>72.269073995541007</c:v>
                </c:pt>
                <c:pt idx="97">
                  <c:v>72.106559312039721</c:v>
                </c:pt>
                <c:pt idx="98">
                  <c:v>71.944540489923625</c:v>
                </c:pt>
                <c:pt idx="99">
                  <c:v>71.78302280872208</c:v>
                </c:pt>
                <c:pt idx="100">
                  <c:v>71.62201114756293</c:v>
                </c:pt>
                <c:pt idx="101">
                  <c:v>71.461510006941225</c:v>
                </c:pt>
                <c:pt idx="102">
                  <c:v>71.301523529198647</c:v>
                </c:pt>
                <c:pt idx="103">
                  <c:v>71.142055517799236</c:v>
                </c:pt>
                <c:pt idx="104">
                  <c:v>70.983109455482804</c:v>
                </c:pt>
                <c:pt idx="105">
                  <c:v>70.824688521368557</c:v>
                </c:pt>
                <c:pt idx="106">
                  <c:v>70.666795607078583</c:v>
                </c:pt>
                <c:pt idx="107">
                  <c:v>70.50943333194418</c:v>
                </c:pt>
                <c:pt idx="108">
                  <c:v>70.352604057353915</c:v>
                </c:pt>
                <c:pt idx="109">
                  <c:v>70.196309900298075</c:v>
                </c:pt>
                <c:pt idx="110">
                  <c:v>70.04055274616023</c:v>
                </c:pt>
                <c:pt idx="111">
                  <c:v>69.885334260802978</c:v>
                </c:pt>
                <c:pt idx="112">
                  <c:v>69.730655901991582</c:v>
                </c:pt>
                <c:pt idx="113">
                  <c:v>69.576518930196343</c:v>
                </c:pt>
                <c:pt idx="114">
                  <c:v>69.422924418811547</c:v>
                </c:pt>
                <c:pt idx="115">
                  <c:v>69.269873263826355</c:v>
                </c:pt>
                <c:pt idx="116">
                  <c:v>69.117366192980384</c:v>
                </c:pt>
                <c:pt idx="117">
                  <c:v>68.965403774434975</c:v>
                </c:pt>
                <c:pt idx="118">
                  <c:v>68.813986424988443</c:v>
                </c:pt>
                <c:pt idx="119">
                  <c:v>68.663114417862189</c:v>
                </c:pt>
                <c:pt idx="120">
                  <c:v>68.512787890082834</c:v>
                </c:pt>
                <c:pt idx="121">
                  <c:v>68.363006849483384</c:v>
                </c:pt>
                <c:pt idx="122">
                  <c:v>68.213771181345365</c:v>
                </c:pt>
                <c:pt idx="123">
                  <c:v>68.065080654702641</c:v>
                </c:pt>
                <c:pt idx="124">
                  <c:v>67.916934928325645</c:v>
                </c:pt>
                <c:pt idx="125">
                  <c:v>67.769333556404035</c:v>
                </c:pt>
                <c:pt idx="126">
                  <c:v>67.622275993944811</c:v>
                </c:pt>
                <c:pt idx="127">
                  <c:v>67.475761601901354</c:v>
                </c:pt>
                <c:pt idx="128">
                  <c:v>67.329789652048206</c:v>
                </c:pt>
                <c:pt idx="129">
                  <c:v>67.184359331615639</c:v>
                </c:pt>
                <c:pt idx="130">
                  <c:v>67.039469747696756</c:v>
                </c:pt>
                <c:pt idx="131">
                  <c:v>66.895119931439567</c:v>
                </c:pt>
                <c:pt idx="132">
                  <c:v>66.751308842035527</c:v>
                </c:pt>
                <c:pt idx="133">
                  <c:v>66.608035370514941</c:v>
                </c:pt>
                <c:pt idx="134">
                  <c:v>66.465298343360246</c:v>
                </c:pt>
                <c:pt idx="135">
                  <c:v>66.323096525945815</c:v>
                </c:pt>
                <c:pt idx="136">
                  <c:v>66.181428625813822</c:v>
                </c:pt>
                <c:pt idx="137">
                  <c:v>66.04029329579464</c:v>
                </c:pt>
                <c:pt idx="138">
                  <c:v>65.899689136979575</c:v>
                </c:pt>
                <c:pt idx="139">
                  <c:v>65.759614701553588</c:v>
                </c:pt>
                <c:pt idx="140">
                  <c:v>65.620068495495048</c:v>
                </c:pt>
                <c:pt idx="141">
                  <c:v>65.481048981149399</c:v>
                </c:pt>
                <c:pt idx="142">
                  <c:v>65.342554579682925</c:v>
                </c:pt>
                <c:pt idx="143">
                  <c:v>65.204583673422491</c:v>
                </c:pt>
                <c:pt idx="144">
                  <c:v>65.067134608087215</c:v>
                </c:pt>
                <c:pt idx="145">
                  <c:v>64.930205694917191</c:v>
                </c:pt>
                <c:pt idx="146">
                  <c:v>64.793795212704254</c:v>
                </c:pt>
                <c:pt idx="147">
                  <c:v>64.657901409729845</c:v>
                </c:pt>
                <c:pt idx="148">
                  <c:v>64.522522505614134</c:v>
                </c:pt>
                <c:pt idx="149">
                  <c:v>64.387656693080999</c:v>
                </c:pt>
                <c:pt idx="150">
                  <c:v>64.25330213964267</c:v>
                </c:pt>
              </c:numCache>
            </c:numRef>
          </c:yVal>
          <c:smooth val="0"/>
          <c:extLst>
            <c:ext xmlns:c16="http://schemas.microsoft.com/office/drawing/2014/chart" uri="{C3380CC4-5D6E-409C-BE32-E72D297353CC}">
              <c16:uniqueId val="{00000000-98B9-4A0F-9AF3-241E82BDC034}"/>
            </c:ext>
          </c:extLst>
        </c:ser>
        <c:dLbls>
          <c:showLegendKey val="0"/>
          <c:showVal val="0"/>
          <c:showCatName val="0"/>
          <c:showSerName val="0"/>
          <c:showPercent val="0"/>
          <c:showBubbleSize val="0"/>
        </c:dLbls>
        <c:axId val="586339072"/>
        <c:axId val="586340608"/>
      </c:scatterChart>
      <c:scatterChart>
        <c:scatterStyle val="smoothMarker"/>
        <c:varyColors val="0"/>
        <c:ser>
          <c:idx val="1"/>
          <c:order val="1"/>
          <c:tx>
            <c:v>MOSFET</c:v>
          </c:tx>
          <c:spPr>
            <a:ln>
              <a:solidFill>
                <a:schemeClr val="tx2">
                  <a:lumMod val="75000"/>
                </a:schemeClr>
              </a:solidFill>
              <a:prstDash val="dashDot"/>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Eff_vs_IOUT!$AJ$7:$AJ$157</c:f>
              <c:numCache>
                <c:formatCode>General</c:formatCode>
                <c:ptCount val="151"/>
                <c:pt idx="0">
                  <c:v>0</c:v>
                </c:pt>
                <c:pt idx="1">
                  <c:v>5.4618288037103484E-3</c:v>
                </c:pt>
                <c:pt idx="2">
                  <c:v>1.1205673851048672E-2</c:v>
                </c:pt>
                <c:pt idx="3">
                  <c:v>1.7988018168847937E-2</c:v>
                </c:pt>
                <c:pt idx="4">
                  <c:v>2.5694332592206354E-2</c:v>
                </c:pt>
                <c:pt idx="5">
                  <c:v>3.4231842712920312E-2</c:v>
                </c:pt>
                <c:pt idx="6">
                  <c:v>4.3529207689206671E-2</c:v>
                </c:pt>
                <c:pt idx="7">
                  <c:v>5.3530173424532618E-2</c:v>
                </c:pt>
                <c:pt idx="8">
                  <c:v>6.4189125479875112E-2</c:v>
                </c:pt>
                <c:pt idx="9">
                  <c:v>7.5468186350273664E-2</c:v>
                </c:pt>
                <c:pt idx="10">
                  <c:v>8.7335282504630837E-2</c:v>
                </c:pt>
                <c:pt idx="11">
                  <c:v>9.976281485243374E-2</c:v>
                </c:pt>
                <c:pt idx="12">
                  <c:v>0.11272671494490211</c:v>
                </c:pt>
                <c:pt idx="13">
                  <c:v>0.12620575587129973</c:v>
                </c:pt>
                <c:pt idx="14">
                  <c:v>0.14018103661169484</c:v>
                </c:pt>
                <c:pt idx="15">
                  <c:v>0.15463558786267997</c:v>
                </c:pt>
                <c:pt idx="16">
                  <c:v>0.16955406506269799</c:v>
                </c:pt>
                <c:pt idx="17">
                  <c:v>0.18492250539724489</c:v>
                </c:pt>
                <c:pt idx="18">
                  <c:v>0.20072813266425713</c:v>
                </c:pt>
                <c:pt idx="19">
                  <c:v>0.21695919856198775</c:v>
                </c:pt>
                <c:pt idx="20">
                  <c:v>0.23360485212352272</c:v>
                </c:pt>
                <c:pt idx="21">
                  <c:v>0.25065503120379601</c:v>
                </c:pt>
                <c:pt idx="22">
                  <c:v>0.26810037145991977</c:v>
                </c:pt>
                <c:pt idx="23">
                  <c:v>0.28593212936479107</c:v>
                </c:pt>
                <c:pt idx="24">
                  <c:v>0.3041421165937126</c:v>
                </c:pt>
                <c:pt idx="25">
                  <c:v>0.32272264371426496</c:v>
                </c:pt>
                <c:pt idx="26">
                  <c:v>0.34166647155151741</c:v>
                </c:pt>
                <c:pt idx="27">
                  <c:v>0.36096676893536878</c:v>
                </c:pt>
                <c:pt idx="28">
                  <c:v>0.38061707579320458</c:v>
                </c:pt>
                <c:pt idx="29">
                  <c:v>0.40061127074955311</c:v>
                </c:pt>
                <c:pt idx="30">
                  <c:v>0.42094354254954797</c:v>
                </c:pt>
                <c:pt idx="31">
                  <c:v>0.44160836474534948</c:v>
                </c:pt>
                <c:pt idx="32">
                  <c:v>0.46260047318197239</c:v>
                </c:pt>
                <c:pt idx="33">
                  <c:v>0.48391484589693118</c:v>
                </c:pt>
                <c:pt idx="34">
                  <c:v>0.5055466851110556</c:v>
                </c:pt>
                <c:pt idx="35">
                  <c:v>0.52749140103899428</c:v>
                </c:pt>
                <c:pt idx="36">
                  <c:v>0.54974459728976022</c:v>
                </c:pt>
                <c:pt idx="37">
                  <c:v>0.5723020576621175</c:v>
                </c:pt>
                <c:pt idx="38">
                  <c:v>0.5951597341680952</c:v>
                </c:pt>
                <c:pt idx="39">
                  <c:v>0.61831373614163754</c:v>
                </c:pt>
                <c:pt idx="40">
                  <c:v>0.6417603203092177</c:v>
                </c:pt>
                <c:pt idx="41">
                  <c:v>0.66549588171590757</c:v>
                </c:pt>
                <c:pt idx="42">
                  <c:v>0.68951694541445319</c:v>
                </c:pt>
                <c:pt idx="43">
                  <c:v>0.71385316477143634</c:v>
                </c:pt>
                <c:pt idx="44">
                  <c:v>0.73884537754734958</c:v>
                </c:pt>
                <c:pt idx="45">
                  <c:v>0.76440159032326294</c:v>
                </c:pt>
                <c:pt idx="46">
                  <c:v>0.79052180309917663</c:v>
                </c:pt>
                <c:pt idx="47">
                  <c:v>0.81720601587508968</c:v>
                </c:pt>
                <c:pt idx="48">
                  <c:v>0.84445422865100284</c:v>
                </c:pt>
                <c:pt idx="49">
                  <c:v>0.87226644142691612</c:v>
                </c:pt>
                <c:pt idx="50">
                  <c:v>0.90064265420282941</c:v>
                </c:pt>
                <c:pt idx="51">
                  <c:v>0.92958286697874248</c:v>
                </c:pt>
                <c:pt idx="52">
                  <c:v>0.9590870797546559</c:v>
                </c:pt>
                <c:pt idx="53">
                  <c:v>0.98915529253056922</c:v>
                </c:pt>
                <c:pt idx="54">
                  <c:v>1.019787505306482</c:v>
                </c:pt>
                <c:pt idx="55">
                  <c:v>1.0509837180823955</c:v>
                </c:pt>
                <c:pt idx="56">
                  <c:v>1.0827439308583089</c:v>
                </c:pt>
                <c:pt idx="57">
                  <c:v>1.1150681436342222</c:v>
                </c:pt>
                <c:pt idx="58">
                  <c:v>1.1479563564101356</c:v>
                </c:pt>
                <c:pt idx="59">
                  <c:v>1.1814085691860496</c:v>
                </c:pt>
                <c:pt idx="60">
                  <c:v>1.2154247819619619</c:v>
                </c:pt>
                <c:pt idx="61">
                  <c:v>1.2500049947378746</c:v>
                </c:pt>
                <c:pt idx="62">
                  <c:v>1.2851492075137887</c:v>
                </c:pt>
                <c:pt idx="63">
                  <c:v>1.3208574202897019</c:v>
                </c:pt>
                <c:pt idx="64">
                  <c:v>1.3571296330656155</c:v>
                </c:pt>
                <c:pt idx="65">
                  <c:v>1.3939658458415281</c:v>
                </c:pt>
                <c:pt idx="66">
                  <c:v>1.431366058617441</c:v>
                </c:pt>
                <c:pt idx="67">
                  <c:v>1.4693302713933549</c:v>
                </c:pt>
                <c:pt idx="68">
                  <c:v>1.5078584841692684</c:v>
                </c:pt>
                <c:pt idx="69">
                  <c:v>1.5469506969451807</c:v>
                </c:pt>
                <c:pt idx="70">
                  <c:v>1.5866069097210942</c:v>
                </c:pt>
                <c:pt idx="71">
                  <c:v>1.6268271224970077</c:v>
                </c:pt>
                <c:pt idx="72">
                  <c:v>1.6676113352729212</c:v>
                </c:pt>
                <c:pt idx="73">
                  <c:v>1.7089595480488335</c:v>
                </c:pt>
                <c:pt idx="74">
                  <c:v>1.7508717608247484</c:v>
                </c:pt>
                <c:pt idx="75">
                  <c:v>1.7933479736006606</c:v>
                </c:pt>
                <c:pt idx="76">
                  <c:v>1.8363881863765732</c:v>
                </c:pt>
                <c:pt idx="77">
                  <c:v>1.8799923991524881</c:v>
                </c:pt>
                <c:pt idx="78">
                  <c:v>1.9241606119284</c:v>
                </c:pt>
                <c:pt idx="79">
                  <c:v>1.9688928247043147</c:v>
                </c:pt>
                <c:pt idx="80">
                  <c:v>2.0141890374802265</c:v>
                </c:pt>
                <c:pt idx="81">
                  <c:v>2.0600492502561401</c:v>
                </c:pt>
                <c:pt idx="82">
                  <c:v>2.106473463032053</c:v>
                </c:pt>
                <c:pt idx="83">
                  <c:v>2.153461675807967</c:v>
                </c:pt>
                <c:pt idx="84">
                  <c:v>2.2010138885838799</c:v>
                </c:pt>
                <c:pt idx="85">
                  <c:v>2.2491301013597935</c:v>
                </c:pt>
                <c:pt idx="86">
                  <c:v>2.2978103141357069</c:v>
                </c:pt>
                <c:pt idx="87">
                  <c:v>2.3470545269116205</c:v>
                </c:pt>
                <c:pt idx="88">
                  <c:v>2.3968627396875335</c:v>
                </c:pt>
                <c:pt idx="89">
                  <c:v>2.4472349524634462</c:v>
                </c:pt>
                <c:pt idx="90">
                  <c:v>2.4981711652393601</c:v>
                </c:pt>
                <c:pt idx="91">
                  <c:v>2.5496713780152724</c:v>
                </c:pt>
                <c:pt idx="92">
                  <c:v>2.6017355907911872</c:v>
                </c:pt>
                <c:pt idx="93">
                  <c:v>2.6543638035670987</c:v>
                </c:pt>
                <c:pt idx="94">
                  <c:v>2.7075560163430135</c:v>
                </c:pt>
                <c:pt idx="95">
                  <c:v>2.7613122291189254</c:v>
                </c:pt>
                <c:pt idx="96">
                  <c:v>2.8156324418948393</c:v>
                </c:pt>
                <c:pt idx="97">
                  <c:v>2.8705166546707517</c:v>
                </c:pt>
                <c:pt idx="98">
                  <c:v>2.9259648674466661</c:v>
                </c:pt>
                <c:pt idx="99">
                  <c:v>2.9819770802225802</c:v>
                </c:pt>
                <c:pt idx="100">
                  <c:v>3.0385532929984924</c:v>
                </c:pt>
                <c:pt idx="101">
                  <c:v>3.0956935057744057</c:v>
                </c:pt>
                <c:pt idx="102">
                  <c:v>3.1533977185503179</c:v>
                </c:pt>
                <c:pt idx="103">
                  <c:v>3.2116659313262326</c:v>
                </c:pt>
                <c:pt idx="104">
                  <c:v>3.2704981441021461</c:v>
                </c:pt>
                <c:pt idx="105">
                  <c:v>3.3298943568780586</c:v>
                </c:pt>
                <c:pt idx="106">
                  <c:v>3.3898545696539713</c:v>
                </c:pt>
                <c:pt idx="107">
                  <c:v>3.4503787824298859</c:v>
                </c:pt>
                <c:pt idx="108">
                  <c:v>3.5114669952057986</c:v>
                </c:pt>
                <c:pt idx="109">
                  <c:v>3.5731192079817116</c:v>
                </c:pt>
                <c:pt idx="110">
                  <c:v>3.6353354207576243</c:v>
                </c:pt>
                <c:pt idx="111">
                  <c:v>3.698115633533539</c:v>
                </c:pt>
                <c:pt idx="112">
                  <c:v>3.7614598463094513</c:v>
                </c:pt>
                <c:pt idx="113">
                  <c:v>3.8253680590853638</c:v>
                </c:pt>
                <c:pt idx="114">
                  <c:v>3.8898402718612788</c:v>
                </c:pt>
                <c:pt idx="115">
                  <c:v>3.9548764846371891</c:v>
                </c:pt>
                <c:pt idx="116">
                  <c:v>4.0204766974131045</c:v>
                </c:pt>
                <c:pt idx="117">
                  <c:v>4.0866409101890175</c:v>
                </c:pt>
                <c:pt idx="118">
                  <c:v>4.1533691229649321</c:v>
                </c:pt>
                <c:pt idx="119">
                  <c:v>4.220661335740842</c:v>
                </c:pt>
                <c:pt idx="120">
                  <c:v>4.2885175485167579</c:v>
                </c:pt>
                <c:pt idx="121">
                  <c:v>4.3569377612926692</c:v>
                </c:pt>
                <c:pt idx="122">
                  <c:v>4.4259219740685802</c:v>
                </c:pt>
                <c:pt idx="123">
                  <c:v>4.4954701868444955</c:v>
                </c:pt>
                <c:pt idx="124">
                  <c:v>4.5655823996204097</c:v>
                </c:pt>
                <c:pt idx="125">
                  <c:v>4.6362586123963228</c:v>
                </c:pt>
                <c:pt idx="126">
                  <c:v>4.7074988251722347</c:v>
                </c:pt>
                <c:pt idx="127">
                  <c:v>4.7793030379481491</c:v>
                </c:pt>
                <c:pt idx="128">
                  <c:v>4.8516712507240625</c:v>
                </c:pt>
                <c:pt idx="129">
                  <c:v>4.9246034634999756</c:v>
                </c:pt>
                <c:pt idx="130">
                  <c:v>4.9980996762758867</c:v>
                </c:pt>
                <c:pt idx="131">
                  <c:v>5.0721598890518038</c:v>
                </c:pt>
                <c:pt idx="132">
                  <c:v>5.1467841018277145</c:v>
                </c:pt>
                <c:pt idx="133">
                  <c:v>5.2219723146036312</c:v>
                </c:pt>
                <c:pt idx="134">
                  <c:v>5.2977245273795424</c:v>
                </c:pt>
                <c:pt idx="135">
                  <c:v>5.3740407401554542</c:v>
                </c:pt>
                <c:pt idx="136">
                  <c:v>5.4509209529313676</c:v>
                </c:pt>
                <c:pt idx="137">
                  <c:v>5.5283651657072834</c:v>
                </c:pt>
                <c:pt idx="138">
                  <c:v>5.6063733784831955</c:v>
                </c:pt>
                <c:pt idx="139">
                  <c:v>5.6849455912591074</c:v>
                </c:pt>
                <c:pt idx="140">
                  <c:v>5.7640818040350208</c:v>
                </c:pt>
                <c:pt idx="141">
                  <c:v>5.8437820168109358</c:v>
                </c:pt>
                <c:pt idx="142">
                  <c:v>5.9240462295868497</c:v>
                </c:pt>
                <c:pt idx="143">
                  <c:v>6.0048744423627616</c:v>
                </c:pt>
                <c:pt idx="144">
                  <c:v>6.0862666551386759</c:v>
                </c:pt>
                <c:pt idx="145">
                  <c:v>6.1682228679145874</c:v>
                </c:pt>
                <c:pt idx="146">
                  <c:v>6.2507430806905022</c:v>
                </c:pt>
                <c:pt idx="147">
                  <c:v>6.3338272934664133</c:v>
                </c:pt>
                <c:pt idx="148">
                  <c:v>6.4174755062423294</c:v>
                </c:pt>
                <c:pt idx="149">
                  <c:v>6.5016877190182418</c:v>
                </c:pt>
                <c:pt idx="150">
                  <c:v>6.5864639317941522</c:v>
                </c:pt>
              </c:numCache>
            </c:numRef>
          </c:yVal>
          <c:smooth val="1"/>
          <c:extLst>
            <c:ext xmlns:c16="http://schemas.microsoft.com/office/drawing/2014/chart" uri="{C3380CC4-5D6E-409C-BE32-E72D297353CC}">
              <c16:uniqueId val="{00000001-98B9-4A0F-9AF3-241E82BDC034}"/>
            </c:ext>
          </c:extLst>
        </c:ser>
        <c:ser>
          <c:idx val="3"/>
          <c:order val="2"/>
          <c:tx>
            <c:v>RS</c:v>
          </c:tx>
          <c:spPr>
            <a:ln>
              <a:solidFill>
                <a:schemeClr val="accent5">
                  <a:lumMod val="75000"/>
                </a:schemeClr>
              </a:solidFill>
              <a:prstDash val="lgDashDotDot"/>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Eff_vs_IOUT!$BU$7:$BU$157</c:f>
              <c:numCache>
                <c:formatCode>General</c:formatCode>
                <c:ptCount val="151"/>
                <c:pt idx="0">
                  <c:v>0</c:v>
                </c:pt>
                <c:pt idx="1">
                  <c:v>4.1902624070313919E-5</c:v>
                </c:pt>
                <c:pt idx="2">
                  <c:v>1.1851851851851848E-4</c:v>
                </c:pt>
                <c:pt idx="3">
                  <c:v>2.1773242158072689E-4</c:v>
                </c:pt>
                <c:pt idx="4">
                  <c:v>3.3522099256251135E-4</c:v>
                </c:pt>
                <c:pt idx="5">
                  <c:v>4.6848557928420447E-4</c:v>
                </c:pt>
                <c:pt idx="6">
                  <c:v>6.1584028713560065E-4</c:v>
                </c:pt>
                <c:pt idx="7">
                  <c:v>7.7604745799755826E-4</c:v>
                </c:pt>
                <c:pt idx="8">
                  <c:v>9.4814814814814794E-4</c:v>
                </c:pt>
                <c:pt idx="9">
                  <c:v>1.1313708498984758E-3</c:v>
                </c:pt>
                <c:pt idx="10">
                  <c:v>1.3250773199998756E-3</c:v>
                </c:pt>
                <c:pt idx="11">
                  <c:v>1.5287280994980067E-3</c:v>
                </c:pt>
                <c:pt idx="12">
                  <c:v>1.7418593726458151E-3</c:v>
                </c:pt>
                <c:pt idx="13">
                  <c:v>1.9640667756061088E-3</c:v>
                </c:pt>
                <c:pt idx="14">
                  <c:v>2.1949936802906221E-3</c:v>
                </c:pt>
                <c:pt idx="15">
                  <c:v>2.4343224778007378E-3</c:v>
                </c:pt>
                <c:pt idx="16">
                  <c:v>2.6817679405000908E-3</c:v>
                </c:pt>
                <c:pt idx="17">
                  <c:v>2.9370720655517071E-3</c:v>
                </c:pt>
                <c:pt idx="18">
                  <c:v>3.1999999999999997E-3</c:v>
                </c:pt>
                <c:pt idx="19">
                  <c:v>3.4703367720417956E-3</c:v>
                </c:pt>
                <c:pt idx="20">
                  <c:v>3.7478846342736357E-3</c:v>
                </c:pt>
                <c:pt idx="21">
                  <c:v>4.0324608790093339E-3</c:v>
                </c:pt>
                <c:pt idx="22">
                  <c:v>4.3238960229818532E-3</c:v>
                </c:pt>
                <c:pt idx="23">
                  <c:v>4.6220322847964797E-3</c:v>
                </c:pt>
                <c:pt idx="24">
                  <c:v>4.9267222970848052E-3</c:v>
                </c:pt>
                <c:pt idx="25">
                  <c:v>5.237828008789241E-3</c:v>
                </c:pt>
                <c:pt idx="26">
                  <c:v>5.5552197429371069E-3</c:v>
                </c:pt>
                <c:pt idx="27">
                  <c:v>5.8787753826796268E-3</c:v>
                </c:pt>
                <c:pt idx="28">
                  <c:v>6.2083796639804661E-3</c:v>
                </c:pt>
                <c:pt idx="29">
                  <c:v>6.5439235576312087E-3</c:v>
                </c:pt>
                <c:pt idx="30">
                  <c:v>6.8853037265909642E-3</c:v>
                </c:pt>
                <c:pt idx="31">
                  <c:v>7.2324220472404794E-3</c:v>
                </c:pt>
                <c:pt idx="32">
                  <c:v>7.5851851851851827E-3</c:v>
                </c:pt>
                <c:pt idx="33">
                  <c:v>7.9435042178662707E-3</c:v>
                </c:pt>
                <c:pt idx="34">
                  <c:v>8.3072942975407679E-3</c:v>
                </c:pt>
                <c:pt idx="35">
                  <c:v>8.6764743492422688E-3</c:v>
                </c:pt>
                <c:pt idx="36">
                  <c:v>9.0509667991878085E-3</c:v>
                </c:pt>
                <c:pt idx="37">
                  <c:v>9.4306973297948807E-3</c:v>
                </c:pt>
                <c:pt idx="38">
                  <c:v>9.8155946580471467E-3</c:v>
                </c:pt>
                <c:pt idx="39">
                  <c:v>1.020559033442329E-2</c:v>
                </c:pt>
                <c:pt idx="40">
                  <c:v>1.0600618559999003E-2</c:v>
                </c:pt>
                <c:pt idx="41">
                  <c:v>1.1000616019663234E-2</c:v>
                </c:pt>
                <c:pt idx="42">
                  <c:v>1.1405521729667866E-2</c:v>
                </c:pt>
                <c:pt idx="43">
                  <c:v>1.1815319411185809E-2</c:v>
                </c:pt>
                <c:pt idx="44">
                  <c:v>1.2232919411185808E-2</c:v>
                </c:pt>
                <c:pt idx="45">
                  <c:v>1.266011941118581E-2</c:v>
                </c:pt>
                <c:pt idx="46">
                  <c:v>1.3096919411185817E-2</c:v>
                </c:pt>
                <c:pt idx="47">
                  <c:v>1.3543319411185814E-2</c:v>
                </c:pt>
                <c:pt idx="48">
                  <c:v>1.3999319411185812E-2</c:v>
                </c:pt>
                <c:pt idx="49">
                  <c:v>1.4464919411185813E-2</c:v>
                </c:pt>
                <c:pt idx="50">
                  <c:v>1.4940119411185815E-2</c:v>
                </c:pt>
                <c:pt idx="51">
                  <c:v>1.542491941118581E-2</c:v>
                </c:pt>
                <c:pt idx="52">
                  <c:v>1.5919319411185812E-2</c:v>
                </c:pt>
                <c:pt idx="53">
                  <c:v>1.6423319411185817E-2</c:v>
                </c:pt>
                <c:pt idx="54">
                  <c:v>1.6936919411185806E-2</c:v>
                </c:pt>
                <c:pt idx="55">
                  <c:v>1.7460119411185811E-2</c:v>
                </c:pt>
                <c:pt idx="56">
                  <c:v>1.7992919411185814E-2</c:v>
                </c:pt>
                <c:pt idx="57">
                  <c:v>1.8535319411185813E-2</c:v>
                </c:pt>
                <c:pt idx="58">
                  <c:v>1.9087319411185813E-2</c:v>
                </c:pt>
                <c:pt idx="59">
                  <c:v>1.9648919411185829E-2</c:v>
                </c:pt>
                <c:pt idx="60">
                  <c:v>2.0220119411185809E-2</c:v>
                </c:pt>
                <c:pt idx="61">
                  <c:v>2.0800919411185802E-2</c:v>
                </c:pt>
                <c:pt idx="62">
                  <c:v>2.139131941118582E-2</c:v>
                </c:pt>
                <c:pt idx="63">
                  <c:v>2.1991319411185813E-2</c:v>
                </c:pt>
                <c:pt idx="64">
                  <c:v>2.2600919411185822E-2</c:v>
                </c:pt>
                <c:pt idx="65">
                  <c:v>2.3220119411185808E-2</c:v>
                </c:pt>
                <c:pt idx="66">
                  <c:v>2.3848919411185804E-2</c:v>
                </c:pt>
                <c:pt idx="67">
                  <c:v>2.4487319411185815E-2</c:v>
                </c:pt>
                <c:pt idx="68">
                  <c:v>2.5135319411185818E-2</c:v>
                </c:pt>
                <c:pt idx="69">
                  <c:v>2.5792919411185805E-2</c:v>
                </c:pt>
                <c:pt idx="70">
                  <c:v>2.6460119411185808E-2</c:v>
                </c:pt>
                <c:pt idx="71">
                  <c:v>2.7136919411185813E-2</c:v>
                </c:pt>
                <c:pt idx="72">
                  <c:v>2.7823319411185814E-2</c:v>
                </c:pt>
                <c:pt idx="73">
                  <c:v>2.8519319411185802E-2</c:v>
                </c:pt>
                <c:pt idx="74">
                  <c:v>2.9224919411185827E-2</c:v>
                </c:pt>
                <c:pt idx="75">
                  <c:v>2.9940119411185809E-2</c:v>
                </c:pt>
                <c:pt idx="76">
                  <c:v>3.0664919411185796E-2</c:v>
                </c:pt>
                <c:pt idx="77">
                  <c:v>3.1399319411185823E-2</c:v>
                </c:pt>
                <c:pt idx="78">
                  <c:v>3.2143319411185797E-2</c:v>
                </c:pt>
                <c:pt idx="79">
                  <c:v>3.2896919411185825E-2</c:v>
                </c:pt>
                <c:pt idx="80">
                  <c:v>3.3660119411185803E-2</c:v>
                </c:pt>
                <c:pt idx="81">
                  <c:v>3.4432919411185807E-2</c:v>
                </c:pt>
                <c:pt idx="82">
                  <c:v>3.5215319411185803E-2</c:v>
                </c:pt>
                <c:pt idx="83">
                  <c:v>3.6007319411185811E-2</c:v>
                </c:pt>
                <c:pt idx="84">
                  <c:v>3.680891941118581E-2</c:v>
                </c:pt>
                <c:pt idx="85">
                  <c:v>3.7620119411185815E-2</c:v>
                </c:pt>
                <c:pt idx="86">
                  <c:v>3.8440919411185819E-2</c:v>
                </c:pt>
                <c:pt idx="87">
                  <c:v>3.9271319411185827E-2</c:v>
                </c:pt>
                <c:pt idx="88">
                  <c:v>4.0111319411185821E-2</c:v>
                </c:pt>
                <c:pt idx="89">
                  <c:v>4.0960919411185806E-2</c:v>
                </c:pt>
                <c:pt idx="90">
                  <c:v>4.1820119411185824E-2</c:v>
                </c:pt>
                <c:pt idx="91">
                  <c:v>4.2688919411185799E-2</c:v>
                </c:pt>
                <c:pt idx="92">
                  <c:v>4.3567319411185829E-2</c:v>
                </c:pt>
                <c:pt idx="93">
                  <c:v>4.4455319411185808E-2</c:v>
                </c:pt>
                <c:pt idx="94">
                  <c:v>4.5352919411185827E-2</c:v>
                </c:pt>
                <c:pt idx="95">
                  <c:v>4.6260119411185796E-2</c:v>
                </c:pt>
                <c:pt idx="96">
                  <c:v>4.7176919411185812E-2</c:v>
                </c:pt>
                <c:pt idx="97">
                  <c:v>4.8103319411185799E-2</c:v>
                </c:pt>
                <c:pt idx="98">
                  <c:v>4.9039319411185819E-2</c:v>
                </c:pt>
                <c:pt idx="99">
                  <c:v>4.9984919411185831E-2</c:v>
                </c:pt>
                <c:pt idx="100">
                  <c:v>5.094011941118582E-2</c:v>
                </c:pt>
                <c:pt idx="101">
                  <c:v>5.1904919411185815E-2</c:v>
                </c:pt>
                <c:pt idx="102">
                  <c:v>5.2879319411185788E-2</c:v>
                </c:pt>
                <c:pt idx="103">
                  <c:v>5.3863319411185821E-2</c:v>
                </c:pt>
                <c:pt idx="104">
                  <c:v>5.4856919411185825E-2</c:v>
                </c:pt>
                <c:pt idx="105">
                  <c:v>5.5860119411185807E-2</c:v>
                </c:pt>
                <c:pt idx="106">
                  <c:v>5.6872919411185809E-2</c:v>
                </c:pt>
                <c:pt idx="107">
                  <c:v>5.7895319411185822E-2</c:v>
                </c:pt>
                <c:pt idx="108">
                  <c:v>5.8927319411185813E-2</c:v>
                </c:pt>
                <c:pt idx="109">
                  <c:v>5.9968919411185817E-2</c:v>
                </c:pt>
                <c:pt idx="110">
                  <c:v>6.1020119411185805E-2</c:v>
                </c:pt>
                <c:pt idx="111">
                  <c:v>6.2080919411185827E-2</c:v>
                </c:pt>
                <c:pt idx="112">
                  <c:v>6.3151319411185805E-2</c:v>
                </c:pt>
                <c:pt idx="113">
                  <c:v>6.4231319411185789E-2</c:v>
                </c:pt>
                <c:pt idx="114">
                  <c:v>6.5320919411185827E-2</c:v>
                </c:pt>
                <c:pt idx="115">
                  <c:v>6.642011941118578E-2</c:v>
                </c:pt>
                <c:pt idx="116">
                  <c:v>6.7528919411185814E-2</c:v>
                </c:pt>
                <c:pt idx="117">
                  <c:v>6.8647319411185806E-2</c:v>
                </c:pt>
                <c:pt idx="118">
                  <c:v>6.9775319411185824E-2</c:v>
                </c:pt>
                <c:pt idx="119">
                  <c:v>7.0912919411185785E-2</c:v>
                </c:pt>
                <c:pt idx="120">
                  <c:v>7.2060119411185827E-2</c:v>
                </c:pt>
                <c:pt idx="121">
                  <c:v>7.3216919411185785E-2</c:v>
                </c:pt>
                <c:pt idx="122">
                  <c:v>7.4383319411185755E-2</c:v>
                </c:pt>
                <c:pt idx="123">
                  <c:v>7.555931941118578E-2</c:v>
                </c:pt>
                <c:pt idx="124">
                  <c:v>7.6744919411185789E-2</c:v>
                </c:pt>
                <c:pt idx="125">
                  <c:v>7.794011941118581E-2</c:v>
                </c:pt>
                <c:pt idx="126">
                  <c:v>7.9144919411185788E-2</c:v>
                </c:pt>
                <c:pt idx="127">
                  <c:v>8.0359319411185792E-2</c:v>
                </c:pt>
                <c:pt idx="128">
                  <c:v>8.1583319411185795E-2</c:v>
                </c:pt>
                <c:pt idx="129">
                  <c:v>8.2816919411185796E-2</c:v>
                </c:pt>
                <c:pt idx="130">
                  <c:v>8.4060119411185755E-2</c:v>
                </c:pt>
                <c:pt idx="131">
                  <c:v>8.5312919411185822E-2</c:v>
                </c:pt>
                <c:pt idx="132">
                  <c:v>8.6575319411185778E-2</c:v>
                </c:pt>
                <c:pt idx="133">
                  <c:v>8.7847319411185842E-2</c:v>
                </c:pt>
                <c:pt idx="134">
                  <c:v>8.9128919411185795E-2</c:v>
                </c:pt>
                <c:pt idx="135">
                  <c:v>9.0420119411185773E-2</c:v>
                </c:pt>
                <c:pt idx="136">
                  <c:v>9.1720919411185778E-2</c:v>
                </c:pt>
                <c:pt idx="137">
                  <c:v>9.3031319411185809E-2</c:v>
                </c:pt>
                <c:pt idx="138">
                  <c:v>9.4351319411185797E-2</c:v>
                </c:pt>
                <c:pt idx="139">
                  <c:v>9.5680919411185783E-2</c:v>
                </c:pt>
                <c:pt idx="140">
                  <c:v>9.7020119411185782E-2</c:v>
                </c:pt>
                <c:pt idx="141">
                  <c:v>9.8368919411185807E-2</c:v>
                </c:pt>
                <c:pt idx="142">
                  <c:v>9.9727319411185816E-2</c:v>
                </c:pt>
                <c:pt idx="143">
                  <c:v>0.10109531941118578</c:v>
                </c:pt>
                <c:pt idx="144">
                  <c:v>0.10247291941118582</c:v>
                </c:pt>
                <c:pt idx="145">
                  <c:v>0.10386011941118579</c:v>
                </c:pt>
                <c:pt idx="146">
                  <c:v>0.10525691941118581</c:v>
                </c:pt>
                <c:pt idx="147">
                  <c:v>0.10666331941118577</c:v>
                </c:pt>
                <c:pt idx="148">
                  <c:v>0.10807931941118583</c:v>
                </c:pt>
                <c:pt idx="149">
                  <c:v>0.1095049194111858</c:v>
                </c:pt>
                <c:pt idx="150">
                  <c:v>0.11094011941118577</c:v>
                </c:pt>
              </c:numCache>
            </c:numRef>
          </c:yVal>
          <c:smooth val="1"/>
          <c:extLst>
            <c:ext xmlns:c16="http://schemas.microsoft.com/office/drawing/2014/chart" uri="{C3380CC4-5D6E-409C-BE32-E72D297353CC}">
              <c16:uniqueId val="{00000002-98B9-4A0F-9AF3-241E82BDC034}"/>
            </c:ext>
          </c:extLst>
        </c:ser>
        <c:ser>
          <c:idx val="2"/>
          <c:order val="3"/>
          <c:tx>
            <c:v>D1</c:v>
          </c:tx>
          <c:spPr>
            <a:ln>
              <a:solidFill>
                <a:schemeClr val="bg2">
                  <a:lumMod val="50000"/>
                </a:schemeClr>
              </a:solidFill>
              <a:prstDash val="sysDash"/>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Eff_vs_IOUT!$AY$8:$AY$157</c:f>
              <c:numCache>
                <c:formatCode>General</c:formatCode>
                <c:ptCount val="150"/>
                <c:pt idx="0">
                  <c:v>3.8333333333333329E-4</c:v>
                </c:pt>
                <c:pt idx="1">
                  <c:v>7.6666666666666658E-4</c:v>
                </c:pt>
                <c:pt idx="2">
                  <c:v>1.15E-3</c:v>
                </c:pt>
                <c:pt idx="3">
                  <c:v>1.5333333333333332E-3</c:v>
                </c:pt>
                <c:pt idx="4">
                  <c:v>1.9166666666666666E-3</c:v>
                </c:pt>
                <c:pt idx="5">
                  <c:v>2.3E-3</c:v>
                </c:pt>
                <c:pt idx="6">
                  <c:v>2.6833333333333331E-3</c:v>
                </c:pt>
                <c:pt idx="7">
                  <c:v>3.0666666666666663E-3</c:v>
                </c:pt>
                <c:pt idx="8">
                  <c:v>3.4499999999999999E-3</c:v>
                </c:pt>
                <c:pt idx="9">
                  <c:v>3.8333333333333331E-3</c:v>
                </c:pt>
                <c:pt idx="10">
                  <c:v>4.2166666666666663E-3</c:v>
                </c:pt>
                <c:pt idx="11">
                  <c:v>4.5999999999999999E-3</c:v>
                </c:pt>
                <c:pt idx="12">
                  <c:v>4.9833333333333327E-3</c:v>
                </c:pt>
                <c:pt idx="13">
                  <c:v>5.3666666666666663E-3</c:v>
                </c:pt>
                <c:pt idx="14">
                  <c:v>5.7499999999999999E-3</c:v>
                </c:pt>
                <c:pt idx="15">
                  <c:v>6.1333333333333327E-3</c:v>
                </c:pt>
                <c:pt idx="16">
                  <c:v>6.5166666666666663E-3</c:v>
                </c:pt>
                <c:pt idx="17">
                  <c:v>6.8999999999999999E-3</c:v>
                </c:pt>
                <c:pt idx="18">
                  <c:v>7.2833333333333326E-3</c:v>
                </c:pt>
                <c:pt idx="19">
                  <c:v>7.6666666666666662E-3</c:v>
                </c:pt>
                <c:pt idx="20">
                  <c:v>8.0499999999999999E-3</c:v>
                </c:pt>
                <c:pt idx="21">
                  <c:v>8.4333333333333326E-3</c:v>
                </c:pt>
                <c:pt idx="22">
                  <c:v>8.8166666666666654E-3</c:v>
                </c:pt>
                <c:pt idx="23">
                  <c:v>9.1999999999999998E-3</c:v>
                </c:pt>
                <c:pt idx="24">
                  <c:v>9.5833333333333326E-3</c:v>
                </c:pt>
                <c:pt idx="25">
                  <c:v>9.9666666666666653E-3</c:v>
                </c:pt>
                <c:pt idx="26">
                  <c:v>1.0349999999999998E-2</c:v>
                </c:pt>
                <c:pt idx="27">
                  <c:v>1.0733333333333333E-2</c:v>
                </c:pt>
                <c:pt idx="28">
                  <c:v>1.1116666666666667E-2</c:v>
                </c:pt>
                <c:pt idx="29">
                  <c:v>1.15E-2</c:v>
                </c:pt>
                <c:pt idx="30">
                  <c:v>1.1883333333333333E-2</c:v>
                </c:pt>
                <c:pt idx="31">
                  <c:v>1.2266666666666665E-2</c:v>
                </c:pt>
                <c:pt idx="32">
                  <c:v>1.2649999999999998E-2</c:v>
                </c:pt>
                <c:pt idx="33">
                  <c:v>1.3033333333333333E-2</c:v>
                </c:pt>
                <c:pt idx="34">
                  <c:v>1.3416666666666667E-2</c:v>
                </c:pt>
                <c:pt idx="35">
                  <c:v>1.38E-2</c:v>
                </c:pt>
                <c:pt idx="36">
                  <c:v>1.4183333333333333E-2</c:v>
                </c:pt>
                <c:pt idx="37">
                  <c:v>1.4566666666666665E-2</c:v>
                </c:pt>
                <c:pt idx="38">
                  <c:v>1.4949999999999998E-2</c:v>
                </c:pt>
                <c:pt idx="39">
                  <c:v>1.5333333333333332E-2</c:v>
                </c:pt>
                <c:pt idx="40">
                  <c:v>1.5716666666666667E-2</c:v>
                </c:pt>
                <c:pt idx="41">
                  <c:v>1.61E-2</c:v>
                </c:pt>
                <c:pt idx="42">
                  <c:v>1.6483333333333332E-2</c:v>
                </c:pt>
                <c:pt idx="43">
                  <c:v>1.6866666666666665E-2</c:v>
                </c:pt>
                <c:pt idx="44">
                  <c:v>1.7249999999999998E-2</c:v>
                </c:pt>
                <c:pt idx="45">
                  <c:v>1.7633333333333331E-2</c:v>
                </c:pt>
                <c:pt idx="46">
                  <c:v>1.8016666666666663E-2</c:v>
                </c:pt>
                <c:pt idx="47">
                  <c:v>1.84E-2</c:v>
                </c:pt>
                <c:pt idx="48">
                  <c:v>1.8783333333333329E-2</c:v>
                </c:pt>
                <c:pt idx="49">
                  <c:v>1.9166666666666665E-2</c:v>
                </c:pt>
                <c:pt idx="50">
                  <c:v>1.9550000000000001E-2</c:v>
                </c:pt>
                <c:pt idx="51">
                  <c:v>1.9933333333333331E-2</c:v>
                </c:pt>
                <c:pt idx="52">
                  <c:v>2.0316666666666667E-2</c:v>
                </c:pt>
                <c:pt idx="53">
                  <c:v>2.0699999999999996E-2</c:v>
                </c:pt>
                <c:pt idx="54">
                  <c:v>2.1083333333333332E-2</c:v>
                </c:pt>
                <c:pt idx="55">
                  <c:v>2.1466666666666665E-2</c:v>
                </c:pt>
                <c:pt idx="56">
                  <c:v>2.1849999999999998E-2</c:v>
                </c:pt>
                <c:pt idx="57">
                  <c:v>2.2233333333333334E-2</c:v>
                </c:pt>
                <c:pt idx="58">
                  <c:v>2.2616666666666663E-2</c:v>
                </c:pt>
                <c:pt idx="59">
                  <c:v>2.3E-2</c:v>
                </c:pt>
                <c:pt idx="60">
                  <c:v>2.3383333333333329E-2</c:v>
                </c:pt>
                <c:pt idx="61">
                  <c:v>2.3766666666666665E-2</c:v>
                </c:pt>
                <c:pt idx="62">
                  <c:v>2.4150000000000001E-2</c:v>
                </c:pt>
                <c:pt idx="63">
                  <c:v>2.4533333333333331E-2</c:v>
                </c:pt>
                <c:pt idx="64">
                  <c:v>2.4916666666666667E-2</c:v>
                </c:pt>
                <c:pt idx="65">
                  <c:v>2.5299999999999996E-2</c:v>
                </c:pt>
                <c:pt idx="66">
                  <c:v>2.5683333333333332E-2</c:v>
                </c:pt>
                <c:pt idx="67">
                  <c:v>2.6066666666666665E-2</c:v>
                </c:pt>
                <c:pt idx="68">
                  <c:v>2.6449999999999998E-2</c:v>
                </c:pt>
                <c:pt idx="69">
                  <c:v>2.6833333333333334E-2</c:v>
                </c:pt>
                <c:pt idx="70">
                  <c:v>2.7216666666666663E-2</c:v>
                </c:pt>
                <c:pt idx="71">
                  <c:v>2.76E-2</c:v>
                </c:pt>
                <c:pt idx="72">
                  <c:v>2.7983333333333329E-2</c:v>
                </c:pt>
                <c:pt idx="73">
                  <c:v>2.8366666666666665E-2</c:v>
                </c:pt>
                <c:pt idx="74">
                  <c:v>2.8749999999999998E-2</c:v>
                </c:pt>
                <c:pt idx="75">
                  <c:v>2.9133333333333331E-2</c:v>
                </c:pt>
                <c:pt idx="76">
                  <c:v>2.9516666666666667E-2</c:v>
                </c:pt>
                <c:pt idx="77">
                  <c:v>2.9899999999999996E-2</c:v>
                </c:pt>
                <c:pt idx="78">
                  <c:v>3.0283333333333332E-2</c:v>
                </c:pt>
                <c:pt idx="79">
                  <c:v>3.0666666666666665E-2</c:v>
                </c:pt>
                <c:pt idx="80">
                  <c:v>3.1049999999999998E-2</c:v>
                </c:pt>
                <c:pt idx="81">
                  <c:v>3.1433333333333334E-2</c:v>
                </c:pt>
                <c:pt idx="82">
                  <c:v>3.181666666666666E-2</c:v>
                </c:pt>
                <c:pt idx="83">
                  <c:v>3.2199999999999999E-2</c:v>
                </c:pt>
                <c:pt idx="84">
                  <c:v>3.2583333333333332E-2</c:v>
                </c:pt>
                <c:pt idx="85">
                  <c:v>3.2966666666666665E-2</c:v>
                </c:pt>
                <c:pt idx="86">
                  <c:v>3.3349999999999998E-2</c:v>
                </c:pt>
                <c:pt idx="87">
                  <c:v>3.373333333333333E-2</c:v>
                </c:pt>
                <c:pt idx="88">
                  <c:v>3.4116666666666663E-2</c:v>
                </c:pt>
                <c:pt idx="89">
                  <c:v>3.4499999999999996E-2</c:v>
                </c:pt>
                <c:pt idx="90">
                  <c:v>3.4883333333333329E-2</c:v>
                </c:pt>
                <c:pt idx="91">
                  <c:v>3.5266666666666661E-2</c:v>
                </c:pt>
                <c:pt idx="92">
                  <c:v>3.5649999999999994E-2</c:v>
                </c:pt>
                <c:pt idx="93">
                  <c:v>3.6033333333333327E-2</c:v>
                </c:pt>
                <c:pt idx="94">
                  <c:v>3.6416666666666667E-2</c:v>
                </c:pt>
                <c:pt idx="95">
                  <c:v>3.6799999999999999E-2</c:v>
                </c:pt>
                <c:pt idx="96">
                  <c:v>3.7183333333333332E-2</c:v>
                </c:pt>
                <c:pt idx="97">
                  <c:v>3.7566666666666658E-2</c:v>
                </c:pt>
                <c:pt idx="98">
                  <c:v>3.7949999999999998E-2</c:v>
                </c:pt>
                <c:pt idx="99">
                  <c:v>3.833333333333333E-2</c:v>
                </c:pt>
                <c:pt idx="100">
                  <c:v>3.8716666666666663E-2</c:v>
                </c:pt>
                <c:pt idx="101">
                  <c:v>3.9100000000000003E-2</c:v>
                </c:pt>
                <c:pt idx="102">
                  <c:v>3.9483333333333329E-2</c:v>
                </c:pt>
                <c:pt idx="103">
                  <c:v>3.9866666666666661E-2</c:v>
                </c:pt>
                <c:pt idx="104">
                  <c:v>4.0250000000000001E-2</c:v>
                </c:pt>
                <c:pt idx="105">
                  <c:v>4.0633333333333334E-2</c:v>
                </c:pt>
                <c:pt idx="106">
                  <c:v>4.101666666666666E-2</c:v>
                </c:pt>
                <c:pt idx="107">
                  <c:v>4.1399999999999992E-2</c:v>
                </c:pt>
                <c:pt idx="108">
                  <c:v>4.1783333333333332E-2</c:v>
                </c:pt>
                <c:pt idx="109">
                  <c:v>4.2166666666666665E-2</c:v>
                </c:pt>
                <c:pt idx="110">
                  <c:v>4.2549999999999998E-2</c:v>
                </c:pt>
                <c:pt idx="111">
                  <c:v>4.293333333333333E-2</c:v>
                </c:pt>
                <c:pt idx="112">
                  <c:v>4.3316666666666663E-2</c:v>
                </c:pt>
                <c:pt idx="113">
                  <c:v>4.3699999999999996E-2</c:v>
                </c:pt>
                <c:pt idx="114">
                  <c:v>4.4083333333333329E-2</c:v>
                </c:pt>
                <c:pt idx="115">
                  <c:v>4.4466666666666668E-2</c:v>
                </c:pt>
                <c:pt idx="116">
                  <c:v>4.4849999999999994E-2</c:v>
                </c:pt>
                <c:pt idx="117">
                  <c:v>4.5233333333333327E-2</c:v>
                </c:pt>
                <c:pt idx="118">
                  <c:v>4.5616666666666666E-2</c:v>
                </c:pt>
                <c:pt idx="119">
                  <c:v>4.5999999999999999E-2</c:v>
                </c:pt>
                <c:pt idx="120">
                  <c:v>4.6383333333333325E-2</c:v>
                </c:pt>
                <c:pt idx="121">
                  <c:v>4.6766666666666658E-2</c:v>
                </c:pt>
                <c:pt idx="122">
                  <c:v>4.7149999999999997E-2</c:v>
                </c:pt>
                <c:pt idx="123">
                  <c:v>4.753333333333333E-2</c:v>
                </c:pt>
                <c:pt idx="124">
                  <c:v>4.7916666666666663E-2</c:v>
                </c:pt>
                <c:pt idx="125">
                  <c:v>4.8300000000000003E-2</c:v>
                </c:pt>
                <c:pt idx="126">
                  <c:v>4.8683333333333328E-2</c:v>
                </c:pt>
                <c:pt idx="127">
                  <c:v>4.9066666666666661E-2</c:v>
                </c:pt>
                <c:pt idx="128">
                  <c:v>4.9449999999999994E-2</c:v>
                </c:pt>
                <c:pt idx="129">
                  <c:v>4.9833333333333334E-2</c:v>
                </c:pt>
                <c:pt idx="130">
                  <c:v>5.0216666666666659E-2</c:v>
                </c:pt>
                <c:pt idx="131">
                  <c:v>5.0599999999999992E-2</c:v>
                </c:pt>
                <c:pt idx="132">
                  <c:v>5.0983333333333332E-2</c:v>
                </c:pt>
                <c:pt idx="133">
                  <c:v>5.1366666666666665E-2</c:v>
                </c:pt>
                <c:pt idx="134">
                  <c:v>5.1749999999999997E-2</c:v>
                </c:pt>
                <c:pt idx="135">
                  <c:v>5.213333333333333E-2</c:v>
                </c:pt>
                <c:pt idx="136">
                  <c:v>5.2516666666666663E-2</c:v>
                </c:pt>
                <c:pt idx="137">
                  <c:v>5.2899999999999996E-2</c:v>
                </c:pt>
                <c:pt idx="138">
                  <c:v>5.3283333333333328E-2</c:v>
                </c:pt>
                <c:pt idx="139">
                  <c:v>5.3666666666666668E-2</c:v>
                </c:pt>
                <c:pt idx="140">
                  <c:v>5.4049999999999994E-2</c:v>
                </c:pt>
                <c:pt idx="141">
                  <c:v>5.4433333333333327E-2</c:v>
                </c:pt>
                <c:pt idx="142">
                  <c:v>5.4816666666666666E-2</c:v>
                </c:pt>
                <c:pt idx="143">
                  <c:v>5.5199999999999999E-2</c:v>
                </c:pt>
                <c:pt idx="144">
                  <c:v>5.5583333333333325E-2</c:v>
                </c:pt>
                <c:pt idx="145">
                  <c:v>5.5966666666666658E-2</c:v>
                </c:pt>
                <c:pt idx="146">
                  <c:v>5.6349999999999997E-2</c:v>
                </c:pt>
                <c:pt idx="147">
                  <c:v>5.673333333333333E-2</c:v>
                </c:pt>
                <c:pt idx="148">
                  <c:v>5.7116666666666663E-2</c:v>
                </c:pt>
                <c:pt idx="149">
                  <c:v>5.7499999999999996E-2</c:v>
                </c:pt>
              </c:numCache>
            </c:numRef>
          </c:yVal>
          <c:smooth val="1"/>
          <c:extLst>
            <c:ext xmlns:c16="http://schemas.microsoft.com/office/drawing/2014/chart" uri="{C3380CC4-5D6E-409C-BE32-E72D297353CC}">
              <c16:uniqueId val="{00000003-98B9-4A0F-9AF3-241E82BDC034}"/>
            </c:ext>
          </c:extLst>
        </c:ser>
        <c:ser>
          <c:idx val="4"/>
          <c:order val="4"/>
          <c:tx>
            <c:v>D2</c:v>
          </c:tx>
          <c:marker>
            <c:symbol val="none"/>
          </c:marker>
          <c:xVal>
            <c:numRef>
              <c:f>Eff_vs_IOUT!$R$8:$R$157</c:f>
              <c:numCache>
                <c:formatCode>General</c:formatCode>
                <c:ptCount val="150"/>
                <c:pt idx="0">
                  <c:v>0.5</c:v>
                </c:pt>
                <c:pt idx="1">
                  <c:v>1</c:v>
                </c:pt>
                <c:pt idx="2">
                  <c:v>1.5</c:v>
                </c:pt>
                <c:pt idx="3">
                  <c:v>2</c:v>
                </c:pt>
                <c:pt idx="4">
                  <c:v>2.5</c:v>
                </c:pt>
                <c:pt idx="5">
                  <c:v>3</c:v>
                </c:pt>
                <c:pt idx="6">
                  <c:v>3.5</c:v>
                </c:pt>
                <c:pt idx="7">
                  <c:v>4</c:v>
                </c:pt>
                <c:pt idx="8">
                  <c:v>4.5</c:v>
                </c:pt>
                <c:pt idx="9">
                  <c:v>5</c:v>
                </c:pt>
                <c:pt idx="10">
                  <c:v>5.5</c:v>
                </c:pt>
                <c:pt idx="11">
                  <c:v>6</c:v>
                </c:pt>
                <c:pt idx="12">
                  <c:v>6.5</c:v>
                </c:pt>
                <c:pt idx="13">
                  <c:v>7</c:v>
                </c:pt>
                <c:pt idx="14">
                  <c:v>7.5</c:v>
                </c:pt>
                <c:pt idx="15">
                  <c:v>8</c:v>
                </c:pt>
                <c:pt idx="16">
                  <c:v>8.5</c:v>
                </c:pt>
                <c:pt idx="17">
                  <c:v>9</c:v>
                </c:pt>
                <c:pt idx="18">
                  <c:v>9.5</c:v>
                </c:pt>
                <c:pt idx="19">
                  <c:v>10</c:v>
                </c:pt>
                <c:pt idx="20">
                  <c:v>10.5</c:v>
                </c:pt>
                <c:pt idx="21">
                  <c:v>11</c:v>
                </c:pt>
                <c:pt idx="22">
                  <c:v>11.5</c:v>
                </c:pt>
                <c:pt idx="23">
                  <c:v>12</c:v>
                </c:pt>
                <c:pt idx="24">
                  <c:v>12.5</c:v>
                </c:pt>
                <c:pt idx="25">
                  <c:v>13</c:v>
                </c:pt>
                <c:pt idx="26">
                  <c:v>13.5</c:v>
                </c:pt>
                <c:pt idx="27">
                  <c:v>14</c:v>
                </c:pt>
                <c:pt idx="28">
                  <c:v>14.5</c:v>
                </c:pt>
                <c:pt idx="29">
                  <c:v>15</c:v>
                </c:pt>
                <c:pt idx="30">
                  <c:v>15.5</c:v>
                </c:pt>
                <c:pt idx="31">
                  <c:v>16</c:v>
                </c:pt>
                <c:pt idx="32">
                  <c:v>16.5</c:v>
                </c:pt>
                <c:pt idx="33">
                  <c:v>17</c:v>
                </c:pt>
                <c:pt idx="34">
                  <c:v>17.5</c:v>
                </c:pt>
                <c:pt idx="35">
                  <c:v>18</c:v>
                </c:pt>
                <c:pt idx="36">
                  <c:v>18.5</c:v>
                </c:pt>
                <c:pt idx="37">
                  <c:v>19</c:v>
                </c:pt>
                <c:pt idx="38">
                  <c:v>19.5</c:v>
                </c:pt>
                <c:pt idx="39">
                  <c:v>20</c:v>
                </c:pt>
                <c:pt idx="40">
                  <c:v>20.5</c:v>
                </c:pt>
                <c:pt idx="41">
                  <c:v>21</c:v>
                </c:pt>
                <c:pt idx="42">
                  <c:v>21.5</c:v>
                </c:pt>
                <c:pt idx="43">
                  <c:v>22</c:v>
                </c:pt>
                <c:pt idx="44">
                  <c:v>22.5</c:v>
                </c:pt>
                <c:pt idx="45">
                  <c:v>23</c:v>
                </c:pt>
                <c:pt idx="46">
                  <c:v>23.5</c:v>
                </c:pt>
                <c:pt idx="47">
                  <c:v>24</c:v>
                </c:pt>
                <c:pt idx="48">
                  <c:v>24.5</c:v>
                </c:pt>
                <c:pt idx="49">
                  <c:v>25</c:v>
                </c:pt>
                <c:pt idx="50">
                  <c:v>25.5</c:v>
                </c:pt>
                <c:pt idx="51">
                  <c:v>26</c:v>
                </c:pt>
                <c:pt idx="52">
                  <c:v>26.5</c:v>
                </c:pt>
                <c:pt idx="53">
                  <c:v>27</c:v>
                </c:pt>
                <c:pt idx="54">
                  <c:v>27.5</c:v>
                </c:pt>
                <c:pt idx="55">
                  <c:v>28</c:v>
                </c:pt>
                <c:pt idx="56">
                  <c:v>28.5</c:v>
                </c:pt>
                <c:pt idx="57">
                  <c:v>29</c:v>
                </c:pt>
                <c:pt idx="58">
                  <c:v>29.5</c:v>
                </c:pt>
                <c:pt idx="59">
                  <c:v>30</c:v>
                </c:pt>
                <c:pt idx="60">
                  <c:v>30.5</c:v>
                </c:pt>
                <c:pt idx="61">
                  <c:v>31</c:v>
                </c:pt>
                <c:pt idx="62">
                  <c:v>31.5</c:v>
                </c:pt>
                <c:pt idx="63">
                  <c:v>32</c:v>
                </c:pt>
                <c:pt idx="64">
                  <c:v>32.5</c:v>
                </c:pt>
                <c:pt idx="65">
                  <c:v>33</c:v>
                </c:pt>
                <c:pt idx="66">
                  <c:v>33.5</c:v>
                </c:pt>
                <c:pt idx="67">
                  <c:v>34</c:v>
                </c:pt>
                <c:pt idx="68">
                  <c:v>34.5</c:v>
                </c:pt>
                <c:pt idx="69">
                  <c:v>35</c:v>
                </c:pt>
                <c:pt idx="70">
                  <c:v>35.5</c:v>
                </c:pt>
                <c:pt idx="71">
                  <c:v>36</c:v>
                </c:pt>
                <c:pt idx="72">
                  <c:v>36.5</c:v>
                </c:pt>
                <c:pt idx="73">
                  <c:v>37</c:v>
                </c:pt>
                <c:pt idx="74">
                  <c:v>37.5</c:v>
                </c:pt>
                <c:pt idx="75">
                  <c:v>38</c:v>
                </c:pt>
                <c:pt idx="76">
                  <c:v>38.5</c:v>
                </c:pt>
                <c:pt idx="77">
                  <c:v>39</c:v>
                </c:pt>
                <c:pt idx="78">
                  <c:v>39.5</c:v>
                </c:pt>
                <c:pt idx="79">
                  <c:v>40</c:v>
                </c:pt>
                <c:pt idx="80">
                  <c:v>40.5</c:v>
                </c:pt>
                <c:pt idx="81">
                  <c:v>41</c:v>
                </c:pt>
                <c:pt idx="82">
                  <c:v>41.5</c:v>
                </c:pt>
                <c:pt idx="83">
                  <c:v>42</c:v>
                </c:pt>
                <c:pt idx="84">
                  <c:v>42.5</c:v>
                </c:pt>
                <c:pt idx="85">
                  <c:v>43</c:v>
                </c:pt>
                <c:pt idx="86">
                  <c:v>43.5</c:v>
                </c:pt>
                <c:pt idx="87">
                  <c:v>44</c:v>
                </c:pt>
                <c:pt idx="88">
                  <c:v>44.5</c:v>
                </c:pt>
                <c:pt idx="89">
                  <c:v>45</c:v>
                </c:pt>
                <c:pt idx="90">
                  <c:v>45.5</c:v>
                </c:pt>
                <c:pt idx="91">
                  <c:v>46</c:v>
                </c:pt>
                <c:pt idx="92">
                  <c:v>46.5</c:v>
                </c:pt>
                <c:pt idx="93">
                  <c:v>47</c:v>
                </c:pt>
                <c:pt idx="94">
                  <c:v>47.5</c:v>
                </c:pt>
                <c:pt idx="95">
                  <c:v>48</c:v>
                </c:pt>
                <c:pt idx="96">
                  <c:v>48.5</c:v>
                </c:pt>
                <c:pt idx="97">
                  <c:v>49</c:v>
                </c:pt>
                <c:pt idx="98">
                  <c:v>49.5</c:v>
                </c:pt>
                <c:pt idx="99">
                  <c:v>50</c:v>
                </c:pt>
                <c:pt idx="100">
                  <c:v>50.5</c:v>
                </c:pt>
                <c:pt idx="101">
                  <c:v>51</c:v>
                </c:pt>
                <c:pt idx="102">
                  <c:v>51.5</c:v>
                </c:pt>
                <c:pt idx="103">
                  <c:v>52</c:v>
                </c:pt>
                <c:pt idx="104">
                  <c:v>52.5</c:v>
                </c:pt>
                <c:pt idx="105">
                  <c:v>53</c:v>
                </c:pt>
                <c:pt idx="106">
                  <c:v>53.5</c:v>
                </c:pt>
                <c:pt idx="107">
                  <c:v>54</c:v>
                </c:pt>
                <c:pt idx="108">
                  <c:v>54.5</c:v>
                </c:pt>
                <c:pt idx="109">
                  <c:v>55</c:v>
                </c:pt>
                <c:pt idx="110">
                  <c:v>55.5</c:v>
                </c:pt>
                <c:pt idx="111">
                  <c:v>56</c:v>
                </c:pt>
                <c:pt idx="112">
                  <c:v>56.5</c:v>
                </c:pt>
                <c:pt idx="113">
                  <c:v>57</c:v>
                </c:pt>
                <c:pt idx="114">
                  <c:v>57.5</c:v>
                </c:pt>
                <c:pt idx="115">
                  <c:v>58</c:v>
                </c:pt>
                <c:pt idx="116">
                  <c:v>58.5</c:v>
                </c:pt>
                <c:pt idx="117">
                  <c:v>59</c:v>
                </c:pt>
                <c:pt idx="118">
                  <c:v>59.5</c:v>
                </c:pt>
                <c:pt idx="119">
                  <c:v>60</c:v>
                </c:pt>
                <c:pt idx="120">
                  <c:v>60.5</c:v>
                </c:pt>
                <c:pt idx="121">
                  <c:v>61</c:v>
                </c:pt>
                <c:pt idx="122">
                  <c:v>61.5</c:v>
                </c:pt>
                <c:pt idx="123">
                  <c:v>62</c:v>
                </c:pt>
                <c:pt idx="124">
                  <c:v>62.5</c:v>
                </c:pt>
                <c:pt idx="125">
                  <c:v>63</c:v>
                </c:pt>
                <c:pt idx="126">
                  <c:v>63.5</c:v>
                </c:pt>
                <c:pt idx="127">
                  <c:v>64</c:v>
                </c:pt>
                <c:pt idx="128">
                  <c:v>64.5</c:v>
                </c:pt>
                <c:pt idx="129">
                  <c:v>65</c:v>
                </c:pt>
                <c:pt idx="130">
                  <c:v>65.5</c:v>
                </c:pt>
                <c:pt idx="131">
                  <c:v>66</c:v>
                </c:pt>
                <c:pt idx="132">
                  <c:v>66.5</c:v>
                </c:pt>
                <c:pt idx="133">
                  <c:v>67</c:v>
                </c:pt>
                <c:pt idx="134">
                  <c:v>67.5</c:v>
                </c:pt>
                <c:pt idx="135">
                  <c:v>68</c:v>
                </c:pt>
                <c:pt idx="136">
                  <c:v>68.5</c:v>
                </c:pt>
                <c:pt idx="137">
                  <c:v>69</c:v>
                </c:pt>
                <c:pt idx="138">
                  <c:v>69.5</c:v>
                </c:pt>
                <c:pt idx="139">
                  <c:v>70</c:v>
                </c:pt>
                <c:pt idx="140">
                  <c:v>70.5</c:v>
                </c:pt>
                <c:pt idx="141">
                  <c:v>71</c:v>
                </c:pt>
                <c:pt idx="142">
                  <c:v>71.5</c:v>
                </c:pt>
                <c:pt idx="143">
                  <c:v>72</c:v>
                </c:pt>
                <c:pt idx="144">
                  <c:v>72.5</c:v>
                </c:pt>
                <c:pt idx="145">
                  <c:v>73</c:v>
                </c:pt>
                <c:pt idx="146">
                  <c:v>73.5</c:v>
                </c:pt>
                <c:pt idx="147">
                  <c:v>74</c:v>
                </c:pt>
                <c:pt idx="148">
                  <c:v>74.5</c:v>
                </c:pt>
                <c:pt idx="149">
                  <c:v>75</c:v>
                </c:pt>
              </c:numCache>
            </c:numRef>
          </c:xVal>
          <c:yVal>
            <c:numRef>
              <c:f>Eff_vs_IOUT!$BI$8:$BI$157</c:f>
              <c:numCache>
                <c:formatCode>General</c:formatCode>
                <c:ptCount val="15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yVal>
          <c:smooth val="1"/>
          <c:extLst>
            <c:ext xmlns:c16="http://schemas.microsoft.com/office/drawing/2014/chart" uri="{C3380CC4-5D6E-409C-BE32-E72D297353CC}">
              <c16:uniqueId val="{00000004-98B9-4A0F-9AF3-241E82BDC034}"/>
            </c:ext>
          </c:extLst>
        </c:ser>
        <c:dLbls>
          <c:showLegendKey val="0"/>
          <c:showVal val="0"/>
          <c:showCatName val="0"/>
          <c:showSerName val="0"/>
          <c:showPercent val="0"/>
          <c:showBubbleSize val="0"/>
        </c:dLbls>
        <c:axId val="586422528"/>
        <c:axId val="586420608"/>
      </c:scatterChart>
      <c:valAx>
        <c:axId val="586339072"/>
        <c:scaling>
          <c:orientation val="minMax"/>
        </c:scaling>
        <c:delete val="0"/>
        <c:axPos val="b"/>
        <c:majorGridlines/>
        <c:numFmt formatCode="General" sourceLinked="1"/>
        <c:majorTickMark val="out"/>
        <c:minorTickMark val="none"/>
        <c:tickLblPos val="nextTo"/>
        <c:crossAx val="586340608"/>
        <c:crosses val="autoZero"/>
        <c:crossBetween val="midCat"/>
      </c:valAx>
      <c:valAx>
        <c:axId val="586340608"/>
        <c:scaling>
          <c:orientation val="minMax"/>
          <c:max val="100"/>
          <c:min val="60"/>
        </c:scaling>
        <c:delete val="0"/>
        <c:axPos val="l"/>
        <c:majorGridlines/>
        <c:title>
          <c:tx>
            <c:rich>
              <a:bodyPr rot="-5400000" vert="horz"/>
              <a:lstStyle/>
              <a:p>
                <a:pPr>
                  <a:defRPr sz="1400"/>
                </a:pPr>
                <a:r>
                  <a:rPr lang="en-US" sz="1400"/>
                  <a:t>Efficiency</a:t>
                </a:r>
                <a:r>
                  <a:rPr lang="en-US" sz="1400" baseline="0"/>
                  <a:t> (%)</a:t>
                </a:r>
                <a:endParaRPr lang="en-US" sz="1400"/>
              </a:p>
            </c:rich>
          </c:tx>
          <c:overlay val="0"/>
        </c:title>
        <c:numFmt formatCode="General" sourceLinked="1"/>
        <c:majorTickMark val="out"/>
        <c:minorTickMark val="none"/>
        <c:tickLblPos val="nextTo"/>
        <c:crossAx val="586339072"/>
        <c:crosses val="autoZero"/>
        <c:crossBetween val="midCat"/>
      </c:valAx>
      <c:valAx>
        <c:axId val="586420608"/>
        <c:scaling>
          <c:orientation val="minMax"/>
        </c:scaling>
        <c:delete val="0"/>
        <c:axPos val="r"/>
        <c:title>
          <c:tx>
            <c:rich>
              <a:bodyPr rot="-5400000" vert="horz"/>
              <a:lstStyle/>
              <a:p>
                <a:pPr>
                  <a:defRPr sz="1400"/>
                </a:pPr>
                <a:r>
                  <a:rPr lang="en-US" sz="1400"/>
                  <a:t>Losses</a:t>
                </a:r>
                <a:r>
                  <a:rPr lang="en-US" sz="1400" baseline="0"/>
                  <a:t> (W)</a:t>
                </a:r>
                <a:endParaRPr lang="en-US" sz="1400"/>
              </a:p>
            </c:rich>
          </c:tx>
          <c:overlay val="0"/>
        </c:title>
        <c:numFmt formatCode="General" sourceLinked="1"/>
        <c:majorTickMark val="out"/>
        <c:minorTickMark val="none"/>
        <c:tickLblPos val="nextTo"/>
        <c:crossAx val="586422528"/>
        <c:crosses val="max"/>
        <c:crossBetween val="midCat"/>
      </c:valAx>
      <c:valAx>
        <c:axId val="586422528"/>
        <c:scaling>
          <c:orientation val="minMax"/>
        </c:scaling>
        <c:delete val="1"/>
        <c:axPos val="b"/>
        <c:title>
          <c:tx>
            <c:rich>
              <a:bodyPr/>
              <a:lstStyle/>
              <a:p>
                <a:pPr>
                  <a:defRPr sz="1200"/>
                </a:pPr>
                <a:r>
                  <a:rPr lang="en-US" sz="1200" b="1" i="0" baseline="0">
                    <a:effectLst/>
                  </a:rPr>
                  <a:t>P</a:t>
                </a:r>
                <a:r>
                  <a:rPr lang="en-US" sz="1200" b="1" i="0" baseline="-25000">
                    <a:effectLst/>
                  </a:rPr>
                  <a:t>OUT</a:t>
                </a:r>
                <a:r>
                  <a:rPr lang="en-US" sz="1200" b="1" i="0" baseline="0">
                    <a:effectLst/>
                  </a:rPr>
                  <a:t> (W)</a:t>
                </a:r>
                <a:endParaRPr lang="en-US" sz="1200">
                  <a:effectLst/>
                </a:endParaRPr>
              </a:p>
            </c:rich>
          </c:tx>
          <c:overlay val="0"/>
        </c:title>
        <c:numFmt formatCode="General" sourceLinked="1"/>
        <c:majorTickMark val="out"/>
        <c:minorTickMark val="none"/>
        <c:tickLblPos val="nextTo"/>
        <c:crossAx val="586420608"/>
        <c:crosses val="autoZero"/>
        <c:crossBetween val="midCat"/>
      </c:valAx>
    </c:plotArea>
    <c:legend>
      <c:legendPos val="r"/>
      <c:layout>
        <c:manualLayout>
          <c:xMode val="edge"/>
          <c:yMode val="edge"/>
          <c:x val="0.49339941826540429"/>
          <c:y val="6.4862204724409449E-3"/>
          <c:w val="0.42227913565687919"/>
          <c:h val="0.1165233360670469"/>
        </c:manualLayout>
      </c:layout>
      <c:overlay val="1"/>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2400"/>
            </a:pPr>
            <a:r>
              <a:rPr lang="el-GR" sz="2400"/>
              <a:t>η</a:t>
            </a:r>
            <a:endParaRPr lang="en-US" sz="2400"/>
          </a:p>
        </c:rich>
      </c:tx>
      <c:layout>
        <c:manualLayout>
          <c:xMode val="edge"/>
          <c:yMode val="edge"/>
          <c:x val="9.2321838295158831E-2"/>
          <c:y val="6.7069081153588199E-3"/>
        </c:manualLayout>
      </c:layout>
      <c:overlay val="1"/>
    </c:title>
    <c:autoTitleDeleted val="0"/>
    <c:plotArea>
      <c:layout>
        <c:manualLayout>
          <c:layoutTarget val="inner"/>
          <c:xMode val="edge"/>
          <c:yMode val="edge"/>
          <c:x val="9.4343575816580413E-2"/>
          <c:y val="0.12777504924560487"/>
          <c:w val="0.82170691922728745"/>
          <c:h val="0.74982770867653059"/>
        </c:manualLayout>
      </c:layout>
      <c:scatterChart>
        <c:scatterStyle val="smoothMarker"/>
        <c:varyColors val="0"/>
        <c:ser>
          <c:idx val="0"/>
          <c:order val="0"/>
          <c:tx>
            <c:v>Eff</c:v>
          </c:tx>
          <c:spPr>
            <a:ln>
              <a:solidFill>
                <a:srgbClr val="FF0000"/>
              </a:solidFill>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Eff_vs_IOUT!$BZ$7:$BZ$157</c:f>
              <c:numCache>
                <c:formatCode>General</c:formatCode>
                <c:ptCount val="151"/>
                <c:pt idx="0">
                  <c:v>0</c:v>
                </c:pt>
                <c:pt idx="1">
                  <c:v>91.614175393546276</c:v>
                </c:pt>
                <c:pt idx="2">
                  <c:v>91.407098962065774</c:v>
                </c:pt>
                <c:pt idx="3">
                  <c:v>90.919515145869681</c:v>
                </c:pt>
                <c:pt idx="4">
                  <c:v>90.423397156149136</c:v>
                </c:pt>
                <c:pt idx="5">
                  <c:v>89.953568159285354</c:v>
                </c:pt>
                <c:pt idx="6">
                  <c:v>89.51383788982254</c:v>
                </c:pt>
                <c:pt idx="7">
                  <c:v>89.102050447809063</c:v>
                </c:pt>
                <c:pt idx="8">
                  <c:v>88.715036340984568</c:v>
                </c:pt>
                <c:pt idx="9">
                  <c:v>88.349773309631189</c:v>
                </c:pt>
                <c:pt idx="10">
                  <c:v>88.003636100108977</c:v>
                </c:pt>
                <c:pt idx="11">
                  <c:v>87.674404780249176</c:v>
                </c:pt>
                <c:pt idx="12">
                  <c:v>87.360212725648324</c:v>
                </c:pt>
                <c:pt idx="13">
                  <c:v>87.059486569173671</c:v>
                </c:pt>
                <c:pt idx="14">
                  <c:v>86.770892606437656</c:v>
                </c:pt>
                <c:pt idx="15">
                  <c:v>86.493292518481653</c:v>
                </c:pt>
                <c:pt idx="16">
                  <c:v>86.22570779343539</c:v>
                </c:pt>
                <c:pt idx="17">
                  <c:v>85.967291385869004</c:v>
                </c:pt>
                <c:pt idx="18">
                  <c:v>85.717305145836306</c:v>
                </c:pt>
                <c:pt idx="19">
                  <c:v>85.475101773265081</c:v>
                </c:pt>
                <c:pt idx="20">
                  <c:v>85.240110306010791</c:v>
                </c:pt>
                <c:pt idx="21">
                  <c:v>85.01182437093334</c:v>
                </c:pt>
                <c:pt idx="22">
                  <c:v>84.789792604750019</c:v>
                </c:pt>
                <c:pt idx="23">
                  <c:v>84.573610788738691</c:v>
                </c:pt>
                <c:pt idx="24">
                  <c:v>84.362915346055658</c:v>
                </c:pt>
                <c:pt idx="25">
                  <c:v>84.157377929836684</c:v>
                </c:pt>
                <c:pt idx="26">
                  <c:v>83.956700890484115</c:v>
                </c:pt>
                <c:pt idx="27">
                  <c:v>83.760613456380312</c:v>
                </c:pt>
                <c:pt idx="28">
                  <c:v>83.568868497314881</c:v>
                </c:pt>
                <c:pt idx="29">
                  <c:v>83.381239766864809</c:v>
                </c:pt>
                <c:pt idx="30">
                  <c:v>83.197519540819869</c:v>
                </c:pt>
                <c:pt idx="31">
                  <c:v>83.01751658498479</c:v>
                </c:pt>
                <c:pt idx="32">
                  <c:v>82.841054398415537</c:v>
                </c:pt>
                <c:pt idx="33">
                  <c:v>82.667969688184215</c:v>
                </c:pt>
                <c:pt idx="34">
                  <c:v>82.498111039732223</c:v>
                </c:pt>
                <c:pt idx="35">
                  <c:v>82.331337753230457</c:v>
                </c:pt>
                <c:pt idx="36">
                  <c:v>82.167518821471958</c:v>
                </c:pt>
                <c:pt idx="37">
                  <c:v>82.006532028945742</c:v>
                </c:pt>
                <c:pt idx="38">
                  <c:v>81.848263155089441</c:v>
                </c:pt>
                <c:pt idx="39">
                  <c:v>81.692605267450077</c:v>
                </c:pt>
                <c:pt idx="40">
                  <c:v>81.53945809272382</c:v>
                </c:pt>
                <c:pt idx="41">
                  <c:v>81.388727455492301</c:v>
                </c:pt>
                <c:pt idx="42">
                  <c:v>81.240324776002453</c:v>
                </c:pt>
                <c:pt idx="43">
                  <c:v>81.094028148200508</c:v>
                </c:pt>
                <c:pt idx="44">
                  <c:v>80.946195400887547</c:v>
                </c:pt>
                <c:pt idx="45">
                  <c:v>80.795745329504342</c:v>
                </c:pt>
                <c:pt idx="46">
                  <c:v>80.642915089485427</c:v>
                </c:pt>
                <c:pt idx="47">
                  <c:v>80.487921664638691</c:v>
                </c:pt>
                <c:pt idx="48">
                  <c:v>80.330963895846594</c:v>
                </c:pt>
                <c:pt idx="49">
                  <c:v>80.172224270858976</c:v>
                </c:pt>
                <c:pt idx="50">
                  <c:v>80.011870507349187</c:v>
                </c:pt>
                <c:pt idx="51">
                  <c:v>79.850056956547675</c:v>
                </c:pt>
                <c:pt idx="52">
                  <c:v>79.686925850720257</c:v>
                </c:pt>
                <c:pt idx="53">
                  <c:v>79.522608414372527</c:v>
                </c:pt>
                <c:pt idx="54">
                  <c:v>79.357225856221476</c:v>
                </c:pt>
                <c:pt idx="55">
                  <c:v>79.190890256582406</c:v>
                </c:pt>
                <c:pt idx="56">
                  <c:v>79.023705362799717</c:v>
                </c:pt>
                <c:pt idx="57">
                  <c:v>78.85576730363519</c:v>
                </c:pt>
                <c:pt idx="58">
                  <c:v>78.687165232074292</c:v>
                </c:pt>
                <c:pt idx="59">
                  <c:v>78.517981904768135</c:v>
                </c:pt>
                <c:pt idx="60">
                  <c:v>78.34829420526917</c:v>
                </c:pt>
                <c:pt idx="61">
                  <c:v>78.178173617309071</c:v>
                </c:pt>
                <c:pt idx="62">
                  <c:v>78.007686653586205</c:v>
                </c:pt>
                <c:pt idx="63">
                  <c:v>77.836895244856947</c:v>
                </c:pt>
                <c:pt idx="64">
                  <c:v>77.665857093543579</c:v>
                </c:pt>
                <c:pt idx="65">
                  <c:v>77.49462599556901</c:v>
                </c:pt>
                <c:pt idx="66">
                  <c:v>77.323252133691057</c:v>
                </c:pt>
                <c:pt idx="67">
                  <c:v>77.151782345230302</c:v>
                </c:pt>
                <c:pt idx="68">
                  <c:v>76.980260366754266</c:v>
                </c:pt>
                <c:pt idx="69">
                  <c:v>76.808727057991561</c:v>
                </c:pt>
                <c:pt idx="70">
                  <c:v>76.637220606997758</c:v>
                </c:pt>
                <c:pt idx="71">
                  <c:v>76.465776718372311</c:v>
                </c:pt>
                <c:pt idx="72">
                  <c:v>76.294428786131618</c:v>
                </c:pt>
                <c:pt idx="73">
                  <c:v>76.123208052671941</c:v>
                </c:pt>
                <c:pt idx="74">
                  <c:v>75.952143755105254</c:v>
                </c:pt>
                <c:pt idx="75">
                  <c:v>75.781263260117143</c:v>
                </c:pt>
                <c:pt idx="76">
                  <c:v>75.610592188378462</c:v>
                </c:pt>
                <c:pt idx="77">
                  <c:v>75.440154529437777</c:v>
                </c:pt>
                <c:pt idx="78">
                  <c:v>75.269972747928961</c:v>
                </c:pt>
                <c:pt idx="79">
                  <c:v>75.10006788184532</c:v>
                </c:pt>
                <c:pt idx="80">
                  <c:v>74.930459633559678</c:v>
                </c:pt>
                <c:pt idx="81">
                  <c:v>74.761166454202154</c:v>
                </c:pt>
                <c:pt idx="82">
                  <c:v>74.592205621951635</c:v>
                </c:pt>
                <c:pt idx="83">
                  <c:v>74.423593314742106</c:v>
                </c:pt>
                <c:pt idx="84">
                  <c:v>74.255344677840412</c:v>
                </c:pt>
                <c:pt idx="85">
                  <c:v>74.087473886708494</c:v>
                </c:pt>
                <c:pt idx="86">
                  <c:v>73.919994205526706</c:v>
                </c:pt>
                <c:pt idx="87">
                  <c:v>73.752918041719923</c:v>
                </c:pt>
                <c:pt idx="88">
                  <c:v>73.586256996798767</c:v>
                </c:pt>
                <c:pt idx="89">
                  <c:v>73.4200219137999</c:v>
                </c:pt>
                <c:pt idx="90">
                  <c:v>73.25422292158531</c:v>
                </c:pt>
                <c:pt idx="91">
                  <c:v>73.088869476237548</c:v>
                </c:pt>
                <c:pt idx="92">
                  <c:v>72.923970399768436</c:v>
                </c:pt>
                <c:pt idx="93">
                  <c:v>72.759533916339393</c:v>
                </c:pt>
                <c:pt idx="94">
                  <c:v>72.595567686176082</c:v>
                </c:pt>
                <c:pt idx="95">
                  <c:v>72.43207883734442</c:v>
                </c:pt>
                <c:pt idx="96">
                  <c:v>72.269073995541007</c:v>
                </c:pt>
                <c:pt idx="97">
                  <c:v>72.106559312039721</c:v>
                </c:pt>
                <c:pt idx="98">
                  <c:v>71.944540489923625</c:v>
                </c:pt>
                <c:pt idx="99">
                  <c:v>71.78302280872208</c:v>
                </c:pt>
                <c:pt idx="100">
                  <c:v>71.62201114756293</c:v>
                </c:pt>
                <c:pt idx="101">
                  <c:v>71.461510006941225</c:v>
                </c:pt>
                <c:pt idx="102">
                  <c:v>71.301523529198647</c:v>
                </c:pt>
                <c:pt idx="103">
                  <c:v>71.142055517799236</c:v>
                </c:pt>
                <c:pt idx="104">
                  <c:v>70.983109455482804</c:v>
                </c:pt>
                <c:pt idx="105">
                  <c:v>70.824688521368557</c:v>
                </c:pt>
                <c:pt idx="106">
                  <c:v>70.666795607078583</c:v>
                </c:pt>
                <c:pt idx="107">
                  <c:v>70.50943333194418</c:v>
                </c:pt>
                <c:pt idx="108">
                  <c:v>70.352604057353915</c:v>
                </c:pt>
                <c:pt idx="109">
                  <c:v>70.196309900298075</c:v>
                </c:pt>
                <c:pt idx="110">
                  <c:v>70.04055274616023</c:v>
                </c:pt>
                <c:pt idx="111">
                  <c:v>69.885334260802978</c:v>
                </c:pt>
                <c:pt idx="112">
                  <c:v>69.730655901991582</c:v>
                </c:pt>
                <c:pt idx="113">
                  <c:v>69.576518930196343</c:v>
                </c:pt>
                <c:pt idx="114">
                  <c:v>69.422924418811547</c:v>
                </c:pt>
                <c:pt idx="115">
                  <c:v>69.269873263826355</c:v>
                </c:pt>
                <c:pt idx="116">
                  <c:v>69.117366192980384</c:v>
                </c:pt>
                <c:pt idx="117">
                  <c:v>68.965403774434975</c:v>
                </c:pt>
                <c:pt idx="118">
                  <c:v>68.813986424988443</c:v>
                </c:pt>
                <c:pt idx="119">
                  <c:v>68.663114417862189</c:v>
                </c:pt>
                <c:pt idx="120">
                  <c:v>68.512787890082834</c:v>
                </c:pt>
                <c:pt idx="121">
                  <c:v>68.363006849483384</c:v>
                </c:pt>
                <c:pt idx="122">
                  <c:v>68.213771181345365</c:v>
                </c:pt>
                <c:pt idx="123">
                  <c:v>68.065080654702641</c:v>
                </c:pt>
                <c:pt idx="124">
                  <c:v>67.916934928325645</c:v>
                </c:pt>
                <c:pt idx="125">
                  <c:v>67.769333556404035</c:v>
                </c:pt>
                <c:pt idx="126">
                  <c:v>67.622275993944811</c:v>
                </c:pt>
                <c:pt idx="127">
                  <c:v>67.475761601901354</c:v>
                </c:pt>
                <c:pt idx="128">
                  <c:v>67.329789652048206</c:v>
                </c:pt>
                <c:pt idx="129">
                  <c:v>67.184359331615639</c:v>
                </c:pt>
                <c:pt idx="130">
                  <c:v>67.039469747696756</c:v>
                </c:pt>
                <c:pt idx="131">
                  <c:v>66.895119931439567</c:v>
                </c:pt>
                <c:pt idx="132">
                  <c:v>66.751308842035527</c:v>
                </c:pt>
                <c:pt idx="133">
                  <c:v>66.608035370514941</c:v>
                </c:pt>
                <c:pt idx="134">
                  <c:v>66.465298343360246</c:v>
                </c:pt>
                <c:pt idx="135">
                  <c:v>66.323096525945815</c:v>
                </c:pt>
                <c:pt idx="136">
                  <c:v>66.181428625813822</c:v>
                </c:pt>
                <c:pt idx="137">
                  <c:v>66.04029329579464</c:v>
                </c:pt>
                <c:pt idx="138">
                  <c:v>65.899689136979575</c:v>
                </c:pt>
                <c:pt idx="139">
                  <c:v>65.759614701553588</c:v>
                </c:pt>
                <c:pt idx="140">
                  <c:v>65.620068495495048</c:v>
                </c:pt>
                <c:pt idx="141">
                  <c:v>65.481048981149399</c:v>
                </c:pt>
                <c:pt idx="142">
                  <c:v>65.342554579682925</c:v>
                </c:pt>
                <c:pt idx="143">
                  <c:v>65.204583673422491</c:v>
                </c:pt>
                <c:pt idx="144">
                  <c:v>65.067134608087215</c:v>
                </c:pt>
                <c:pt idx="145">
                  <c:v>64.930205694917191</c:v>
                </c:pt>
                <c:pt idx="146">
                  <c:v>64.793795212704254</c:v>
                </c:pt>
                <c:pt idx="147">
                  <c:v>64.657901409729845</c:v>
                </c:pt>
                <c:pt idx="148">
                  <c:v>64.522522505614134</c:v>
                </c:pt>
                <c:pt idx="149">
                  <c:v>64.387656693080999</c:v>
                </c:pt>
                <c:pt idx="150">
                  <c:v>64.25330213964267</c:v>
                </c:pt>
              </c:numCache>
            </c:numRef>
          </c:yVal>
          <c:smooth val="0"/>
          <c:extLst>
            <c:ext xmlns:c16="http://schemas.microsoft.com/office/drawing/2014/chart" uri="{C3380CC4-5D6E-409C-BE32-E72D297353CC}">
              <c16:uniqueId val="{00000000-53D1-4006-8366-E2C9DA64EC11}"/>
            </c:ext>
          </c:extLst>
        </c:ser>
        <c:dLbls>
          <c:showLegendKey val="0"/>
          <c:showVal val="0"/>
          <c:showCatName val="0"/>
          <c:showSerName val="0"/>
          <c:showPercent val="0"/>
          <c:showBubbleSize val="0"/>
        </c:dLbls>
        <c:axId val="586473472"/>
        <c:axId val="586475008"/>
      </c:scatterChart>
      <c:scatterChart>
        <c:scatterStyle val="smoothMarker"/>
        <c:varyColors val="0"/>
        <c:ser>
          <c:idx val="1"/>
          <c:order val="1"/>
          <c:tx>
            <c:v>MOSFET</c:v>
          </c:tx>
          <c:spPr>
            <a:ln>
              <a:solidFill>
                <a:schemeClr val="tx2">
                  <a:lumMod val="75000"/>
                </a:schemeClr>
              </a:solidFill>
              <a:prstDash val="dashDot"/>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Eff_vs_IOUT!$AJ$7:$AJ$157</c:f>
              <c:numCache>
                <c:formatCode>General</c:formatCode>
                <c:ptCount val="151"/>
                <c:pt idx="0">
                  <c:v>0</c:v>
                </c:pt>
                <c:pt idx="1">
                  <c:v>5.4618288037103484E-3</c:v>
                </c:pt>
                <c:pt idx="2">
                  <c:v>1.1205673851048672E-2</c:v>
                </c:pt>
                <c:pt idx="3">
                  <c:v>1.7988018168847937E-2</c:v>
                </c:pt>
                <c:pt idx="4">
                  <c:v>2.5694332592206354E-2</c:v>
                </c:pt>
                <c:pt idx="5">
                  <c:v>3.4231842712920312E-2</c:v>
                </c:pt>
                <c:pt idx="6">
                  <c:v>4.3529207689206671E-2</c:v>
                </c:pt>
                <c:pt idx="7">
                  <c:v>5.3530173424532618E-2</c:v>
                </c:pt>
                <c:pt idx="8">
                  <c:v>6.4189125479875112E-2</c:v>
                </c:pt>
                <c:pt idx="9">
                  <c:v>7.5468186350273664E-2</c:v>
                </c:pt>
                <c:pt idx="10">
                  <c:v>8.7335282504630837E-2</c:v>
                </c:pt>
                <c:pt idx="11">
                  <c:v>9.976281485243374E-2</c:v>
                </c:pt>
                <c:pt idx="12">
                  <c:v>0.11272671494490211</c:v>
                </c:pt>
                <c:pt idx="13">
                  <c:v>0.12620575587129973</c:v>
                </c:pt>
                <c:pt idx="14">
                  <c:v>0.14018103661169484</c:v>
                </c:pt>
                <c:pt idx="15">
                  <c:v>0.15463558786267997</c:v>
                </c:pt>
                <c:pt idx="16">
                  <c:v>0.16955406506269799</c:v>
                </c:pt>
                <c:pt idx="17">
                  <c:v>0.18492250539724489</c:v>
                </c:pt>
                <c:pt idx="18">
                  <c:v>0.20072813266425713</c:v>
                </c:pt>
                <c:pt idx="19">
                  <c:v>0.21695919856198775</c:v>
                </c:pt>
                <c:pt idx="20">
                  <c:v>0.23360485212352272</c:v>
                </c:pt>
                <c:pt idx="21">
                  <c:v>0.25065503120379601</c:v>
                </c:pt>
                <c:pt idx="22">
                  <c:v>0.26810037145991977</c:v>
                </c:pt>
                <c:pt idx="23">
                  <c:v>0.28593212936479107</c:v>
                </c:pt>
                <c:pt idx="24">
                  <c:v>0.3041421165937126</c:v>
                </c:pt>
                <c:pt idx="25">
                  <c:v>0.32272264371426496</c:v>
                </c:pt>
                <c:pt idx="26">
                  <c:v>0.34166647155151741</c:v>
                </c:pt>
                <c:pt idx="27">
                  <c:v>0.36096676893536878</c:v>
                </c:pt>
                <c:pt idx="28">
                  <c:v>0.38061707579320458</c:v>
                </c:pt>
                <c:pt idx="29">
                  <c:v>0.40061127074955311</c:v>
                </c:pt>
                <c:pt idx="30">
                  <c:v>0.42094354254954797</c:v>
                </c:pt>
                <c:pt idx="31">
                  <c:v>0.44160836474534948</c:v>
                </c:pt>
                <c:pt idx="32">
                  <c:v>0.46260047318197239</c:v>
                </c:pt>
                <c:pt idx="33">
                  <c:v>0.48391484589693118</c:v>
                </c:pt>
                <c:pt idx="34">
                  <c:v>0.5055466851110556</c:v>
                </c:pt>
                <c:pt idx="35">
                  <c:v>0.52749140103899428</c:v>
                </c:pt>
                <c:pt idx="36">
                  <c:v>0.54974459728976022</c:v>
                </c:pt>
                <c:pt idx="37">
                  <c:v>0.5723020576621175</c:v>
                </c:pt>
                <c:pt idx="38">
                  <c:v>0.5951597341680952</c:v>
                </c:pt>
                <c:pt idx="39">
                  <c:v>0.61831373614163754</c:v>
                </c:pt>
                <c:pt idx="40">
                  <c:v>0.6417603203092177</c:v>
                </c:pt>
                <c:pt idx="41">
                  <c:v>0.66549588171590757</c:v>
                </c:pt>
                <c:pt idx="42">
                  <c:v>0.68951694541445319</c:v>
                </c:pt>
                <c:pt idx="43">
                  <c:v>0.71385316477143634</c:v>
                </c:pt>
                <c:pt idx="44">
                  <c:v>0.73884537754734958</c:v>
                </c:pt>
                <c:pt idx="45">
                  <c:v>0.76440159032326294</c:v>
                </c:pt>
                <c:pt idx="46">
                  <c:v>0.79052180309917663</c:v>
                </c:pt>
                <c:pt idx="47">
                  <c:v>0.81720601587508968</c:v>
                </c:pt>
                <c:pt idx="48">
                  <c:v>0.84445422865100284</c:v>
                </c:pt>
                <c:pt idx="49">
                  <c:v>0.87226644142691612</c:v>
                </c:pt>
                <c:pt idx="50">
                  <c:v>0.90064265420282941</c:v>
                </c:pt>
                <c:pt idx="51">
                  <c:v>0.92958286697874248</c:v>
                </c:pt>
                <c:pt idx="52">
                  <c:v>0.9590870797546559</c:v>
                </c:pt>
                <c:pt idx="53">
                  <c:v>0.98915529253056922</c:v>
                </c:pt>
                <c:pt idx="54">
                  <c:v>1.019787505306482</c:v>
                </c:pt>
                <c:pt idx="55">
                  <c:v>1.0509837180823955</c:v>
                </c:pt>
                <c:pt idx="56">
                  <c:v>1.0827439308583089</c:v>
                </c:pt>
                <c:pt idx="57">
                  <c:v>1.1150681436342222</c:v>
                </c:pt>
                <c:pt idx="58">
                  <c:v>1.1479563564101356</c:v>
                </c:pt>
                <c:pt idx="59">
                  <c:v>1.1814085691860496</c:v>
                </c:pt>
                <c:pt idx="60">
                  <c:v>1.2154247819619619</c:v>
                </c:pt>
                <c:pt idx="61">
                  <c:v>1.2500049947378746</c:v>
                </c:pt>
                <c:pt idx="62">
                  <c:v>1.2851492075137887</c:v>
                </c:pt>
                <c:pt idx="63">
                  <c:v>1.3208574202897019</c:v>
                </c:pt>
                <c:pt idx="64">
                  <c:v>1.3571296330656155</c:v>
                </c:pt>
                <c:pt idx="65">
                  <c:v>1.3939658458415281</c:v>
                </c:pt>
                <c:pt idx="66">
                  <c:v>1.431366058617441</c:v>
                </c:pt>
                <c:pt idx="67">
                  <c:v>1.4693302713933549</c:v>
                </c:pt>
                <c:pt idx="68">
                  <c:v>1.5078584841692684</c:v>
                </c:pt>
                <c:pt idx="69">
                  <c:v>1.5469506969451807</c:v>
                </c:pt>
                <c:pt idx="70">
                  <c:v>1.5866069097210942</c:v>
                </c:pt>
                <c:pt idx="71">
                  <c:v>1.6268271224970077</c:v>
                </c:pt>
                <c:pt idx="72">
                  <c:v>1.6676113352729212</c:v>
                </c:pt>
                <c:pt idx="73">
                  <c:v>1.7089595480488335</c:v>
                </c:pt>
                <c:pt idx="74">
                  <c:v>1.7508717608247484</c:v>
                </c:pt>
                <c:pt idx="75">
                  <c:v>1.7933479736006606</c:v>
                </c:pt>
                <c:pt idx="76">
                  <c:v>1.8363881863765732</c:v>
                </c:pt>
                <c:pt idx="77">
                  <c:v>1.8799923991524881</c:v>
                </c:pt>
                <c:pt idx="78">
                  <c:v>1.9241606119284</c:v>
                </c:pt>
                <c:pt idx="79">
                  <c:v>1.9688928247043147</c:v>
                </c:pt>
                <c:pt idx="80">
                  <c:v>2.0141890374802265</c:v>
                </c:pt>
                <c:pt idx="81">
                  <c:v>2.0600492502561401</c:v>
                </c:pt>
                <c:pt idx="82">
                  <c:v>2.106473463032053</c:v>
                </c:pt>
                <c:pt idx="83">
                  <c:v>2.153461675807967</c:v>
                </c:pt>
                <c:pt idx="84">
                  <c:v>2.2010138885838799</c:v>
                </c:pt>
                <c:pt idx="85">
                  <c:v>2.2491301013597935</c:v>
                </c:pt>
                <c:pt idx="86">
                  <c:v>2.2978103141357069</c:v>
                </c:pt>
                <c:pt idx="87">
                  <c:v>2.3470545269116205</c:v>
                </c:pt>
                <c:pt idx="88">
                  <c:v>2.3968627396875335</c:v>
                </c:pt>
                <c:pt idx="89">
                  <c:v>2.4472349524634462</c:v>
                </c:pt>
                <c:pt idx="90">
                  <c:v>2.4981711652393601</c:v>
                </c:pt>
                <c:pt idx="91">
                  <c:v>2.5496713780152724</c:v>
                </c:pt>
                <c:pt idx="92">
                  <c:v>2.6017355907911872</c:v>
                </c:pt>
                <c:pt idx="93">
                  <c:v>2.6543638035670987</c:v>
                </c:pt>
                <c:pt idx="94">
                  <c:v>2.7075560163430135</c:v>
                </c:pt>
                <c:pt idx="95">
                  <c:v>2.7613122291189254</c:v>
                </c:pt>
                <c:pt idx="96">
                  <c:v>2.8156324418948393</c:v>
                </c:pt>
                <c:pt idx="97">
                  <c:v>2.8705166546707517</c:v>
                </c:pt>
                <c:pt idx="98">
                  <c:v>2.9259648674466661</c:v>
                </c:pt>
                <c:pt idx="99">
                  <c:v>2.9819770802225802</c:v>
                </c:pt>
                <c:pt idx="100">
                  <c:v>3.0385532929984924</c:v>
                </c:pt>
                <c:pt idx="101">
                  <c:v>3.0956935057744057</c:v>
                </c:pt>
                <c:pt idx="102">
                  <c:v>3.1533977185503179</c:v>
                </c:pt>
                <c:pt idx="103">
                  <c:v>3.2116659313262326</c:v>
                </c:pt>
                <c:pt idx="104">
                  <c:v>3.2704981441021461</c:v>
                </c:pt>
                <c:pt idx="105">
                  <c:v>3.3298943568780586</c:v>
                </c:pt>
                <c:pt idx="106">
                  <c:v>3.3898545696539713</c:v>
                </c:pt>
                <c:pt idx="107">
                  <c:v>3.4503787824298859</c:v>
                </c:pt>
                <c:pt idx="108">
                  <c:v>3.5114669952057986</c:v>
                </c:pt>
                <c:pt idx="109">
                  <c:v>3.5731192079817116</c:v>
                </c:pt>
                <c:pt idx="110">
                  <c:v>3.6353354207576243</c:v>
                </c:pt>
                <c:pt idx="111">
                  <c:v>3.698115633533539</c:v>
                </c:pt>
                <c:pt idx="112">
                  <c:v>3.7614598463094513</c:v>
                </c:pt>
                <c:pt idx="113">
                  <c:v>3.8253680590853638</c:v>
                </c:pt>
                <c:pt idx="114">
                  <c:v>3.8898402718612788</c:v>
                </c:pt>
                <c:pt idx="115">
                  <c:v>3.9548764846371891</c:v>
                </c:pt>
                <c:pt idx="116">
                  <c:v>4.0204766974131045</c:v>
                </c:pt>
                <c:pt idx="117">
                  <c:v>4.0866409101890175</c:v>
                </c:pt>
                <c:pt idx="118">
                  <c:v>4.1533691229649321</c:v>
                </c:pt>
                <c:pt idx="119">
                  <c:v>4.220661335740842</c:v>
                </c:pt>
                <c:pt idx="120">
                  <c:v>4.2885175485167579</c:v>
                </c:pt>
                <c:pt idx="121">
                  <c:v>4.3569377612926692</c:v>
                </c:pt>
                <c:pt idx="122">
                  <c:v>4.4259219740685802</c:v>
                </c:pt>
                <c:pt idx="123">
                  <c:v>4.4954701868444955</c:v>
                </c:pt>
                <c:pt idx="124">
                  <c:v>4.5655823996204097</c:v>
                </c:pt>
                <c:pt idx="125">
                  <c:v>4.6362586123963228</c:v>
                </c:pt>
                <c:pt idx="126">
                  <c:v>4.7074988251722347</c:v>
                </c:pt>
                <c:pt idx="127">
                  <c:v>4.7793030379481491</c:v>
                </c:pt>
                <c:pt idx="128">
                  <c:v>4.8516712507240625</c:v>
                </c:pt>
                <c:pt idx="129">
                  <c:v>4.9246034634999756</c:v>
                </c:pt>
                <c:pt idx="130">
                  <c:v>4.9980996762758867</c:v>
                </c:pt>
                <c:pt idx="131">
                  <c:v>5.0721598890518038</c:v>
                </c:pt>
                <c:pt idx="132">
                  <c:v>5.1467841018277145</c:v>
                </c:pt>
                <c:pt idx="133">
                  <c:v>5.2219723146036312</c:v>
                </c:pt>
                <c:pt idx="134">
                  <c:v>5.2977245273795424</c:v>
                </c:pt>
                <c:pt idx="135">
                  <c:v>5.3740407401554542</c:v>
                </c:pt>
                <c:pt idx="136">
                  <c:v>5.4509209529313676</c:v>
                </c:pt>
                <c:pt idx="137">
                  <c:v>5.5283651657072834</c:v>
                </c:pt>
                <c:pt idx="138">
                  <c:v>5.6063733784831955</c:v>
                </c:pt>
                <c:pt idx="139">
                  <c:v>5.6849455912591074</c:v>
                </c:pt>
                <c:pt idx="140">
                  <c:v>5.7640818040350208</c:v>
                </c:pt>
                <c:pt idx="141">
                  <c:v>5.8437820168109358</c:v>
                </c:pt>
                <c:pt idx="142">
                  <c:v>5.9240462295868497</c:v>
                </c:pt>
                <c:pt idx="143">
                  <c:v>6.0048744423627616</c:v>
                </c:pt>
                <c:pt idx="144">
                  <c:v>6.0862666551386759</c:v>
                </c:pt>
                <c:pt idx="145">
                  <c:v>6.1682228679145874</c:v>
                </c:pt>
                <c:pt idx="146">
                  <c:v>6.2507430806905022</c:v>
                </c:pt>
                <c:pt idx="147">
                  <c:v>6.3338272934664133</c:v>
                </c:pt>
                <c:pt idx="148">
                  <c:v>6.4174755062423294</c:v>
                </c:pt>
                <c:pt idx="149">
                  <c:v>6.5016877190182418</c:v>
                </c:pt>
                <c:pt idx="150">
                  <c:v>6.5864639317941522</c:v>
                </c:pt>
              </c:numCache>
            </c:numRef>
          </c:yVal>
          <c:smooth val="1"/>
          <c:extLst>
            <c:ext xmlns:c16="http://schemas.microsoft.com/office/drawing/2014/chart" uri="{C3380CC4-5D6E-409C-BE32-E72D297353CC}">
              <c16:uniqueId val="{00000001-53D1-4006-8366-E2C9DA64EC11}"/>
            </c:ext>
          </c:extLst>
        </c:ser>
        <c:ser>
          <c:idx val="3"/>
          <c:order val="2"/>
          <c:tx>
            <c:v>RS</c:v>
          </c:tx>
          <c:spPr>
            <a:ln>
              <a:solidFill>
                <a:schemeClr val="accent5">
                  <a:lumMod val="75000"/>
                </a:schemeClr>
              </a:solidFill>
              <a:prstDash val="lgDashDotDot"/>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Eff_vs_IOUT!$BU$7:$BU$157</c:f>
              <c:numCache>
                <c:formatCode>General</c:formatCode>
                <c:ptCount val="151"/>
                <c:pt idx="0">
                  <c:v>0</c:v>
                </c:pt>
                <c:pt idx="1">
                  <c:v>4.1902624070313919E-5</c:v>
                </c:pt>
                <c:pt idx="2">
                  <c:v>1.1851851851851848E-4</c:v>
                </c:pt>
                <c:pt idx="3">
                  <c:v>2.1773242158072689E-4</c:v>
                </c:pt>
                <c:pt idx="4">
                  <c:v>3.3522099256251135E-4</c:v>
                </c:pt>
                <c:pt idx="5">
                  <c:v>4.6848557928420447E-4</c:v>
                </c:pt>
                <c:pt idx="6">
                  <c:v>6.1584028713560065E-4</c:v>
                </c:pt>
                <c:pt idx="7">
                  <c:v>7.7604745799755826E-4</c:v>
                </c:pt>
                <c:pt idx="8">
                  <c:v>9.4814814814814794E-4</c:v>
                </c:pt>
                <c:pt idx="9">
                  <c:v>1.1313708498984758E-3</c:v>
                </c:pt>
                <c:pt idx="10">
                  <c:v>1.3250773199998756E-3</c:v>
                </c:pt>
                <c:pt idx="11">
                  <c:v>1.5287280994980067E-3</c:v>
                </c:pt>
                <c:pt idx="12">
                  <c:v>1.7418593726458151E-3</c:v>
                </c:pt>
                <c:pt idx="13">
                  <c:v>1.9640667756061088E-3</c:v>
                </c:pt>
                <c:pt idx="14">
                  <c:v>2.1949936802906221E-3</c:v>
                </c:pt>
                <c:pt idx="15">
                  <c:v>2.4343224778007378E-3</c:v>
                </c:pt>
                <c:pt idx="16">
                  <c:v>2.6817679405000908E-3</c:v>
                </c:pt>
                <c:pt idx="17">
                  <c:v>2.9370720655517071E-3</c:v>
                </c:pt>
                <c:pt idx="18">
                  <c:v>3.1999999999999997E-3</c:v>
                </c:pt>
                <c:pt idx="19">
                  <c:v>3.4703367720417956E-3</c:v>
                </c:pt>
                <c:pt idx="20">
                  <c:v>3.7478846342736357E-3</c:v>
                </c:pt>
                <c:pt idx="21">
                  <c:v>4.0324608790093339E-3</c:v>
                </c:pt>
                <c:pt idx="22">
                  <c:v>4.3238960229818532E-3</c:v>
                </c:pt>
                <c:pt idx="23">
                  <c:v>4.6220322847964797E-3</c:v>
                </c:pt>
                <c:pt idx="24">
                  <c:v>4.9267222970848052E-3</c:v>
                </c:pt>
                <c:pt idx="25">
                  <c:v>5.237828008789241E-3</c:v>
                </c:pt>
                <c:pt idx="26">
                  <c:v>5.5552197429371069E-3</c:v>
                </c:pt>
                <c:pt idx="27">
                  <c:v>5.8787753826796268E-3</c:v>
                </c:pt>
                <c:pt idx="28">
                  <c:v>6.2083796639804661E-3</c:v>
                </c:pt>
                <c:pt idx="29">
                  <c:v>6.5439235576312087E-3</c:v>
                </c:pt>
                <c:pt idx="30">
                  <c:v>6.8853037265909642E-3</c:v>
                </c:pt>
                <c:pt idx="31">
                  <c:v>7.2324220472404794E-3</c:v>
                </c:pt>
                <c:pt idx="32">
                  <c:v>7.5851851851851827E-3</c:v>
                </c:pt>
                <c:pt idx="33">
                  <c:v>7.9435042178662707E-3</c:v>
                </c:pt>
                <c:pt idx="34">
                  <c:v>8.3072942975407679E-3</c:v>
                </c:pt>
                <c:pt idx="35">
                  <c:v>8.6764743492422688E-3</c:v>
                </c:pt>
                <c:pt idx="36">
                  <c:v>9.0509667991878085E-3</c:v>
                </c:pt>
                <c:pt idx="37">
                  <c:v>9.4306973297948807E-3</c:v>
                </c:pt>
                <c:pt idx="38">
                  <c:v>9.8155946580471467E-3</c:v>
                </c:pt>
                <c:pt idx="39">
                  <c:v>1.020559033442329E-2</c:v>
                </c:pt>
                <c:pt idx="40">
                  <c:v>1.0600618559999003E-2</c:v>
                </c:pt>
                <c:pt idx="41">
                  <c:v>1.1000616019663234E-2</c:v>
                </c:pt>
                <c:pt idx="42">
                  <c:v>1.1405521729667866E-2</c:v>
                </c:pt>
                <c:pt idx="43">
                  <c:v>1.1815319411185809E-2</c:v>
                </c:pt>
                <c:pt idx="44">
                  <c:v>1.2232919411185808E-2</c:v>
                </c:pt>
                <c:pt idx="45">
                  <c:v>1.266011941118581E-2</c:v>
                </c:pt>
                <c:pt idx="46">
                  <c:v>1.3096919411185817E-2</c:v>
                </c:pt>
                <c:pt idx="47">
                  <c:v>1.3543319411185814E-2</c:v>
                </c:pt>
                <c:pt idx="48">
                  <c:v>1.3999319411185812E-2</c:v>
                </c:pt>
                <c:pt idx="49">
                  <c:v>1.4464919411185813E-2</c:v>
                </c:pt>
                <c:pt idx="50">
                  <c:v>1.4940119411185815E-2</c:v>
                </c:pt>
                <c:pt idx="51">
                  <c:v>1.542491941118581E-2</c:v>
                </c:pt>
                <c:pt idx="52">
                  <c:v>1.5919319411185812E-2</c:v>
                </c:pt>
                <c:pt idx="53">
                  <c:v>1.6423319411185817E-2</c:v>
                </c:pt>
                <c:pt idx="54">
                  <c:v>1.6936919411185806E-2</c:v>
                </c:pt>
                <c:pt idx="55">
                  <c:v>1.7460119411185811E-2</c:v>
                </c:pt>
                <c:pt idx="56">
                  <c:v>1.7992919411185814E-2</c:v>
                </c:pt>
                <c:pt idx="57">
                  <c:v>1.8535319411185813E-2</c:v>
                </c:pt>
                <c:pt idx="58">
                  <c:v>1.9087319411185813E-2</c:v>
                </c:pt>
                <c:pt idx="59">
                  <c:v>1.9648919411185829E-2</c:v>
                </c:pt>
                <c:pt idx="60">
                  <c:v>2.0220119411185809E-2</c:v>
                </c:pt>
                <c:pt idx="61">
                  <c:v>2.0800919411185802E-2</c:v>
                </c:pt>
                <c:pt idx="62">
                  <c:v>2.139131941118582E-2</c:v>
                </c:pt>
                <c:pt idx="63">
                  <c:v>2.1991319411185813E-2</c:v>
                </c:pt>
                <c:pt idx="64">
                  <c:v>2.2600919411185822E-2</c:v>
                </c:pt>
                <c:pt idx="65">
                  <c:v>2.3220119411185808E-2</c:v>
                </c:pt>
                <c:pt idx="66">
                  <c:v>2.3848919411185804E-2</c:v>
                </c:pt>
                <c:pt idx="67">
                  <c:v>2.4487319411185815E-2</c:v>
                </c:pt>
                <c:pt idx="68">
                  <c:v>2.5135319411185818E-2</c:v>
                </c:pt>
                <c:pt idx="69">
                  <c:v>2.5792919411185805E-2</c:v>
                </c:pt>
                <c:pt idx="70">
                  <c:v>2.6460119411185808E-2</c:v>
                </c:pt>
                <c:pt idx="71">
                  <c:v>2.7136919411185813E-2</c:v>
                </c:pt>
                <c:pt idx="72">
                  <c:v>2.7823319411185814E-2</c:v>
                </c:pt>
                <c:pt idx="73">
                  <c:v>2.8519319411185802E-2</c:v>
                </c:pt>
                <c:pt idx="74">
                  <c:v>2.9224919411185827E-2</c:v>
                </c:pt>
                <c:pt idx="75">
                  <c:v>2.9940119411185809E-2</c:v>
                </c:pt>
                <c:pt idx="76">
                  <c:v>3.0664919411185796E-2</c:v>
                </c:pt>
                <c:pt idx="77">
                  <c:v>3.1399319411185823E-2</c:v>
                </c:pt>
                <c:pt idx="78">
                  <c:v>3.2143319411185797E-2</c:v>
                </c:pt>
                <c:pt idx="79">
                  <c:v>3.2896919411185825E-2</c:v>
                </c:pt>
                <c:pt idx="80">
                  <c:v>3.3660119411185803E-2</c:v>
                </c:pt>
                <c:pt idx="81">
                  <c:v>3.4432919411185807E-2</c:v>
                </c:pt>
                <c:pt idx="82">
                  <c:v>3.5215319411185803E-2</c:v>
                </c:pt>
                <c:pt idx="83">
                  <c:v>3.6007319411185811E-2</c:v>
                </c:pt>
                <c:pt idx="84">
                  <c:v>3.680891941118581E-2</c:v>
                </c:pt>
                <c:pt idx="85">
                  <c:v>3.7620119411185815E-2</c:v>
                </c:pt>
                <c:pt idx="86">
                  <c:v>3.8440919411185819E-2</c:v>
                </c:pt>
                <c:pt idx="87">
                  <c:v>3.9271319411185827E-2</c:v>
                </c:pt>
                <c:pt idx="88">
                  <c:v>4.0111319411185821E-2</c:v>
                </c:pt>
                <c:pt idx="89">
                  <c:v>4.0960919411185806E-2</c:v>
                </c:pt>
                <c:pt idx="90">
                  <c:v>4.1820119411185824E-2</c:v>
                </c:pt>
                <c:pt idx="91">
                  <c:v>4.2688919411185799E-2</c:v>
                </c:pt>
                <c:pt idx="92">
                  <c:v>4.3567319411185829E-2</c:v>
                </c:pt>
                <c:pt idx="93">
                  <c:v>4.4455319411185808E-2</c:v>
                </c:pt>
                <c:pt idx="94">
                  <c:v>4.5352919411185827E-2</c:v>
                </c:pt>
                <c:pt idx="95">
                  <c:v>4.6260119411185796E-2</c:v>
                </c:pt>
                <c:pt idx="96">
                  <c:v>4.7176919411185812E-2</c:v>
                </c:pt>
                <c:pt idx="97">
                  <c:v>4.8103319411185799E-2</c:v>
                </c:pt>
                <c:pt idx="98">
                  <c:v>4.9039319411185819E-2</c:v>
                </c:pt>
                <c:pt idx="99">
                  <c:v>4.9984919411185831E-2</c:v>
                </c:pt>
                <c:pt idx="100">
                  <c:v>5.094011941118582E-2</c:v>
                </c:pt>
                <c:pt idx="101">
                  <c:v>5.1904919411185815E-2</c:v>
                </c:pt>
                <c:pt idx="102">
                  <c:v>5.2879319411185788E-2</c:v>
                </c:pt>
                <c:pt idx="103">
                  <c:v>5.3863319411185821E-2</c:v>
                </c:pt>
                <c:pt idx="104">
                  <c:v>5.4856919411185825E-2</c:v>
                </c:pt>
                <c:pt idx="105">
                  <c:v>5.5860119411185807E-2</c:v>
                </c:pt>
                <c:pt idx="106">
                  <c:v>5.6872919411185809E-2</c:v>
                </c:pt>
                <c:pt idx="107">
                  <c:v>5.7895319411185822E-2</c:v>
                </c:pt>
                <c:pt idx="108">
                  <c:v>5.8927319411185813E-2</c:v>
                </c:pt>
                <c:pt idx="109">
                  <c:v>5.9968919411185817E-2</c:v>
                </c:pt>
                <c:pt idx="110">
                  <c:v>6.1020119411185805E-2</c:v>
                </c:pt>
                <c:pt idx="111">
                  <c:v>6.2080919411185827E-2</c:v>
                </c:pt>
                <c:pt idx="112">
                  <c:v>6.3151319411185805E-2</c:v>
                </c:pt>
                <c:pt idx="113">
                  <c:v>6.4231319411185789E-2</c:v>
                </c:pt>
                <c:pt idx="114">
                  <c:v>6.5320919411185827E-2</c:v>
                </c:pt>
                <c:pt idx="115">
                  <c:v>6.642011941118578E-2</c:v>
                </c:pt>
                <c:pt idx="116">
                  <c:v>6.7528919411185814E-2</c:v>
                </c:pt>
                <c:pt idx="117">
                  <c:v>6.8647319411185806E-2</c:v>
                </c:pt>
                <c:pt idx="118">
                  <c:v>6.9775319411185824E-2</c:v>
                </c:pt>
                <c:pt idx="119">
                  <c:v>7.0912919411185785E-2</c:v>
                </c:pt>
                <c:pt idx="120">
                  <c:v>7.2060119411185827E-2</c:v>
                </c:pt>
                <c:pt idx="121">
                  <c:v>7.3216919411185785E-2</c:v>
                </c:pt>
                <c:pt idx="122">
                  <c:v>7.4383319411185755E-2</c:v>
                </c:pt>
                <c:pt idx="123">
                  <c:v>7.555931941118578E-2</c:v>
                </c:pt>
                <c:pt idx="124">
                  <c:v>7.6744919411185789E-2</c:v>
                </c:pt>
                <c:pt idx="125">
                  <c:v>7.794011941118581E-2</c:v>
                </c:pt>
                <c:pt idx="126">
                  <c:v>7.9144919411185788E-2</c:v>
                </c:pt>
                <c:pt idx="127">
                  <c:v>8.0359319411185792E-2</c:v>
                </c:pt>
                <c:pt idx="128">
                  <c:v>8.1583319411185795E-2</c:v>
                </c:pt>
                <c:pt idx="129">
                  <c:v>8.2816919411185796E-2</c:v>
                </c:pt>
                <c:pt idx="130">
                  <c:v>8.4060119411185755E-2</c:v>
                </c:pt>
                <c:pt idx="131">
                  <c:v>8.5312919411185822E-2</c:v>
                </c:pt>
                <c:pt idx="132">
                  <c:v>8.6575319411185778E-2</c:v>
                </c:pt>
                <c:pt idx="133">
                  <c:v>8.7847319411185842E-2</c:v>
                </c:pt>
                <c:pt idx="134">
                  <c:v>8.9128919411185795E-2</c:v>
                </c:pt>
                <c:pt idx="135">
                  <c:v>9.0420119411185773E-2</c:v>
                </c:pt>
                <c:pt idx="136">
                  <c:v>9.1720919411185778E-2</c:v>
                </c:pt>
                <c:pt idx="137">
                  <c:v>9.3031319411185809E-2</c:v>
                </c:pt>
                <c:pt idx="138">
                  <c:v>9.4351319411185797E-2</c:v>
                </c:pt>
                <c:pt idx="139">
                  <c:v>9.5680919411185783E-2</c:v>
                </c:pt>
                <c:pt idx="140">
                  <c:v>9.7020119411185782E-2</c:v>
                </c:pt>
                <c:pt idx="141">
                  <c:v>9.8368919411185807E-2</c:v>
                </c:pt>
                <c:pt idx="142">
                  <c:v>9.9727319411185816E-2</c:v>
                </c:pt>
                <c:pt idx="143">
                  <c:v>0.10109531941118578</c:v>
                </c:pt>
                <c:pt idx="144">
                  <c:v>0.10247291941118582</c:v>
                </c:pt>
                <c:pt idx="145">
                  <c:v>0.10386011941118579</c:v>
                </c:pt>
                <c:pt idx="146">
                  <c:v>0.10525691941118581</c:v>
                </c:pt>
                <c:pt idx="147">
                  <c:v>0.10666331941118577</c:v>
                </c:pt>
                <c:pt idx="148">
                  <c:v>0.10807931941118583</c:v>
                </c:pt>
                <c:pt idx="149">
                  <c:v>0.1095049194111858</c:v>
                </c:pt>
                <c:pt idx="150">
                  <c:v>0.11094011941118577</c:v>
                </c:pt>
              </c:numCache>
            </c:numRef>
          </c:yVal>
          <c:smooth val="1"/>
          <c:extLst>
            <c:ext xmlns:c16="http://schemas.microsoft.com/office/drawing/2014/chart" uri="{C3380CC4-5D6E-409C-BE32-E72D297353CC}">
              <c16:uniqueId val="{00000002-53D1-4006-8366-E2C9DA64EC11}"/>
            </c:ext>
          </c:extLst>
        </c:ser>
        <c:ser>
          <c:idx val="2"/>
          <c:order val="3"/>
          <c:tx>
            <c:v>D1</c:v>
          </c:tx>
          <c:spPr>
            <a:ln>
              <a:solidFill>
                <a:schemeClr val="bg2">
                  <a:lumMod val="50000"/>
                </a:schemeClr>
              </a:solidFill>
              <a:prstDash val="sysDash"/>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Eff_vs_IOUT!$AY$8:$AY$157</c:f>
              <c:numCache>
                <c:formatCode>General</c:formatCode>
                <c:ptCount val="150"/>
                <c:pt idx="0">
                  <c:v>3.8333333333333329E-4</c:v>
                </c:pt>
                <c:pt idx="1">
                  <c:v>7.6666666666666658E-4</c:v>
                </c:pt>
                <c:pt idx="2">
                  <c:v>1.15E-3</c:v>
                </c:pt>
                <c:pt idx="3">
                  <c:v>1.5333333333333332E-3</c:v>
                </c:pt>
                <c:pt idx="4">
                  <c:v>1.9166666666666666E-3</c:v>
                </c:pt>
                <c:pt idx="5">
                  <c:v>2.3E-3</c:v>
                </c:pt>
                <c:pt idx="6">
                  <c:v>2.6833333333333331E-3</c:v>
                </c:pt>
                <c:pt idx="7">
                  <c:v>3.0666666666666663E-3</c:v>
                </c:pt>
                <c:pt idx="8">
                  <c:v>3.4499999999999999E-3</c:v>
                </c:pt>
                <c:pt idx="9">
                  <c:v>3.8333333333333331E-3</c:v>
                </c:pt>
                <c:pt idx="10">
                  <c:v>4.2166666666666663E-3</c:v>
                </c:pt>
                <c:pt idx="11">
                  <c:v>4.5999999999999999E-3</c:v>
                </c:pt>
                <c:pt idx="12">
                  <c:v>4.9833333333333327E-3</c:v>
                </c:pt>
                <c:pt idx="13">
                  <c:v>5.3666666666666663E-3</c:v>
                </c:pt>
                <c:pt idx="14">
                  <c:v>5.7499999999999999E-3</c:v>
                </c:pt>
                <c:pt idx="15">
                  <c:v>6.1333333333333327E-3</c:v>
                </c:pt>
                <c:pt idx="16">
                  <c:v>6.5166666666666663E-3</c:v>
                </c:pt>
                <c:pt idx="17">
                  <c:v>6.8999999999999999E-3</c:v>
                </c:pt>
                <c:pt idx="18">
                  <c:v>7.2833333333333326E-3</c:v>
                </c:pt>
                <c:pt idx="19">
                  <c:v>7.6666666666666662E-3</c:v>
                </c:pt>
                <c:pt idx="20">
                  <c:v>8.0499999999999999E-3</c:v>
                </c:pt>
                <c:pt idx="21">
                  <c:v>8.4333333333333326E-3</c:v>
                </c:pt>
                <c:pt idx="22">
                  <c:v>8.8166666666666654E-3</c:v>
                </c:pt>
                <c:pt idx="23">
                  <c:v>9.1999999999999998E-3</c:v>
                </c:pt>
                <c:pt idx="24">
                  <c:v>9.5833333333333326E-3</c:v>
                </c:pt>
                <c:pt idx="25">
                  <c:v>9.9666666666666653E-3</c:v>
                </c:pt>
                <c:pt idx="26">
                  <c:v>1.0349999999999998E-2</c:v>
                </c:pt>
                <c:pt idx="27">
                  <c:v>1.0733333333333333E-2</c:v>
                </c:pt>
                <c:pt idx="28">
                  <c:v>1.1116666666666667E-2</c:v>
                </c:pt>
                <c:pt idx="29">
                  <c:v>1.15E-2</c:v>
                </c:pt>
                <c:pt idx="30">
                  <c:v>1.1883333333333333E-2</c:v>
                </c:pt>
                <c:pt idx="31">
                  <c:v>1.2266666666666665E-2</c:v>
                </c:pt>
                <c:pt idx="32">
                  <c:v>1.2649999999999998E-2</c:v>
                </c:pt>
                <c:pt idx="33">
                  <c:v>1.3033333333333333E-2</c:v>
                </c:pt>
                <c:pt idx="34">
                  <c:v>1.3416666666666667E-2</c:v>
                </c:pt>
                <c:pt idx="35">
                  <c:v>1.38E-2</c:v>
                </c:pt>
                <c:pt idx="36">
                  <c:v>1.4183333333333333E-2</c:v>
                </c:pt>
                <c:pt idx="37">
                  <c:v>1.4566666666666665E-2</c:v>
                </c:pt>
                <c:pt idx="38">
                  <c:v>1.4949999999999998E-2</c:v>
                </c:pt>
                <c:pt idx="39">
                  <c:v>1.5333333333333332E-2</c:v>
                </c:pt>
                <c:pt idx="40">
                  <c:v>1.5716666666666667E-2</c:v>
                </c:pt>
                <c:pt idx="41">
                  <c:v>1.61E-2</c:v>
                </c:pt>
                <c:pt idx="42">
                  <c:v>1.6483333333333332E-2</c:v>
                </c:pt>
                <c:pt idx="43">
                  <c:v>1.6866666666666665E-2</c:v>
                </c:pt>
                <c:pt idx="44">
                  <c:v>1.7249999999999998E-2</c:v>
                </c:pt>
                <c:pt idx="45">
                  <c:v>1.7633333333333331E-2</c:v>
                </c:pt>
                <c:pt idx="46">
                  <c:v>1.8016666666666663E-2</c:v>
                </c:pt>
                <c:pt idx="47">
                  <c:v>1.84E-2</c:v>
                </c:pt>
                <c:pt idx="48">
                  <c:v>1.8783333333333329E-2</c:v>
                </c:pt>
                <c:pt idx="49">
                  <c:v>1.9166666666666665E-2</c:v>
                </c:pt>
                <c:pt idx="50">
                  <c:v>1.9550000000000001E-2</c:v>
                </c:pt>
                <c:pt idx="51">
                  <c:v>1.9933333333333331E-2</c:v>
                </c:pt>
                <c:pt idx="52">
                  <c:v>2.0316666666666667E-2</c:v>
                </c:pt>
                <c:pt idx="53">
                  <c:v>2.0699999999999996E-2</c:v>
                </c:pt>
                <c:pt idx="54">
                  <c:v>2.1083333333333332E-2</c:v>
                </c:pt>
                <c:pt idx="55">
                  <c:v>2.1466666666666665E-2</c:v>
                </c:pt>
                <c:pt idx="56">
                  <c:v>2.1849999999999998E-2</c:v>
                </c:pt>
                <c:pt idx="57">
                  <c:v>2.2233333333333334E-2</c:v>
                </c:pt>
                <c:pt idx="58">
                  <c:v>2.2616666666666663E-2</c:v>
                </c:pt>
                <c:pt idx="59">
                  <c:v>2.3E-2</c:v>
                </c:pt>
                <c:pt idx="60">
                  <c:v>2.3383333333333329E-2</c:v>
                </c:pt>
                <c:pt idx="61">
                  <c:v>2.3766666666666665E-2</c:v>
                </c:pt>
                <c:pt idx="62">
                  <c:v>2.4150000000000001E-2</c:v>
                </c:pt>
                <c:pt idx="63">
                  <c:v>2.4533333333333331E-2</c:v>
                </c:pt>
                <c:pt idx="64">
                  <c:v>2.4916666666666667E-2</c:v>
                </c:pt>
                <c:pt idx="65">
                  <c:v>2.5299999999999996E-2</c:v>
                </c:pt>
                <c:pt idx="66">
                  <c:v>2.5683333333333332E-2</c:v>
                </c:pt>
                <c:pt idx="67">
                  <c:v>2.6066666666666665E-2</c:v>
                </c:pt>
                <c:pt idx="68">
                  <c:v>2.6449999999999998E-2</c:v>
                </c:pt>
                <c:pt idx="69">
                  <c:v>2.6833333333333334E-2</c:v>
                </c:pt>
                <c:pt idx="70">
                  <c:v>2.7216666666666663E-2</c:v>
                </c:pt>
                <c:pt idx="71">
                  <c:v>2.76E-2</c:v>
                </c:pt>
                <c:pt idx="72">
                  <c:v>2.7983333333333329E-2</c:v>
                </c:pt>
                <c:pt idx="73">
                  <c:v>2.8366666666666665E-2</c:v>
                </c:pt>
                <c:pt idx="74">
                  <c:v>2.8749999999999998E-2</c:v>
                </c:pt>
                <c:pt idx="75">
                  <c:v>2.9133333333333331E-2</c:v>
                </c:pt>
                <c:pt idx="76">
                  <c:v>2.9516666666666667E-2</c:v>
                </c:pt>
                <c:pt idx="77">
                  <c:v>2.9899999999999996E-2</c:v>
                </c:pt>
                <c:pt idx="78">
                  <c:v>3.0283333333333332E-2</c:v>
                </c:pt>
                <c:pt idx="79">
                  <c:v>3.0666666666666665E-2</c:v>
                </c:pt>
                <c:pt idx="80">
                  <c:v>3.1049999999999998E-2</c:v>
                </c:pt>
                <c:pt idx="81">
                  <c:v>3.1433333333333334E-2</c:v>
                </c:pt>
                <c:pt idx="82">
                  <c:v>3.181666666666666E-2</c:v>
                </c:pt>
                <c:pt idx="83">
                  <c:v>3.2199999999999999E-2</c:v>
                </c:pt>
                <c:pt idx="84">
                  <c:v>3.2583333333333332E-2</c:v>
                </c:pt>
                <c:pt idx="85">
                  <c:v>3.2966666666666665E-2</c:v>
                </c:pt>
                <c:pt idx="86">
                  <c:v>3.3349999999999998E-2</c:v>
                </c:pt>
                <c:pt idx="87">
                  <c:v>3.373333333333333E-2</c:v>
                </c:pt>
                <c:pt idx="88">
                  <c:v>3.4116666666666663E-2</c:v>
                </c:pt>
                <c:pt idx="89">
                  <c:v>3.4499999999999996E-2</c:v>
                </c:pt>
                <c:pt idx="90">
                  <c:v>3.4883333333333329E-2</c:v>
                </c:pt>
                <c:pt idx="91">
                  <c:v>3.5266666666666661E-2</c:v>
                </c:pt>
                <c:pt idx="92">
                  <c:v>3.5649999999999994E-2</c:v>
                </c:pt>
                <c:pt idx="93">
                  <c:v>3.6033333333333327E-2</c:v>
                </c:pt>
                <c:pt idx="94">
                  <c:v>3.6416666666666667E-2</c:v>
                </c:pt>
                <c:pt idx="95">
                  <c:v>3.6799999999999999E-2</c:v>
                </c:pt>
                <c:pt idx="96">
                  <c:v>3.7183333333333332E-2</c:v>
                </c:pt>
                <c:pt idx="97">
                  <c:v>3.7566666666666658E-2</c:v>
                </c:pt>
                <c:pt idx="98">
                  <c:v>3.7949999999999998E-2</c:v>
                </c:pt>
                <c:pt idx="99">
                  <c:v>3.833333333333333E-2</c:v>
                </c:pt>
                <c:pt idx="100">
                  <c:v>3.8716666666666663E-2</c:v>
                </c:pt>
                <c:pt idx="101">
                  <c:v>3.9100000000000003E-2</c:v>
                </c:pt>
                <c:pt idx="102">
                  <c:v>3.9483333333333329E-2</c:v>
                </c:pt>
                <c:pt idx="103">
                  <c:v>3.9866666666666661E-2</c:v>
                </c:pt>
                <c:pt idx="104">
                  <c:v>4.0250000000000001E-2</c:v>
                </c:pt>
                <c:pt idx="105">
                  <c:v>4.0633333333333334E-2</c:v>
                </c:pt>
                <c:pt idx="106">
                  <c:v>4.101666666666666E-2</c:v>
                </c:pt>
                <c:pt idx="107">
                  <c:v>4.1399999999999992E-2</c:v>
                </c:pt>
                <c:pt idx="108">
                  <c:v>4.1783333333333332E-2</c:v>
                </c:pt>
                <c:pt idx="109">
                  <c:v>4.2166666666666665E-2</c:v>
                </c:pt>
                <c:pt idx="110">
                  <c:v>4.2549999999999998E-2</c:v>
                </c:pt>
                <c:pt idx="111">
                  <c:v>4.293333333333333E-2</c:v>
                </c:pt>
                <c:pt idx="112">
                  <c:v>4.3316666666666663E-2</c:v>
                </c:pt>
                <c:pt idx="113">
                  <c:v>4.3699999999999996E-2</c:v>
                </c:pt>
                <c:pt idx="114">
                  <c:v>4.4083333333333329E-2</c:v>
                </c:pt>
                <c:pt idx="115">
                  <c:v>4.4466666666666668E-2</c:v>
                </c:pt>
                <c:pt idx="116">
                  <c:v>4.4849999999999994E-2</c:v>
                </c:pt>
                <c:pt idx="117">
                  <c:v>4.5233333333333327E-2</c:v>
                </c:pt>
                <c:pt idx="118">
                  <c:v>4.5616666666666666E-2</c:v>
                </c:pt>
                <c:pt idx="119">
                  <c:v>4.5999999999999999E-2</c:v>
                </c:pt>
                <c:pt idx="120">
                  <c:v>4.6383333333333325E-2</c:v>
                </c:pt>
                <c:pt idx="121">
                  <c:v>4.6766666666666658E-2</c:v>
                </c:pt>
                <c:pt idx="122">
                  <c:v>4.7149999999999997E-2</c:v>
                </c:pt>
                <c:pt idx="123">
                  <c:v>4.753333333333333E-2</c:v>
                </c:pt>
                <c:pt idx="124">
                  <c:v>4.7916666666666663E-2</c:v>
                </c:pt>
                <c:pt idx="125">
                  <c:v>4.8300000000000003E-2</c:v>
                </c:pt>
                <c:pt idx="126">
                  <c:v>4.8683333333333328E-2</c:v>
                </c:pt>
                <c:pt idx="127">
                  <c:v>4.9066666666666661E-2</c:v>
                </c:pt>
                <c:pt idx="128">
                  <c:v>4.9449999999999994E-2</c:v>
                </c:pt>
                <c:pt idx="129">
                  <c:v>4.9833333333333334E-2</c:v>
                </c:pt>
                <c:pt idx="130">
                  <c:v>5.0216666666666659E-2</c:v>
                </c:pt>
                <c:pt idx="131">
                  <c:v>5.0599999999999992E-2</c:v>
                </c:pt>
                <c:pt idx="132">
                  <c:v>5.0983333333333332E-2</c:v>
                </c:pt>
                <c:pt idx="133">
                  <c:v>5.1366666666666665E-2</c:v>
                </c:pt>
                <c:pt idx="134">
                  <c:v>5.1749999999999997E-2</c:v>
                </c:pt>
                <c:pt idx="135">
                  <c:v>5.213333333333333E-2</c:v>
                </c:pt>
                <c:pt idx="136">
                  <c:v>5.2516666666666663E-2</c:v>
                </c:pt>
                <c:pt idx="137">
                  <c:v>5.2899999999999996E-2</c:v>
                </c:pt>
                <c:pt idx="138">
                  <c:v>5.3283333333333328E-2</c:v>
                </c:pt>
                <c:pt idx="139">
                  <c:v>5.3666666666666668E-2</c:v>
                </c:pt>
                <c:pt idx="140">
                  <c:v>5.4049999999999994E-2</c:v>
                </c:pt>
                <c:pt idx="141">
                  <c:v>5.4433333333333327E-2</c:v>
                </c:pt>
                <c:pt idx="142">
                  <c:v>5.4816666666666666E-2</c:v>
                </c:pt>
                <c:pt idx="143">
                  <c:v>5.5199999999999999E-2</c:v>
                </c:pt>
                <c:pt idx="144">
                  <c:v>5.5583333333333325E-2</c:v>
                </c:pt>
                <c:pt idx="145">
                  <c:v>5.5966666666666658E-2</c:v>
                </c:pt>
                <c:pt idx="146">
                  <c:v>5.6349999999999997E-2</c:v>
                </c:pt>
                <c:pt idx="147">
                  <c:v>5.673333333333333E-2</c:v>
                </c:pt>
                <c:pt idx="148">
                  <c:v>5.7116666666666663E-2</c:v>
                </c:pt>
                <c:pt idx="149">
                  <c:v>5.7499999999999996E-2</c:v>
                </c:pt>
              </c:numCache>
            </c:numRef>
          </c:yVal>
          <c:smooth val="1"/>
          <c:extLst>
            <c:ext xmlns:c16="http://schemas.microsoft.com/office/drawing/2014/chart" uri="{C3380CC4-5D6E-409C-BE32-E72D297353CC}">
              <c16:uniqueId val="{00000003-53D1-4006-8366-E2C9DA64EC11}"/>
            </c:ext>
          </c:extLst>
        </c:ser>
        <c:ser>
          <c:idx val="4"/>
          <c:order val="4"/>
          <c:tx>
            <c:v>D2</c:v>
          </c:tx>
          <c:marker>
            <c:symbol val="none"/>
          </c:marker>
          <c:xVal>
            <c:numRef>
              <c:f>Eff_vs_IOUT!$R$8:$R$157</c:f>
              <c:numCache>
                <c:formatCode>General</c:formatCode>
                <c:ptCount val="150"/>
                <c:pt idx="0">
                  <c:v>0.5</c:v>
                </c:pt>
                <c:pt idx="1">
                  <c:v>1</c:v>
                </c:pt>
                <c:pt idx="2">
                  <c:v>1.5</c:v>
                </c:pt>
                <c:pt idx="3">
                  <c:v>2</c:v>
                </c:pt>
                <c:pt idx="4">
                  <c:v>2.5</c:v>
                </c:pt>
                <c:pt idx="5">
                  <c:v>3</c:v>
                </c:pt>
                <c:pt idx="6">
                  <c:v>3.5</c:v>
                </c:pt>
                <c:pt idx="7">
                  <c:v>4</c:v>
                </c:pt>
                <c:pt idx="8">
                  <c:v>4.5</c:v>
                </c:pt>
                <c:pt idx="9">
                  <c:v>5</c:v>
                </c:pt>
                <c:pt idx="10">
                  <c:v>5.5</c:v>
                </c:pt>
                <c:pt idx="11">
                  <c:v>6</c:v>
                </c:pt>
                <c:pt idx="12">
                  <c:v>6.5</c:v>
                </c:pt>
                <c:pt idx="13">
                  <c:v>7</c:v>
                </c:pt>
                <c:pt idx="14">
                  <c:v>7.5</c:v>
                </c:pt>
                <c:pt idx="15">
                  <c:v>8</c:v>
                </c:pt>
                <c:pt idx="16">
                  <c:v>8.5</c:v>
                </c:pt>
                <c:pt idx="17">
                  <c:v>9</c:v>
                </c:pt>
                <c:pt idx="18">
                  <c:v>9.5</c:v>
                </c:pt>
                <c:pt idx="19">
                  <c:v>10</c:v>
                </c:pt>
                <c:pt idx="20">
                  <c:v>10.5</c:v>
                </c:pt>
                <c:pt idx="21">
                  <c:v>11</c:v>
                </c:pt>
                <c:pt idx="22">
                  <c:v>11.5</c:v>
                </c:pt>
                <c:pt idx="23">
                  <c:v>12</c:v>
                </c:pt>
                <c:pt idx="24">
                  <c:v>12.5</c:v>
                </c:pt>
                <c:pt idx="25">
                  <c:v>13</c:v>
                </c:pt>
                <c:pt idx="26">
                  <c:v>13.5</c:v>
                </c:pt>
                <c:pt idx="27">
                  <c:v>14</c:v>
                </c:pt>
                <c:pt idx="28">
                  <c:v>14.5</c:v>
                </c:pt>
                <c:pt idx="29">
                  <c:v>15</c:v>
                </c:pt>
                <c:pt idx="30">
                  <c:v>15.5</c:v>
                </c:pt>
                <c:pt idx="31">
                  <c:v>16</c:v>
                </c:pt>
                <c:pt idx="32">
                  <c:v>16.5</c:v>
                </c:pt>
                <c:pt idx="33">
                  <c:v>17</c:v>
                </c:pt>
                <c:pt idx="34">
                  <c:v>17.5</c:v>
                </c:pt>
                <c:pt idx="35">
                  <c:v>18</c:v>
                </c:pt>
                <c:pt idx="36">
                  <c:v>18.5</c:v>
                </c:pt>
                <c:pt idx="37">
                  <c:v>19</c:v>
                </c:pt>
                <c:pt idx="38">
                  <c:v>19.5</c:v>
                </c:pt>
                <c:pt idx="39">
                  <c:v>20</c:v>
                </c:pt>
                <c:pt idx="40">
                  <c:v>20.5</c:v>
                </c:pt>
                <c:pt idx="41">
                  <c:v>21</c:v>
                </c:pt>
                <c:pt idx="42">
                  <c:v>21.5</c:v>
                </c:pt>
                <c:pt idx="43">
                  <c:v>22</c:v>
                </c:pt>
                <c:pt idx="44">
                  <c:v>22.5</c:v>
                </c:pt>
                <c:pt idx="45">
                  <c:v>23</c:v>
                </c:pt>
                <c:pt idx="46">
                  <c:v>23.5</c:v>
                </c:pt>
                <c:pt idx="47">
                  <c:v>24</c:v>
                </c:pt>
                <c:pt idx="48">
                  <c:v>24.5</c:v>
                </c:pt>
                <c:pt idx="49">
                  <c:v>25</c:v>
                </c:pt>
                <c:pt idx="50">
                  <c:v>25.5</c:v>
                </c:pt>
                <c:pt idx="51">
                  <c:v>26</c:v>
                </c:pt>
                <c:pt idx="52">
                  <c:v>26.5</c:v>
                </c:pt>
                <c:pt idx="53">
                  <c:v>27</c:v>
                </c:pt>
                <c:pt idx="54">
                  <c:v>27.5</c:v>
                </c:pt>
                <c:pt idx="55">
                  <c:v>28</c:v>
                </c:pt>
                <c:pt idx="56">
                  <c:v>28.5</c:v>
                </c:pt>
                <c:pt idx="57">
                  <c:v>29</c:v>
                </c:pt>
                <c:pt idx="58">
                  <c:v>29.5</c:v>
                </c:pt>
                <c:pt idx="59">
                  <c:v>30</c:v>
                </c:pt>
                <c:pt idx="60">
                  <c:v>30.5</c:v>
                </c:pt>
                <c:pt idx="61">
                  <c:v>31</c:v>
                </c:pt>
                <c:pt idx="62">
                  <c:v>31.5</c:v>
                </c:pt>
                <c:pt idx="63">
                  <c:v>32</c:v>
                </c:pt>
                <c:pt idx="64">
                  <c:v>32.5</c:v>
                </c:pt>
                <c:pt idx="65">
                  <c:v>33</c:v>
                </c:pt>
                <c:pt idx="66">
                  <c:v>33.5</c:v>
                </c:pt>
                <c:pt idx="67">
                  <c:v>34</c:v>
                </c:pt>
                <c:pt idx="68">
                  <c:v>34.5</c:v>
                </c:pt>
                <c:pt idx="69">
                  <c:v>35</c:v>
                </c:pt>
                <c:pt idx="70">
                  <c:v>35.5</c:v>
                </c:pt>
                <c:pt idx="71">
                  <c:v>36</c:v>
                </c:pt>
                <c:pt idx="72">
                  <c:v>36.5</c:v>
                </c:pt>
                <c:pt idx="73">
                  <c:v>37</c:v>
                </c:pt>
                <c:pt idx="74">
                  <c:v>37.5</c:v>
                </c:pt>
                <c:pt idx="75">
                  <c:v>38</c:v>
                </c:pt>
                <c:pt idx="76">
                  <c:v>38.5</c:v>
                </c:pt>
                <c:pt idx="77">
                  <c:v>39</c:v>
                </c:pt>
                <c:pt idx="78">
                  <c:v>39.5</c:v>
                </c:pt>
                <c:pt idx="79">
                  <c:v>40</c:v>
                </c:pt>
                <c:pt idx="80">
                  <c:v>40.5</c:v>
                </c:pt>
                <c:pt idx="81">
                  <c:v>41</c:v>
                </c:pt>
                <c:pt idx="82">
                  <c:v>41.5</c:v>
                </c:pt>
                <c:pt idx="83">
                  <c:v>42</c:v>
                </c:pt>
                <c:pt idx="84">
                  <c:v>42.5</c:v>
                </c:pt>
                <c:pt idx="85">
                  <c:v>43</c:v>
                </c:pt>
                <c:pt idx="86">
                  <c:v>43.5</c:v>
                </c:pt>
                <c:pt idx="87">
                  <c:v>44</c:v>
                </c:pt>
                <c:pt idx="88">
                  <c:v>44.5</c:v>
                </c:pt>
                <c:pt idx="89">
                  <c:v>45</c:v>
                </c:pt>
                <c:pt idx="90">
                  <c:v>45.5</c:v>
                </c:pt>
                <c:pt idx="91">
                  <c:v>46</c:v>
                </c:pt>
                <c:pt idx="92">
                  <c:v>46.5</c:v>
                </c:pt>
                <c:pt idx="93">
                  <c:v>47</c:v>
                </c:pt>
                <c:pt idx="94">
                  <c:v>47.5</c:v>
                </c:pt>
                <c:pt idx="95">
                  <c:v>48</c:v>
                </c:pt>
                <c:pt idx="96">
                  <c:v>48.5</c:v>
                </c:pt>
                <c:pt idx="97">
                  <c:v>49</c:v>
                </c:pt>
                <c:pt idx="98">
                  <c:v>49.5</c:v>
                </c:pt>
                <c:pt idx="99">
                  <c:v>50</c:v>
                </c:pt>
                <c:pt idx="100">
                  <c:v>50.5</c:v>
                </c:pt>
                <c:pt idx="101">
                  <c:v>51</c:v>
                </c:pt>
                <c:pt idx="102">
                  <c:v>51.5</c:v>
                </c:pt>
                <c:pt idx="103">
                  <c:v>52</c:v>
                </c:pt>
                <c:pt idx="104">
                  <c:v>52.5</c:v>
                </c:pt>
                <c:pt idx="105">
                  <c:v>53</c:v>
                </c:pt>
                <c:pt idx="106">
                  <c:v>53.5</c:v>
                </c:pt>
                <c:pt idx="107">
                  <c:v>54</c:v>
                </c:pt>
                <c:pt idx="108">
                  <c:v>54.5</c:v>
                </c:pt>
                <c:pt idx="109">
                  <c:v>55</c:v>
                </c:pt>
                <c:pt idx="110">
                  <c:v>55.5</c:v>
                </c:pt>
                <c:pt idx="111">
                  <c:v>56</c:v>
                </c:pt>
                <c:pt idx="112">
                  <c:v>56.5</c:v>
                </c:pt>
                <c:pt idx="113">
                  <c:v>57</c:v>
                </c:pt>
                <c:pt idx="114">
                  <c:v>57.5</c:v>
                </c:pt>
                <c:pt idx="115">
                  <c:v>58</c:v>
                </c:pt>
                <c:pt idx="116">
                  <c:v>58.5</c:v>
                </c:pt>
                <c:pt idx="117">
                  <c:v>59</c:v>
                </c:pt>
                <c:pt idx="118">
                  <c:v>59.5</c:v>
                </c:pt>
                <c:pt idx="119">
                  <c:v>60</c:v>
                </c:pt>
                <c:pt idx="120">
                  <c:v>60.5</c:v>
                </c:pt>
                <c:pt idx="121">
                  <c:v>61</c:v>
                </c:pt>
                <c:pt idx="122">
                  <c:v>61.5</c:v>
                </c:pt>
                <c:pt idx="123">
                  <c:v>62</c:v>
                </c:pt>
                <c:pt idx="124">
                  <c:v>62.5</c:v>
                </c:pt>
                <c:pt idx="125">
                  <c:v>63</c:v>
                </c:pt>
                <c:pt idx="126">
                  <c:v>63.5</c:v>
                </c:pt>
                <c:pt idx="127">
                  <c:v>64</c:v>
                </c:pt>
                <c:pt idx="128">
                  <c:v>64.5</c:v>
                </c:pt>
                <c:pt idx="129">
                  <c:v>65</c:v>
                </c:pt>
                <c:pt idx="130">
                  <c:v>65.5</c:v>
                </c:pt>
                <c:pt idx="131">
                  <c:v>66</c:v>
                </c:pt>
                <c:pt idx="132">
                  <c:v>66.5</c:v>
                </c:pt>
                <c:pt idx="133">
                  <c:v>67</c:v>
                </c:pt>
                <c:pt idx="134">
                  <c:v>67.5</c:v>
                </c:pt>
                <c:pt idx="135">
                  <c:v>68</c:v>
                </c:pt>
                <c:pt idx="136">
                  <c:v>68.5</c:v>
                </c:pt>
                <c:pt idx="137">
                  <c:v>69</c:v>
                </c:pt>
                <c:pt idx="138">
                  <c:v>69.5</c:v>
                </c:pt>
                <c:pt idx="139">
                  <c:v>70</c:v>
                </c:pt>
                <c:pt idx="140">
                  <c:v>70.5</c:v>
                </c:pt>
                <c:pt idx="141">
                  <c:v>71</c:v>
                </c:pt>
                <c:pt idx="142">
                  <c:v>71.5</c:v>
                </c:pt>
                <c:pt idx="143">
                  <c:v>72</c:v>
                </c:pt>
                <c:pt idx="144">
                  <c:v>72.5</c:v>
                </c:pt>
                <c:pt idx="145">
                  <c:v>73</c:v>
                </c:pt>
                <c:pt idx="146">
                  <c:v>73.5</c:v>
                </c:pt>
                <c:pt idx="147">
                  <c:v>74</c:v>
                </c:pt>
                <c:pt idx="148">
                  <c:v>74.5</c:v>
                </c:pt>
                <c:pt idx="149">
                  <c:v>75</c:v>
                </c:pt>
              </c:numCache>
            </c:numRef>
          </c:xVal>
          <c:yVal>
            <c:numRef>
              <c:f>Eff_vs_IOUT!$BI$8:$BI$157</c:f>
              <c:numCache>
                <c:formatCode>General</c:formatCode>
                <c:ptCount val="15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yVal>
          <c:smooth val="1"/>
          <c:extLst>
            <c:ext xmlns:c16="http://schemas.microsoft.com/office/drawing/2014/chart" uri="{C3380CC4-5D6E-409C-BE32-E72D297353CC}">
              <c16:uniqueId val="{00000004-53D1-4006-8366-E2C9DA64EC11}"/>
            </c:ext>
          </c:extLst>
        </c:ser>
        <c:ser>
          <c:idx val="5"/>
          <c:order val="5"/>
          <c:tx>
            <c:v>D3</c:v>
          </c:tx>
          <c:marker>
            <c:symbol val="none"/>
          </c:marker>
          <c:xVal>
            <c:numRef>
              <c:f>Eff_vs_IOUT!$R$8:$R$157</c:f>
              <c:numCache>
                <c:formatCode>General</c:formatCode>
                <c:ptCount val="150"/>
                <c:pt idx="0">
                  <c:v>0.5</c:v>
                </c:pt>
                <c:pt idx="1">
                  <c:v>1</c:v>
                </c:pt>
                <c:pt idx="2">
                  <c:v>1.5</c:v>
                </c:pt>
                <c:pt idx="3">
                  <c:v>2</c:v>
                </c:pt>
                <c:pt idx="4">
                  <c:v>2.5</c:v>
                </c:pt>
                <c:pt idx="5">
                  <c:v>3</c:v>
                </c:pt>
                <c:pt idx="6">
                  <c:v>3.5</c:v>
                </c:pt>
                <c:pt idx="7">
                  <c:v>4</c:v>
                </c:pt>
                <c:pt idx="8">
                  <c:v>4.5</c:v>
                </c:pt>
                <c:pt idx="9">
                  <c:v>5</c:v>
                </c:pt>
                <c:pt idx="10">
                  <c:v>5.5</c:v>
                </c:pt>
                <c:pt idx="11">
                  <c:v>6</c:v>
                </c:pt>
                <c:pt idx="12">
                  <c:v>6.5</c:v>
                </c:pt>
                <c:pt idx="13">
                  <c:v>7</c:v>
                </c:pt>
                <c:pt idx="14">
                  <c:v>7.5</c:v>
                </c:pt>
                <c:pt idx="15">
                  <c:v>8</c:v>
                </c:pt>
                <c:pt idx="16">
                  <c:v>8.5</c:v>
                </c:pt>
                <c:pt idx="17">
                  <c:v>9</c:v>
                </c:pt>
                <c:pt idx="18">
                  <c:v>9.5</c:v>
                </c:pt>
                <c:pt idx="19">
                  <c:v>10</c:v>
                </c:pt>
                <c:pt idx="20">
                  <c:v>10.5</c:v>
                </c:pt>
                <c:pt idx="21">
                  <c:v>11</c:v>
                </c:pt>
                <c:pt idx="22">
                  <c:v>11.5</c:v>
                </c:pt>
                <c:pt idx="23">
                  <c:v>12</c:v>
                </c:pt>
                <c:pt idx="24">
                  <c:v>12.5</c:v>
                </c:pt>
                <c:pt idx="25">
                  <c:v>13</c:v>
                </c:pt>
                <c:pt idx="26">
                  <c:v>13.5</c:v>
                </c:pt>
                <c:pt idx="27">
                  <c:v>14</c:v>
                </c:pt>
                <c:pt idx="28">
                  <c:v>14.5</c:v>
                </c:pt>
                <c:pt idx="29">
                  <c:v>15</c:v>
                </c:pt>
                <c:pt idx="30">
                  <c:v>15.5</c:v>
                </c:pt>
                <c:pt idx="31">
                  <c:v>16</c:v>
                </c:pt>
                <c:pt idx="32">
                  <c:v>16.5</c:v>
                </c:pt>
                <c:pt idx="33">
                  <c:v>17</c:v>
                </c:pt>
                <c:pt idx="34">
                  <c:v>17.5</c:v>
                </c:pt>
                <c:pt idx="35">
                  <c:v>18</c:v>
                </c:pt>
                <c:pt idx="36">
                  <c:v>18.5</c:v>
                </c:pt>
                <c:pt idx="37">
                  <c:v>19</c:v>
                </c:pt>
                <c:pt idx="38">
                  <c:v>19.5</c:v>
                </c:pt>
                <c:pt idx="39">
                  <c:v>20</c:v>
                </c:pt>
                <c:pt idx="40">
                  <c:v>20.5</c:v>
                </c:pt>
                <c:pt idx="41">
                  <c:v>21</c:v>
                </c:pt>
                <c:pt idx="42">
                  <c:v>21.5</c:v>
                </c:pt>
                <c:pt idx="43">
                  <c:v>22</c:v>
                </c:pt>
                <c:pt idx="44">
                  <c:v>22.5</c:v>
                </c:pt>
                <c:pt idx="45">
                  <c:v>23</c:v>
                </c:pt>
                <c:pt idx="46">
                  <c:v>23.5</c:v>
                </c:pt>
                <c:pt idx="47">
                  <c:v>24</c:v>
                </c:pt>
                <c:pt idx="48">
                  <c:v>24.5</c:v>
                </c:pt>
                <c:pt idx="49">
                  <c:v>25</c:v>
                </c:pt>
                <c:pt idx="50">
                  <c:v>25.5</c:v>
                </c:pt>
                <c:pt idx="51">
                  <c:v>26</c:v>
                </c:pt>
                <c:pt idx="52">
                  <c:v>26.5</c:v>
                </c:pt>
                <c:pt idx="53">
                  <c:v>27</c:v>
                </c:pt>
                <c:pt idx="54">
                  <c:v>27.5</c:v>
                </c:pt>
                <c:pt idx="55">
                  <c:v>28</c:v>
                </c:pt>
                <c:pt idx="56">
                  <c:v>28.5</c:v>
                </c:pt>
                <c:pt idx="57">
                  <c:v>29</c:v>
                </c:pt>
                <c:pt idx="58">
                  <c:v>29.5</c:v>
                </c:pt>
                <c:pt idx="59">
                  <c:v>30</c:v>
                </c:pt>
                <c:pt idx="60">
                  <c:v>30.5</c:v>
                </c:pt>
                <c:pt idx="61">
                  <c:v>31</c:v>
                </c:pt>
                <c:pt idx="62">
                  <c:v>31.5</c:v>
                </c:pt>
                <c:pt idx="63">
                  <c:v>32</c:v>
                </c:pt>
                <c:pt idx="64">
                  <c:v>32.5</c:v>
                </c:pt>
                <c:pt idx="65">
                  <c:v>33</c:v>
                </c:pt>
                <c:pt idx="66">
                  <c:v>33.5</c:v>
                </c:pt>
                <c:pt idx="67">
                  <c:v>34</c:v>
                </c:pt>
                <c:pt idx="68">
                  <c:v>34.5</c:v>
                </c:pt>
                <c:pt idx="69">
                  <c:v>35</c:v>
                </c:pt>
                <c:pt idx="70">
                  <c:v>35.5</c:v>
                </c:pt>
                <c:pt idx="71">
                  <c:v>36</c:v>
                </c:pt>
                <c:pt idx="72">
                  <c:v>36.5</c:v>
                </c:pt>
                <c:pt idx="73">
                  <c:v>37</c:v>
                </c:pt>
                <c:pt idx="74">
                  <c:v>37.5</c:v>
                </c:pt>
                <c:pt idx="75">
                  <c:v>38</c:v>
                </c:pt>
                <c:pt idx="76">
                  <c:v>38.5</c:v>
                </c:pt>
                <c:pt idx="77">
                  <c:v>39</c:v>
                </c:pt>
                <c:pt idx="78">
                  <c:v>39.5</c:v>
                </c:pt>
                <c:pt idx="79">
                  <c:v>40</c:v>
                </c:pt>
                <c:pt idx="80">
                  <c:v>40.5</c:v>
                </c:pt>
                <c:pt idx="81">
                  <c:v>41</c:v>
                </c:pt>
                <c:pt idx="82">
                  <c:v>41.5</c:v>
                </c:pt>
                <c:pt idx="83">
                  <c:v>42</c:v>
                </c:pt>
                <c:pt idx="84">
                  <c:v>42.5</c:v>
                </c:pt>
                <c:pt idx="85">
                  <c:v>43</c:v>
                </c:pt>
                <c:pt idx="86">
                  <c:v>43.5</c:v>
                </c:pt>
                <c:pt idx="87">
                  <c:v>44</c:v>
                </c:pt>
                <c:pt idx="88">
                  <c:v>44.5</c:v>
                </c:pt>
                <c:pt idx="89">
                  <c:v>45</c:v>
                </c:pt>
                <c:pt idx="90">
                  <c:v>45.5</c:v>
                </c:pt>
                <c:pt idx="91">
                  <c:v>46</c:v>
                </c:pt>
                <c:pt idx="92">
                  <c:v>46.5</c:v>
                </c:pt>
                <c:pt idx="93">
                  <c:v>47</c:v>
                </c:pt>
                <c:pt idx="94">
                  <c:v>47.5</c:v>
                </c:pt>
                <c:pt idx="95">
                  <c:v>48</c:v>
                </c:pt>
                <c:pt idx="96">
                  <c:v>48.5</c:v>
                </c:pt>
                <c:pt idx="97">
                  <c:v>49</c:v>
                </c:pt>
                <c:pt idx="98">
                  <c:v>49.5</c:v>
                </c:pt>
                <c:pt idx="99">
                  <c:v>50</c:v>
                </c:pt>
                <c:pt idx="100">
                  <c:v>50.5</c:v>
                </c:pt>
                <c:pt idx="101">
                  <c:v>51</c:v>
                </c:pt>
                <c:pt idx="102">
                  <c:v>51.5</c:v>
                </c:pt>
                <c:pt idx="103">
                  <c:v>52</c:v>
                </c:pt>
                <c:pt idx="104">
                  <c:v>52.5</c:v>
                </c:pt>
                <c:pt idx="105">
                  <c:v>53</c:v>
                </c:pt>
                <c:pt idx="106">
                  <c:v>53.5</c:v>
                </c:pt>
                <c:pt idx="107">
                  <c:v>54</c:v>
                </c:pt>
                <c:pt idx="108">
                  <c:v>54.5</c:v>
                </c:pt>
                <c:pt idx="109">
                  <c:v>55</c:v>
                </c:pt>
                <c:pt idx="110">
                  <c:v>55.5</c:v>
                </c:pt>
                <c:pt idx="111">
                  <c:v>56</c:v>
                </c:pt>
                <c:pt idx="112">
                  <c:v>56.5</c:v>
                </c:pt>
                <c:pt idx="113">
                  <c:v>57</c:v>
                </c:pt>
                <c:pt idx="114">
                  <c:v>57.5</c:v>
                </c:pt>
                <c:pt idx="115">
                  <c:v>58</c:v>
                </c:pt>
                <c:pt idx="116">
                  <c:v>58.5</c:v>
                </c:pt>
                <c:pt idx="117">
                  <c:v>59</c:v>
                </c:pt>
                <c:pt idx="118">
                  <c:v>59.5</c:v>
                </c:pt>
                <c:pt idx="119">
                  <c:v>60</c:v>
                </c:pt>
                <c:pt idx="120">
                  <c:v>60.5</c:v>
                </c:pt>
                <c:pt idx="121">
                  <c:v>61</c:v>
                </c:pt>
                <c:pt idx="122">
                  <c:v>61.5</c:v>
                </c:pt>
                <c:pt idx="123">
                  <c:v>62</c:v>
                </c:pt>
                <c:pt idx="124">
                  <c:v>62.5</c:v>
                </c:pt>
                <c:pt idx="125">
                  <c:v>63</c:v>
                </c:pt>
                <c:pt idx="126">
                  <c:v>63.5</c:v>
                </c:pt>
                <c:pt idx="127">
                  <c:v>64</c:v>
                </c:pt>
                <c:pt idx="128">
                  <c:v>64.5</c:v>
                </c:pt>
                <c:pt idx="129">
                  <c:v>65</c:v>
                </c:pt>
                <c:pt idx="130">
                  <c:v>65.5</c:v>
                </c:pt>
                <c:pt idx="131">
                  <c:v>66</c:v>
                </c:pt>
                <c:pt idx="132">
                  <c:v>66.5</c:v>
                </c:pt>
                <c:pt idx="133">
                  <c:v>67</c:v>
                </c:pt>
                <c:pt idx="134">
                  <c:v>67.5</c:v>
                </c:pt>
                <c:pt idx="135">
                  <c:v>68</c:v>
                </c:pt>
                <c:pt idx="136">
                  <c:v>68.5</c:v>
                </c:pt>
                <c:pt idx="137">
                  <c:v>69</c:v>
                </c:pt>
                <c:pt idx="138">
                  <c:v>69.5</c:v>
                </c:pt>
                <c:pt idx="139">
                  <c:v>70</c:v>
                </c:pt>
                <c:pt idx="140">
                  <c:v>70.5</c:v>
                </c:pt>
                <c:pt idx="141">
                  <c:v>71</c:v>
                </c:pt>
                <c:pt idx="142">
                  <c:v>71.5</c:v>
                </c:pt>
                <c:pt idx="143">
                  <c:v>72</c:v>
                </c:pt>
                <c:pt idx="144">
                  <c:v>72.5</c:v>
                </c:pt>
                <c:pt idx="145">
                  <c:v>73</c:v>
                </c:pt>
                <c:pt idx="146">
                  <c:v>73.5</c:v>
                </c:pt>
                <c:pt idx="147">
                  <c:v>74</c:v>
                </c:pt>
                <c:pt idx="148">
                  <c:v>74.5</c:v>
                </c:pt>
                <c:pt idx="149">
                  <c:v>75</c:v>
                </c:pt>
              </c:numCache>
            </c:numRef>
          </c:xVal>
          <c:yVal>
            <c:numRef>
              <c:f>Eff_vs_IOUT!$BT$8:$BT$157</c:f>
              <c:numCache>
                <c:formatCode>General</c:formatCode>
                <c:ptCount val="15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yVal>
          <c:smooth val="1"/>
          <c:extLst>
            <c:ext xmlns:c16="http://schemas.microsoft.com/office/drawing/2014/chart" uri="{C3380CC4-5D6E-409C-BE32-E72D297353CC}">
              <c16:uniqueId val="{00000005-53D1-4006-8366-E2C9DA64EC11}"/>
            </c:ext>
          </c:extLst>
        </c:ser>
        <c:dLbls>
          <c:showLegendKey val="0"/>
          <c:showVal val="0"/>
          <c:showCatName val="0"/>
          <c:showSerName val="0"/>
          <c:showPercent val="0"/>
          <c:showBubbleSize val="0"/>
        </c:dLbls>
        <c:axId val="586827264"/>
        <c:axId val="586476928"/>
      </c:scatterChart>
      <c:valAx>
        <c:axId val="586473472"/>
        <c:scaling>
          <c:orientation val="minMax"/>
        </c:scaling>
        <c:delete val="0"/>
        <c:axPos val="b"/>
        <c:majorGridlines/>
        <c:numFmt formatCode="General" sourceLinked="1"/>
        <c:majorTickMark val="out"/>
        <c:minorTickMark val="none"/>
        <c:tickLblPos val="nextTo"/>
        <c:crossAx val="586475008"/>
        <c:crosses val="autoZero"/>
        <c:crossBetween val="midCat"/>
      </c:valAx>
      <c:valAx>
        <c:axId val="586475008"/>
        <c:scaling>
          <c:orientation val="minMax"/>
          <c:max val="100"/>
          <c:min val="60"/>
        </c:scaling>
        <c:delete val="0"/>
        <c:axPos val="l"/>
        <c:majorGridlines/>
        <c:title>
          <c:tx>
            <c:rich>
              <a:bodyPr rot="-5400000" vert="horz"/>
              <a:lstStyle/>
              <a:p>
                <a:pPr>
                  <a:defRPr sz="1400"/>
                </a:pPr>
                <a:r>
                  <a:rPr lang="en-US" sz="1400"/>
                  <a:t>Efficiency</a:t>
                </a:r>
                <a:r>
                  <a:rPr lang="en-US" sz="1400" baseline="0"/>
                  <a:t> (%)</a:t>
                </a:r>
                <a:endParaRPr lang="en-US" sz="1400"/>
              </a:p>
            </c:rich>
          </c:tx>
          <c:overlay val="0"/>
        </c:title>
        <c:numFmt formatCode="General" sourceLinked="1"/>
        <c:majorTickMark val="out"/>
        <c:minorTickMark val="none"/>
        <c:tickLblPos val="nextTo"/>
        <c:crossAx val="586473472"/>
        <c:crosses val="autoZero"/>
        <c:crossBetween val="midCat"/>
      </c:valAx>
      <c:valAx>
        <c:axId val="586476928"/>
        <c:scaling>
          <c:orientation val="minMax"/>
        </c:scaling>
        <c:delete val="0"/>
        <c:axPos val="r"/>
        <c:title>
          <c:tx>
            <c:rich>
              <a:bodyPr rot="-5400000" vert="horz"/>
              <a:lstStyle/>
              <a:p>
                <a:pPr>
                  <a:defRPr sz="1400"/>
                </a:pPr>
                <a:r>
                  <a:rPr lang="en-US" sz="1400"/>
                  <a:t>Losses</a:t>
                </a:r>
                <a:r>
                  <a:rPr lang="en-US" sz="1400" baseline="0"/>
                  <a:t> (W)</a:t>
                </a:r>
                <a:endParaRPr lang="en-US" sz="1400"/>
              </a:p>
            </c:rich>
          </c:tx>
          <c:overlay val="0"/>
        </c:title>
        <c:numFmt formatCode="General" sourceLinked="1"/>
        <c:majorTickMark val="out"/>
        <c:minorTickMark val="none"/>
        <c:tickLblPos val="nextTo"/>
        <c:crossAx val="586827264"/>
        <c:crosses val="max"/>
        <c:crossBetween val="midCat"/>
      </c:valAx>
      <c:valAx>
        <c:axId val="586827264"/>
        <c:scaling>
          <c:orientation val="minMax"/>
        </c:scaling>
        <c:delete val="1"/>
        <c:axPos val="b"/>
        <c:title>
          <c:tx>
            <c:rich>
              <a:bodyPr/>
              <a:lstStyle/>
              <a:p>
                <a:pPr>
                  <a:defRPr sz="700"/>
                </a:pPr>
                <a:r>
                  <a:rPr lang="en-US" sz="1200" b="1" i="0" baseline="0">
                    <a:effectLst/>
                  </a:rPr>
                  <a:t>P</a:t>
                </a:r>
                <a:r>
                  <a:rPr lang="en-US" sz="1200" b="1" i="0" baseline="-25000">
                    <a:effectLst/>
                  </a:rPr>
                  <a:t>OUT</a:t>
                </a:r>
                <a:r>
                  <a:rPr lang="en-US" sz="1200" b="1" i="0" baseline="0">
                    <a:effectLst/>
                  </a:rPr>
                  <a:t> (W)</a:t>
                </a:r>
                <a:endParaRPr lang="en-US" sz="700">
                  <a:effectLst/>
                </a:endParaRPr>
              </a:p>
            </c:rich>
          </c:tx>
          <c:overlay val="0"/>
        </c:title>
        <c:numFmt formatCode="General" sourceLinked="1"/>
        <c:majorTickMark val="out"/>
        <c:minorTickMark val="none"/>
        <c:tickLblPos val="nextTo"/>
        <c:crossAx val="586476928"/>
        <c:crosses val="autoZero"/>
        <c:crossBetween val="midCat"/>
      </c:valAx>
    </c:plotArea>
    <c:legend>
      <c:legendPos val="r"/>
      <c:layout>
        <c:manualLayout>
          <c:xMode val="edge"/>
          <c:yMode val="edge"/>
          <c:x val="0.49723111871774606"/>
          <c:y val="6.4861313959085187E-3"/>
          <c:w val="0.41972466868865133"/>
          <c:h val="0.12461147870492213"/>
        </c:manualLayout>
      </c:layout>
      <c:overlay val="1"/>
    </c:legend>
    <c:plotVisOnly val="1"/>
    <c:dispBlanksAs val="gap"/>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baseline="0"/>
              <a:t>Non-Isolated Loop Response</a:t>
            </a:r>
          </a:p>
        </c:rich>
      </c:tx>
      <c:layout>
        <c:manualLayout>
          <c:xMode val="edge"/>
          <c:yMode val="edge"/>
          <c:x val="9.4354157174953393E-2"/>
          <c:y val="3.9916010498687662E-3"/>
        </c:manualLayout>
      </c:layout>
      <c:overlay val="0"/>
    </c:title>
    <c:autoTitleDeleted val="0"/>
    <c:plotArea>
      <c:layout>
        <c:manualLayout>
          <c:layoutTarget val="inner"/>
          <c:xMode val="edge"/>
          <c:yMode val="edge"/>
          <c:x val="8.7413438847232044E-2"/>
          <c:y val="8.915804101931861E-2"/>
          <c:w val="0.85835006662757141"/>
          <c:h val="0.76159168715027026"/>
        </c:manualLayout>
      </c:layout>
      <c:scatterChart>
        <c:scatterStyle val="smoothMarker"/>
        <c:varyColors val="0"/>
        <c:ser>
          <c:idx val="0"/>
          <c:order val="0"/>
          <c:tx>
            <c:v>Gain (dB)</c:v>
          </c:tx>
          <c:spPr>
            <a:ln w="28575">
              <a:solidFill>
                <a:srgbClr val="FF0000"/>
              </a:solidFill>
            </a:ln>
          </c:spPr>
          <c:marker>
            <c:symbol val="none"/>
          </c:marker>
          <c:xVal>
            <c:numRef>
              <c:f>CCM_Loop_Modeling_non_isolated!$O$19:$O$560</c:f>
              <c:numCache>
                <c:formatCode>0.00</c:formatCode>
                <c:ptCount val="542"/>
                <c:pt idx="0">
                  <c:v>10.232929922807543</c:v>
                </c:pt>
                <c:pt idx="1">
                  <c:v>10.471285480509</c:v>
                </c:pt>
                <c:pt idx="2">
                  <c:v>10.715193052376069</c:v>
                </c:pt>
                <c:pt idx="3">
                  <c:v>10.964781961431854</c:v>
                </c:pt>
                <c:pt idx="4">
                  <c:v>11.220184543019636</c:v>
                </c:pt>
                <c:pt idx="5">
                  <c:v>11.481536214968834</c:v>
                </c:pt>
                <c:pt idx="6">
                  <c:v>11.748975549395301</c:v>
                </c:pt>
                <c:pt idx="7">
                  <c:v>12.022644346174133</c:v>
                </c:pt>
                <c:pt idx="8">
                  <c:v>12.302687708123818</c:v>
                </c:pt>
                <c:pt idx="9">
                  <c:v>12.58925411794168</c:v>
                </c:pt>
                <c:pt idx="10">
                  <c:v>12.882495516931346</c:v>
                </c:pt>
                <c:pt idx="11">
                  <c:v>13.182567385564075</c:v>
                </c:pt>
                <c:pt idx="12">
                  <c:v>13.489628825916535</c:v>
                </c:pt>
                <c:pt idx="13">
                  <c:v>13.803842646028857</c:v>
                </c:pt>
                <c:pt idx="14">
                  <c:v>14.125375446227544</c:v>
                </c:pt>
                <c:pt idx="15">
                  <c:v>14.454397707459275</c:v>
                </c:pt>
                <c:pt idx="16">
                  <c:v>14.791083881682074</c:v>
                </c:pt>
                <c:pt idx="17">
                  <c:v>15.135612484362087</c:v>
                </c:pt>
                <c:pt idx="18">
                  <c:v>15.488166189124817</c:v>
                </c:pt>
                <c:pt idx="19">
                  <c:v>15.848931924611136</c:v>
                </c:pt>
                <c:pt idx="20">
                  <c:v>16.218100973589298</c:v>
                </c:pt>
                <c:pt idx="21">
                  <c:v>16.595869074375614</c:v>
                </c:pt>
                <c:pt idx="22">
                  <c:v>16.982436524617448</c:v>
                </c:pt>
                <c:pt idx="23">
                  <c:v>17.378008287493756</c:v>
                </c:pt>
                <c:pt idx="24">
                  <c:v>17.782794100389236</c:v>
                </c:pt>
                <c:pt idx="25">
                  <c:v>18.197008586099841</c:v>
                </c:pt>
                <c:pt idx="26">
                  <c:v>18.62087136662868</c:v>
                </c:pt>
                <c:pt idx="27">
                  <c:v>19.054607179632477</c:v>
                </c:pt>
                <c:pt idx="28">
                  <c:v>19.498445997580465</c:v>
                </c:pt>
                <c:pt idx="29">
                  <c:v>19.952623149688804</c:v>
                </c:pt>
                <c:pt idx="30">
                  <c:v>20.4173794466953</c:v>
                </c:pt>
                <c:pt idx="31">
                  <c:v>20.8929613085404</c:v>
                </c:pt>
                <c:pt idx="32">
                  <c:v>21.379620895022335</c:v>
                </c:pt>
                <c:pt idx="33">
                  <c:v>21.877616239495538</c:v>
                </c:pt>
                <c:pt idx="34">
                  <c:v>22.387211385683404</c:v>
                </c:pt>
                <c:pt idx="35">
                  <c:v>22.908676527677727</c:v>
                </c:pt>
                <c:pt idx="36">
                  <c:v>23.442288153199236</c:v>
                </c:pt>
                <c:pt idx="37">
                  <c:v>23.988329190194907</c:v>
                </c:pt>
                <c:pt idx="38">
                  <c:v>24.547089156850316</c:v>
                </c:pt>
                <c:pt idx="39">
                  <c:v>25.118864315095799</c:v>
                </c:pt>
                <c:pt idx="40">
                  <c:v>25.703957827688647</c:v>
                </c:pt>
                <c:pt idx="41">
                  <c:v>26.302679918953825</c:v>
                </c:pt>
                <c:pt idx="42">
                  <c:v>26.915348039269158</c:v>
                </c:pt>
                <c:pt idx="43">
                  <c:v>27.542287033381665</c:v>
                </c:pt>
                <c:pt idx="44">
                  <c:v>28.183829312644548</c:v>
                </c:pt>
                <c:pt idx="45">
                  <c:v>28.840315031266066</c:v>
                </c:pt>
                <c:pt idx="46">
                  <c:v>29.512092266663863</c:v>
                </c:pt>
                <c:pt idx="47">
                  <c:v>30.199517204020164</c:v>
                </c:pt>
                <c:pt idx="48">
                  <c:v>30.902954325135919</c:v>
                </c:pt>
                <c:pt idx="49">
                  <c:v>31.622776601683803</c:v>
                </c:pt>
                <c:pt idx="50">
                  <c:v>32.359365692962832</c:v>
                </c:pt>
                <c:pt idx="51">
                  <c:v>33.113112148259127</c:v>
                </c:pt>
                <c:pt idx="52">
                  <c:v>33.884415613920268</c:v>
                </c:pt>
                <c:pt idx="53">
                  <c:v>34.67368504525318</c:v>
                </c:pt>
                <c:pt idx="54">
                  <c:v>35.481338923357555</c:v>
                </c:pt>
                <c:pt idx="55">
                  <c:v>36.307805477010156</c:v>
                </c:pt>
                <c:pt idx="56">
                  <c:v>37.15352290971726</c:v>
                </c:pt>
                <c:pt idx="57">
                  <c:v>38.018939632056139</c:v>
                </c:pt>
                <c:pt idx="58">
                  <c:v>38.904514499428053</c:v>
                </c:pt>
                <c:pt idx="59">
                  <c:v>39.810717055349755</c:v>
                </c:pt>
                <c:pt idx="60">
                  <c:v>40.738027780411279</c:v>
                </c:pt>
                <c:pt idx="61">
                  <c:v>41.686938347033561</c:v>
                </c:pt>
                <c:pt idx="62">
                  <c:v>42.657951880159267</c:v>
                </c:pt>
                <c:pt idx="63">
                  <c:v>43.651583224016633</c:v>
                </c:pt>
                <c:pt idx="64">
                  <c:v>44.668359215096324</c:v>
                </c:pt>
                <c:pt idx="65">
                  <c:v>45.70881896148753</c:v>
                </c:pt>
                <c:pt idx="66">
                  <c:v>46.773514128719818</c:v>
                </c:pt>
                <c:pt idx="67">
                  <c:v>47.863009232263877</c:v>
                </c:pt>
                <c:pt idx="68">
                  <c:v>48.977881936844632</c:v>
                </c:pt>
                <c:pt idx="69">
                  <c:v>50.118723362727238</c:v>
                </c:pt>
                <c:pt idx="70">
                  <c:v>51.28613839913649</c:v>
                </c:pt>
                <c:pt idx="71">
                  <c:v>52.480746024977286</c:v>
                </c:pt>
                <c:pt idx="72">
                  <c:v>53.703179637025293</c:v>
                </c:pt>
                <c:pt idx="73">
                  <c:v>54.95408738576247</c:v>
                </c:pt>
                <c:pt idx="74">
                  <c:v>56.234132519034915</c:v>
                </c:pt>
                <c:pt idx="75">
                  <c:v>57.543993733715695</c:v>
                </c:pt>
                <c:pt idx="76">
                  <c:v>58.884365535558949</c:v>
                </c:pt>
                <c:pt idx="77">
                  <c:v>60.255958607435822</c:v>
                </c:pt>
                <c:pt idx="78">
                  <c:v>61.659500186148257</c:v>
                </c:pt>
                <c:pt idx="79">
                  <c:v>63.095734448019364</c:v>
                </c:pt>
                <c:pt idx="80">
                  <c:v>64.565422903465588</c:v>
                </c:pt>
                <c:pt idx="81">
                  <c:v>66.069344800759623</c:v>
                </c:pt>
                <c:pt idx="82">
                  <c:v>67.60829753919819</c:v>
                </c:pt>
                <c:pt idx="83">
                  <c:v>69.183097091893657</c:v>
                </c:pt>
                <c:pt idx="84">
                  <c:v>70.794578438413865</c:v>
                </c:pt>
                <c:pt idx="85">
                  <c:v>72.443596007499011</c:v>
                </c:pt>
                <c:pt idx="86">
                  <c:v>74.131024130091816</c:v>
                </c:pt>
                <c:pt idx="87">
                  <c:v>75.857757502918361</c:v>
                </c:pt>
                <c:pt idx="88">
                  <c:v>77.624711662869217</c:v>
                </c:pt>
                <c:pt idx="89">
                  <c:v>79.432823472428197</c:v>
                </c:pt>
                <c:pt idx="90">
                  <c:v>81.283051616409963</c:v>
                </c:pt>
                <c:pt idx="91">
                  <c:v>83.176377110267126</c:v>
                </c:pt>
                <c:pt idx="92">
                  <c:v>85.113803820237734</c:v>
                </c:pt>
                <c:pt idx="93">
                  <c:v>87.096358995608071</c:v>
                </c:pt>
                <c:pt idx="94">
                  <c:v>89.125093813374562</c:v>
                </c:pt>
                <c:pt idx="95">
                  <c:v>91.201083935590972</c:v>
                </c:pt>
                <c:pt idx="96">
                  <c:v>93.325430079699174</c:v>
                </c:pt>
                <c:pt idx="97">
                  <c:v>95.499258602143655</c:v>
                </c:pt>
                <c:pt idx="98">
                  <c:v>97.723722095581124</c:v>
                </c:pt>
                <c:pt idx="99">
                  <c:v>100</c:v>
                </c:pt>
                <c:pt idx="100">
                  <c:v>102.32929922807544</c:v>
                </c:pt>
                <c:pt idx="101">
                  <c:v>104.71285480508998</c:v>
                </c:pt>
                <c:pt idx="102">
                  <c:v>107.15193052376065</c:v>
                </c:pt>
                <c:pt idx="103">
                  <c:v>109.64781961431861</c:v>
                </c:pt>
                <c:pt idx="104">
                  <c:v>112.20184543019634</c:v>
                </c:pt>
                <c:pt idx="105">
                  <c:v>114.81536214968835</c:v>
                </c:pt>
                <c:pt idx="106">
                  <c:v>117.48975549395293</c:v>
                </c:pt>
                <c:pt idx="107">
                  <c:v>120.22644346174135</c:v>
                </c:pt>
                <c:pt idx="108">
                  <c:v>123.02687708123821</c:v>
                </c:pt>
                <c:pt idx="109">
                  <c:v>125.89254117941677</c:v>
                </c:pt>
                <c:pt idx="110">
                  <c:v>128.82495516931343</c:v>
                </c:pt>
                <c:pt idx="111">
                  <c:v>131.82567385564084</c:v>
                </c:pt>
                <c:pt idx="112">
                  <c:v>134.89628825916537</c:v>
                </c:pt>
                <c:pt idx="113">
                  <c:v>138.0384264602886</c:v>
                </c:pt>
                <c:pt idx="114">
                  <c:v>141.25375446227542</c:v>
                </c:pt>
                <c:pt idx="115">
                  <c:v>144.54397707459285</c:v>
                </c:pt>
                <c:pt idx="116">
                  <c:v>147.91083881682084</c:v>
                </c:pt>
                <c:pt idx="117">
                  <c:v>151.3561248436209</c:v>
                </c:pt>
                <c:pt idx="118">
                  <c:v>154.8816618912482</c:v>
                </c:pt>
                <c:pt idx="119">
                  <c:v>158.48931924611153</c:v>
                </c:pt>
                <c:pt idx="120">
                  <c:v>162.18100973589304</c:v>
                </c:pt>
                <c:pt idx="121">
                  <c:v>165.95869074375622</c:v>
                </c:pt>
                <c:pt idx="122">
                  <c:v>169.82436524617444</c:v>
                </c:pt>
                <c:pt idx="123">
                  <c:v>173.78008287493768</c:v>
                </c:pt>
                <c:pt idx="124">
                  <c:v>177.82794100389242</c:v>
                </c:pt>
                <c:pt idx="125">
                  <c:v>181.9700858609983</c:v>
                </c:pt>
                <c:pt idx="126">
                  <c:v>186.20871366628685</c:v>
                </c:pt>
                <c:pt idx="127">
                  <c:v>190.54607179632498</c:v>
                </c:pt>
                <c:pt idx="128">
                  <c:v>194.98445997580458</c:v>
                </c:pt>
                <c:pt idx="129">
                  <c:v>199.52623149688802</c:v>
                </c:pt>
                <c:pt idx="130">
                  <c:v>204.17379446695315</c:v>
                </c:pt>
                <c:pt idx="131">
                  <c:v>208.92961308540396</c:v>
                </c:pt>
                <c:pt idx="132">
                  <c:v>213.79620895022339</c:v>
                </c:pt>
                <c:pt idx="133">
                  <c:v>218.77616239495524</c:v>
                </c:pt>
                <c:pt idx="134">
                  <c:v>223.87211385683412</c:v>
                </c:pt>
                <c:pt idx="135">
                  <c:v>229.08676527677744</c:v>
                </c:pt>
                <c:pt idx="136">
                  <c:v>234.42288153199232</c:v>
                </c:pt>
                <c:pt idx="137">
                  <c:v>239.88329190194912</c:v>
                </c:pt>
                <c:pt idx="138">
                  <c:v>245.4708915685033</c:v>
                </c:pt>
                <c:pt idx="139">
                  <c:v>251.18864315095806</c:v>
                </c:pt>
                <c:pt idx="140">
                  <c:v>257.03957827688663</c:v>
                </c:pt>
                <c:pt idx="141">
                  <c:v>263.02679918953817</c:v>
                </c:pt>
                <c:pt idx="142">
                  <c:v>269.15348039269179</c:v>
                </c:pt>
                <c:pt idx="143">
                  <c:v>275.42287033381683</c:v>
                </c:pt>
                <c:pt idx="144">
                  <c:v>281.83829312644554</c:v>
                </c:pt>
                <c:pt idx="145">
                  <c:v>288.40315031266073</c:v>
                </c:pt>
                <c:pt idx="146">
                  <c:v>295.12092266663871</c:v>
                </c:pt>
                <c:pt idx="147">
                  <c:v>301.99517204020168</c:v>
                </c:pt>
                <c:pt idx="148">
                  <c:v>309.02954325135937</c:v>
                </c:pt>
                <c:pt idx="149">
                  <c:v>316.22776601683825</c:v>
                </c:pt>
                <c:pt idx="150">
                  <c:v>323.59365692962825</c:v>
                </c:pt>
                <c:pt idx="151">
                  <c:v>331.13112148259137</c:v>
                </c:pt>
                <c:pt idx="152">
                  <c:v>338.84415613920277</c:v>
                </c:pt>
                <c:pt idx="153">
                  <c:v>346.73685045253183</c:v>
                </c:pt>
                <c:pt idx="154">
                  <c:v>354.81338923357566</c:v>
                </c:pt>
                <c:pt idx="155">
                  <c:v>363.07805477010152</c:v>
                </c:pt>
                <c:pt idx="156">
                  <c:v>371.53522909717265</c:v>
                </c:pt>
                <c:pt idx="157">
                  <c:v>380.18939632056163</c:v>
                </c:pt>
                <c:pt idx="158">
                  <c:v>389.04514499428063</c:v>
                </c:pt>
                <c:pt idx="159">
                  <c:v>398.10717055349761</c:v>
                </c:pt>
                <c:pt idx="160">
                  <c:v>407.38027780411272</c:v>
                </c:pt>
                <c:pt idx="161">
                  <c:v>416.86938347033572</c:v>
                </c:pt>
                <c:pt idx="162">
                  <c:v>426.57951880159294</c:v>
                </c:pt>
                <c:pt idx="163">
                  <c:v>436.51583224016622</c:v>
                </c:pt>
                <c:pt idx="164">
                  <c:v>446.68359215096331</c:v>
                </c:pt>
                <c:pt idx="165">
                  <c:v>457.0881896148756</c:v>
                </c:pt>
                <c:pt idx="166">
                  <c:v>467.7351412871983</c:v>
                </c:pt>
                <c:pt idx="167">
                  <c:v>478.63009232263886</c:v>
                </c:pt>
                <c:pt idx="168">
                  <c:v>489.77881936844625</c:v>
                </c:pt>
                <c:pt idx="169">
                  <c:v>501.18723362727269</c:v>
                </c:pt>
                <c:pt idx="170">
                  <c:v>512.86138399136519</c:v>
                </c:pt>
                <c:pt idx="171">
                  <c:v>524.80746024977248</c:v>
                </c:pt>
                <c:pt idx="172">
                  <c:v>537.03179637025301</c:v>
                </c:pt>
                <c:pt idx="173">
                  <c:v>549.54087385762534</c:v>
                </c:pt>
                <c:pt idx="174">
                  <c:v>562.34132519034927</c:v>
                </c:pt>
                <c:pt idx="175">
                  <c:v>575.43993733715706</c:v>
                </c:pt>
                <c:pt idx="176">
                  <c:v>588.84365535558959</c:v>
                </c:pt>
                <c:pt idx="177">
                  <c:v>602.55958607435832</c:v>
                </c:pt>
                <c:pt idx="178">
                  <c:v>616.59500186148273</c:v>
                </c:pt>
                <c:pt idx="179">
                  <c:v>630.95734448019323</c:v>
                </c:pt>
                <c:pt idx="180">
                  <c:v>645.65422903465594</c:v>
                </c:pt>
                <c:pt idx="181">
                  <c:v>660.69344800759643</c:v>
                </c:pt>
                <c:pt idx="182">
                  <c:v>676.08297539198213</c:v>
                </c:pt>
                <c:pt idx="183">
                  <c:v>691.83097091893671</c:v>
                </c:pt>
                <c:pt idx="184">
                  <c:v>707.94578438413873</c:v>
                </c:pt>
                <c:pt idx="185">
                  <c:v>724.43596007499025</c:v>
                </c:pt>
                <c:pt idx="186">
                  <c:v>741.31024130091828</c:v>
                </c:pt>
                <c:pt idx="187">
                  <c:v>758.57757502918378</c:v>
                </c:pt>
                <c:pt idx="188">
                  <c:v>776.24711662869231</c:v>
                </c:pt>
                <c:pt idx="189">
                  <c:v>794.32823472428208</c:v>
                </c:pt>
                <c:pt idx="190">
                  <c:v>812.83051616409978</c:v>
                </c:pt>
                <c:pt idx="191">
                  <c:v>831.7637711026714</c:v>
                </c:pt>
                <c:pt idx="192">
                  <c:v>851.13803820237763</c:v>
                </c:pt>
                <c:pt idx="193">
                  <c:v>870.96358995608091</c:v>
                </c:pt>
                <c:pt idx="194">
                  <c:v>891.25093813374656</c:v>
                </c:pt>
                <c:pt idx="195">
                  <c:v>912.01083935590987</c:v>
                </c:pt>
                <c:pt idx="196">
                  <c:v>933.25430079699106</c:v>
                </c:pt>
                <c:pt idx="197">
                  <c:v>954.99258602143675</c:v>
                </c:pt>
                <c:pt idx="198">
                  <c:v>977.23722095581138</c:v>
                </c:pt>
                <c:pt idx="199">
                  <c:v>1000</c:v>
                </c:pt>
                <c:pt idx="200">
                  <c:v>1023.2929922807547</c:v>
                </c:pt>
                <c:pt idx="201">
                  <c:v>1047.1285480509</c:v>
                </c:pt>
                <c:pt idx="202">
                  <c:v>1071.5193052376069</c:v>
                </c:pt>
                <c:pt idx="203">
                  <c:v>1096.4781961431863</c:v>
                </c:pt>
                <c:pt idx="204">
                  <c:v>1122.0184543019636</c:v>
                </c:pt>
                <c:pt idx="205">
                  <c:v>1148.1536214968839</c:v>
                </c:pt>
                <c:pt idx="206">
                  <c:v>1174.8975549395295</c:v>
                </c:pt>
                <c:pt idx="207">
                  <c:v>1202.2644346174138</c:v>
                </c:pt>
                <c:pt idx="208">
                  <c:v>1230.2687708123824</c:v>
                </c:pt>
                <c:pt idx="209">
                  <c:v>1258.925411794168</c:v>
                </c:pt>
                <c:pt idx="210">
                  <c:v>1288.2495516931347</c:v>
                </c:pt>
                <c:pt idx="211">
                  <c:v>1318.2567385564089</c:v>
                </c:pt>
                <c:pt idx="212">
                  <c:v>1348.9628825916541</c:v>
                </c:pt>
                <c:pt idx="213">
                  <c:v>1380.3842646028863</c:v>
                </c:pt>
                <c:pt idx="214">
                  <c:v>1412.5375446227545</c:v>
                </c:pt>
                <c:pt idx="215">
                  <c:v>1445.4397707459289</c:v>
                </c:pt>
                <c:pt idx="216">
                  <c:v>1479.1083881682086</c:v>
                </c:pt>
                <c:pt idx="217">
                  <c:v>1513.5612484362093</c:v>
                </c:pt>
                <c:pt idx="218">
                  <c:v>1548.8166189124822</c:v>
                </c:pt>
                <c:pt idx="219">
                  <c:v>1584.8931924611156</c:v>
                </c:pt>
                <c:pt idx="220">
                  <c:v>1621.8100973589308</c:v>
                </c:pt>
                <c:pt idx="221">
                  <c:v>1659.5869074375626</c:v>
                </c:pt>
                <c:pt idx="222">
                  <c:v>1698.2436524617447</c:v>
                </c:pt>
                <c:pt idx="223">
                  <c:v>1737.8008287493772</c:v>
                </c:pt>
                <c:pt idx="224">
                  <c:v>1778.2794100389244</c:v>
                </c:pt>
                <c:pt idx="225">
                  <c:v>1819.7008586099832</c:v>
                </c:pt>
                <c:pt idx="226">
                  <c:v>1862.0871366628687</c:v>
                </c:pt>
                <c:pt idx="227">
                  <c:v>1905.4607179632501</c:v>
                </c:pt>
                <c:pt idx="228">
                  <c:v>1949.8445997580463</c:v>
                </c:pt>
                <c:pt idx="229">
                  <c:v>1995.2623149688804</c:v>
                </c:pt>
                <c:pt idx="230">
                  <c:v>2041.7379446695318</c:v>
                </c:pt>
                <c:pt idx="231">
                  <c:v>2089.2961308540398</c:v>
                </c:pt>
                <c:pt idx="232">
                  <c:v>2137.9620895022344</c:v>
                </c:pt>
                <c:pt idx="233">
                  <c:v>2187.7616239495528</c:v>
                </c:pt>
                <c:pt idx="234">
                  <c:v>2238.7211385683418</c:v>
                </c:pt>
                <c:pt idx="235">
                  <c:v>2290.8676527677749</c:v>
                </c:pt>
                <c:pt idx="236">
                  <c:v>2344.2288153199238</c:v>
                </c:pt>
                <c:pt idx="237">
                  <c:v>2398.8329190194918</c:v>
                </c:pt>
                <c:pt idx="238">
                  <c:v>2454.7089156850338</c:v>
                </c:pt>
                <c:pt idx="239">
                  <c:v>2511.8864315095811</c:v>
                </c:pt>
                <c:pt idx="240">
                  <c:v>2570.3957827688669</c:v>
                </c:pt>
                <c:pt idx="241">
                  <c:v>2630.2679918953822</c:v>
                </c:pt>
                <c:pt idx="242">
                  <c:v>2691.5348039269184</c:v>
                </c:pt>
                <c:pt idx="243">
                  <c:v>2754.228703338169</c:v>
                </c:pt>
                <c:pt idx="244">
                  <c:v>2818.3829312644561</c:v>
                </c:pt>
                <c:pt idx="245">
                  <c:v>2884.0315031266077</c:v>
                </c:pt>
                <c:pt idx="246">
                  <c:v>2951.2092266663876</c:v>
                </c:pt>
                <c:pt idx="247">
                  <c:v>3019.9517204020176</c:v>
                </c:pt>
                <c:pt idx="248">
                  <c:v>3090.295432513592</c:v>
                </c:pt>
                <c:pt idx="249">
                  <c:v>3162.2776601683804</c:v>
                </c:pt>
                <c:pt idx="250">
                  <c:v>3235.9365692962833</c:v>
                </c:pt>
                <c:pt idx="251">
                  <c:v>3311.3112148259115</c:v>
                </c:pt>
                <c:pt idx="252">
                  <c:v>3388.4415613920314</c:v>
                </c:pt>
                <c:pt idx="253">
                  <c:v>3467.3685045253224</c:v>
                </c:pt>
                <c:pt idx="254">
                  <c:v>3548.1338923357539</c:v>
                </c:pt>
                <c:pt idx="255">
                  <c:v>3630.7805477010188</c:v>
                </c:pt>
                <c:pt idx="256">
                  <c:v>3715.352290971724</c:v>
                </c:pt>
                <c:pt idx="257">
                  <c:v>3801.8939632056172</c:v>
                </c:pt>
                <c:pt idx="258">
                  <c:v>3890.451449942811</c:v>
                </c:pt>
                <c:pt idx="259">
                  <c:v>3981.0717055349769</c:v>
                </c:pt>
                <c:pt idx="260">
                  <c:v>4073.8027780411317</c:v>
                </c:pt>
                <c:pt idx="261">
                  <c:v>4168.6938347033583</c:v>
                </c:pt>
                <c:pt idx="262">
                  <c:v>4265.7951880159299</c:v>
                </c:pt>
                <c:pt idx="263">
                  <c:v>4365.1583224016631</c:v>
                </c:pt>
                <c:pt idx="264">
                  <c:v>4466.8359215096343</c:v>
                </c:pt>
                <c:pt idx="265">
                  <c:v>4570.8818961487532</c:v>
                </c:pt>
                <c:pt idx="266">
                  <c:v>4677.3514128719844</c:v>
                </c:pt>
                <c:pt idx="267">
                  <c:v>4786.3009232263848</c:v>
                </c:pt>
                <c:pt idx="268">
                  <c:v>4897.7881936844633</c:v>
                </c:pt>
                <c:pt idx="269">
                  <c:v>5011.8723362727324</c:v>
                </c:pt>
                <c:pt idx="270">
                  <c:v>5128.6138399136489</c:v>
                </c:pt>
                <c:pt idx="271">
                  <c:v>5248.0746024977261</c:v>
                </c:pt>
                <c:pt idx="272">
                  <c:v>5370.3179637025269</c:v>
                </c:pt>
                <c:pt idx="273">
                  <c:v>5495.4087385762541</c:v>
                </c:pt>
                <c:pt idx="274">
                  <c:v>5623.4132519034993</c:v>
                </c:pt>
                <c:pt idx="275">
                  <c:v>5754.399373371567</c:v>
                </c:pt>
                <c:pt idx="276">
                  <c:v>5888.4365535558973</c:v>
                </c:pt>
                <c:pt idx="277">
                  <c:v>6025.595860743585</c:v>
                </c:pt>
                <c:pt idx="278">
                  <c:v>6165.9500186148289</c:v>
                </c:pt>
                <c:pt idx="279">
                  <c:v>6309.5734448019384</c:v>
                </c:pt>
                <c:pt idx="280">
                  <c:v>6456.5422903465615</c:v>
                </c:pt>
                <c:pt idx="281">
                  <c:v>6606.9344800759654</c:v>
                </c:pt>
                <c:pt idx="282">
                  <c:v>6760.8297539198229</c:v>
                </c:pt>
                <c:pt idx="283">
                  <c:v>6918.3097091893687</c:v>
                </c:pt>
                <c:pt idx="284">
                  <c:v>7079.4578438413828</c:v>
                </c:pt>
                <c:pt idx="285">
                  <c:v>7244.3596007499036</c:v>
                </c:pt>
                <c:pt idx="286">
                  <c:v>7413.1024130091773</c:v>
                </c:pt>
                <c:pt idx="287">
                  <c:v>7585.7757502918394</c:v>
                </c:pt>
                <c:pt idx="288">
                  <c:v>7762.4711662869322</c:v>
                </c:pt>
                <c:pt idx="289">
                  <c:v>7943.2823472428154</c:v>
                </c:pt>
                <c:pt idx="290">
                  <c:v>8128.3051616410066</c:v>
                </c:pt>
                <c:pt idx="291">
                  <c:v>8317.6377110267094</c:v>
                </c:pt>
                <c:pt idx="292">
                  <c:v>8511.3803820237772</c:v>
                </c:pt>
                <c:pt idx="293">
                  <c:v>8709.6358995608189</c:v>
                </c:pt>
                <c:pt idx="294">
                  <c:v>8912.5093813374679</c:v>
                </c:pt>
                <c:pt idx="295">
                  <c:v>9120.1083935591087</c:v>
                </c:pt>
                <c:pt idx="296">
                  <c:v>9332.5430079699217</c:v>
                </c:pt>
                <c:pt idx="297">
                  <c:v>9549.9258602143691</c:v>
                </c:pt>
                <c:pt idx="298">
                  <c:v>9772.3722095581161</c:v>
                </c:pt>
                <c:pt idx="299">
                  <c:v>10000</c:v>
                </c:pt>
                <c:pt idx="300">
                  <c:v>10232.929922807549</c:v>
                </c:pt>
                <c:pt idx="301">
                  <c:v>10471.285480509003</c:v>
                </c:pt>
                <c:pt idx="302">
                  <c:v>10715.193052376071</c:v>
                </c:pt>
                <c:pt idx="303">
                  <c:v>10964.781961431856</c:v>
                </c:pt>
                <c:pt idx="304">
                  <c:v>11220.184543019639</c:v>
                </c:pt>
                <c:pt idx="305">
                  <c:v>11481.536214968832</c:v>
                </c:pt>
                <c:pt idx="306">
                  <c:v>11748.975549395318</c:v>
                </c:pt>
                <c:pt idx="307">
                  <c:v>12022.644346174151</c:v>
                </c:pt>
                <c:pt idx="308">
                  <c:v>12302.687708123816</c:v>
                </c:pt>
                <c:pt idx="309">
                  <c:v>12589.254117941671</c:v>
                </c:pt>
                <c:pt idx="310">
                  <c:v>12882.49551693136</c:v>
                </c:pt>
                <c:pt idx="311">
                  <c:v>13182.567385564091</c:v>
                </c:pt>
                <c:pt idx="312">
                  <c:v>13489.628825916556</c:v>
                </c:pt>
                <c:pt idx="313">
                  <c:v>13803.842646028841</c:v>
                </c:pt>
                <c:pt idx="314">
                  <c:v>14125.375446227561</c:v>
                </c:pt>
                <c:pt idx="315">
                  <c:v>14454.397707459291</c:v>
                </c:pt>
                <c:pt idx="316">
                  <c:v>14791.083881682089</c:v>
                </c:pt>
                <c:pt idx="317">
                  <c:v>15135.612484362096</c:v>
                </c:pt>
                <c:pt idx="318">
                  <c:v>15488.166189124853</c:v>
                </c:pt>
                <c:pt idx="319">
                  <c:v>15848.931924611146</c:v>
                </c:pt>
                <c:pt idx="320">
                  <c:v>16218.100973589309</c:v>
                </c:pt>
                <c:pt idx="321">
                  <c:v>16595.869074375616</c:v>
                </c:pt>
                <c:pt idx="322">
                  <c:v>16982.436524617482</c:v>
                </c:pt>
                <c:pt idx="323">
                  <c:v>17378.008287493791</c:v>
                </c:pt>
                <c:pt idx="324">
                  <c:v>17782.794100389234</c:v>
                </c:pt>
                <c:pt idx="325">
                  <c:v>18197.008586099837</c:v>
                </c:pt>
                <c:pt idx="326">
                  <c:v>18620.871366628675</c:v>
                </c:pt>
                <c:pt idx="327">
                  <c:v>19054.607179632505</c:v>
                </c:pt>
                <c:pt idx="328">
                  <c:v>19498.445997580486</c:v>
                </c:pt>
                <c:pt idx="329">
                  <c:v>19952.623149688792</c:v>
                </c:pt>
                <c:pt idx="330">
                  <c:v>20417.379446695286</c:v>
                </c:pt>
                <c:pt idx="331">
                  <c:v>20892.961308540423</c:v>
                </c:pt>
                <c:pt idx="332">
                  <c:v>21379.620895022348</c:v>
                </c:pt>
                <c:pt idx="333">
                  <c:v>21877.61623949555</c:v>
                </c:pt>
                <c:pt idx="334">
                  <c:v>22387.211385683382</c:v>
                </c:pt>
                <c:pt idx="335">
                  <c:v>22908.676527677751</c:v>
                </c:pt>
                <c:pt idx="336">
                  <c:v>23442.288153199243</c:v>
                </c:pt>
                <c:pt idx="337">
                  <c:v>23988.329190194923</c:v>
                </c:pt>
                <c:pt idx="338">
                  <c:v>24547.089156850321</c:v>
                </c:pt>
                <c:pt idx="339">
                  <c:v>25118.86431509586</c:v>
                </c:pt>
                <c:pt idx="340">
                  <c:v>25703.95782768865</c:v>
                </c:pt>
                <c:pt idx="341">
                  <c:v>26302.679918953829</c:v>
                </c:pt>
                <c:pt idx="342">
                  <c:v>26915.348039269167</c:v>
                </c:pt>
                <c:pt idx="343">
                  <c:v>27542.287033381719</c:v>
                </c:pt>
                <c:pt idx="344">
                  <c:v>28183.829312644593</c:v>
                </c:pt>
                <c:pt idx="345">
                  <c:v>28840.315031266062</c:v>
                </c:pt>
                <c:pt idx="346">
                  <c:v>29512.092266663854</c:v>
                </c:pt>
                <c:pt idx="347">
                  <c:v>30199.517204020212</c:v>
                </c:pt>
                <c:pt idx="348">
                  <c:v>30902.954325135954</c:v>
                </c:pt>
                <c:pt idx="349">
                  <c:v>31622.77660168384</c:v>
                </c:pt>
                <c:pt idx="350">
                  <c:v>32359.365692962871</c:v>
                </c:pt>
                <c:pt idx="351">
                  <c:v>33113.11214825909</c:v>
                </c:pt>
                <c:pt idx="352">
                  <c:v>33884.41561392029</c:v>
                </c:pt>
                <c:pt idx="353">
                  <c:v>34673.685045253202</c:v>
                </c:pt>
                <c:pt idx="354">
                  <c:v>35481.33892335758</c:v>
                </c:pt>
                <c:pt idx="355">
                  <c:v>36307.805477010232</c:v>
                </c:pt>
                <c:pt idx="356">
                  <c:v>37153.522909717351</c:v>
                </c:pt>
                <c:pt idx="357">
                  <c:v>38018.939632056143</c:v>
                </c:pt>
                <c:pt idx="358">
                  <c:v>38904.514499428085</c:v>
                </c:pt>
                <c:pt idx="359">
                  <c:v>39810.717055349742</c:v>
                </c:pt>
                <c:pt idx="360">
                  <c:v>40738.027780411358</c:v>
                </c:pt>
                <c:pt idx="361">
                  <c:v>41686.938347033625</c:v>
                </c:pt>
                <c:pt idx="362">
                  <c:v>42657.951880159271</c:v>
                </c:pt>
                <c:pt idx="363">
                  <c:v>43651.583224016598</c:v>
                </c:pt>
                <c:pt idx="364">
                  <c:v>44668.359215096389</c:v>
                </c:pt>
                <c:pt idx="365">
                  <c:v>45708.818961487581</c:v>
                </c:pt>
                <c:pt idx="366">
                  <c:v>46773.514128719893</c:v>
                </c:pt>
                <c:pt idx="367">
                  <c:v>47863.009232263823</c:v>
                </c:pt>
                <c:pt idx="368">
                  <c:v>48977.881936844598</c:v>
                </c:pt>
                <c:pt idx="369">
                  <c:v>50118.723362727294</c:v>
                </c:pt>
                <c:pt idx="370">
                  <c:v>51286.138399136544</c:v>
                </c:pt>
                <c:pt idx="371">
                  <c:v>52480.746024977314</c:v>
                </c:pt>
                <c:pt idx="372">
                  <c:v>53703.179637025423</c:v>
                </c:pt>
                <c:pt idx="373">
                  <c:v>54954.087385762505</c:v>
                </c:pt>
                <c:pt idx="374">
                  <c:v>56234.132519034953</c:v>
                </c:pt>
                <c:pt idx="375">
                  <c:v>57543.993733715732</c:v>
                </c:pt>
                <c:pt idx="376">
                  <c:v>58884.365535558936</c:v>
                </c:pt>
                <c:pt idx="377">
                  <c:v>60255.95860743591</c:v>
                </c:pt>
                <c:pt idx="378">
                  <c:v>61659.500186148245</c:v>
                </c:pt>
                <c:pt idx="379">
                  <c:v>63095.734448019342</c:v>
                </c:pt>
                <c:pt idx="380">
                  <c:v>64565.422903465682</c:v>
                </c:pt>
                <c:pt idx="381">
                  <c:v>66069.344800759733</c:v>
                </c:pt>
                <c:pt idx="382">
                  <c:v>67608.297539198305</c:v>
                </c:pt>
                <c:pt idx="383">
                  <c:v>69183.097091893651</c:v>
                </c:pt>
                <c:pt idx="384">
                  <c:v>70794.578438413781</c:v>
                </c:pt>
                <c:pt idx="385">
                  <c:v>72443.596007499116</c:v>
                </c:pt>
                <c:pt idx="386">
                  <c:v>74131.024130091857</c:v>
                </c:pt>
                <c:pt idx="387">
                  <c:v>75857.757502918481</c:v>
                </c:pt>
                <c:pt idx="388">
                  <c:v>77624.711662869129</c:v>
                </c:pt>
                <c:pt idx="389">
                  <c:v>79432.823472428237</c:v>
                </c:pt>
                <c:pt idx="390">
                  <c:v>81283.051616410012</c:v>
                </c:pt>
                <c:pt idx="391">
                  <c:v>83176.377110267174</c:v>
                </c:pt>
                <c:pt idx="392">
                  <c:v>85113.803820237721</c:v>
                </c:pt>
                <c:pt idx="393">
                  <c:v>87096.358995608127</c:v>
                </c:pt>
                <c:pt idx="394">
                  <c:v>89125.093813374609</c:v>
                </c:pt>
                <c:pt idx="395">
                  <c:v>91201.083935591028</c:v>
                </c:pt>
                <c:pt idx="396">
                  <c:v>93325.430079699145</c:v>
                </c:pt>
                <c:pt idx="397">
                  <c:v>95499.258602143804</c:v>
                </c:pt>
                <c:pt idx="398">
                  <c:v>97723.722095581266</c:v>
                </c:pt>
                <c:pt idx="399">
                  <c:v>100000</c:v>
                </c:pt>
                <c:pt idx="400">
                  <c:v>102329.29922807543</c:v>
                </c:pt>
                <c:pt idx="401">
                  <c:v>104712.85480508996</c:v>
                </c:pt>
                <c:pt idx="402">
                  <c:v>107151.93052376082</c:v>
                </c:pt>
                <c:pt idx="403">
                  <c:v>109647.81961431868</c:v>
                </c:pt>
                <c:pt idx="404">
                  <c:v>112201.84543019651</c:v>
                </c:pt>
                <c:pt idx="405">
                  <c:v>114815.36214968823</c:v>
                </c:pt>
                <c:pt idx="406">
                  <c:v>117489.75549395311</c:v>
                </c:pt>
                <c:pt idx="407">
                  <c:v>120226.44346174144</c:v>
                </c:pt>
                <c:pt idx="408">
                  <c:v>123026.87708123829</c:v>
                </c:pt>
                <c:pt idx="409">
                  <c:v>125892.54117941685</c:v>
                </c:pt>
                <c:pt idx="410">
                  <c:v>128824.95516931375</c:v>
                </c:pt>
                <c:pt idx="411">
                  <c:v>131825.67385564081</c:v>
                </c:pt>
                <c:pt idx="412">
                  <c:v>134896.28825916545</c:v>
                </c:pt>
                <c:pt idx="413">
                  <c:v>138038.42646028858</c:v>
                </c:pt>
                <c:pt idx="414">
                  <c:v>141253.75446227577</c:v>
                </c:pt>
                <c:pt idx="415">
                  <c:v>144543.97707459307</c:v>
                </c:pt>
                <c:pt idx="416">
                  <c:v>147910.83881682079</c:v>
                </c:pt>
                <c:pt idx="417">
                  <c:v>151356.12484362084</c:v>
                </c:pt>
                <c:pt idx="418">
                  <c:v>154881.66189124843</c:v>
                </c:pt>
                <c:pt idx="419">
                  <c:v>158489.31924611164</c:v>
                </c:pt>
                <c:pt idx="420">
                  <c:v>162181.00973589328</c:v>
                </c:pt>
                <c:pt idx="421">
                  <c:v>165958.69074375604</c:v>
                </c:pt>
                <c:pt idx="422">
                  <c:v>169824.36524617471</c:v>
                </c:pt>
                <c:pt idx="423">
                  <c:v>173780.0828749378</c:v>
                </c:pt>
                <c:pt idx="424">
                  <c:v>177827.94100389251</c:v>
                </c:pt>
                <c:pt idx="425">
                  <c:v>181970.08586099857</c:v>
                </c:pt>
                <c:pt idx="426">
                  <c:v>186208.71366628664</c:v>
                </c:pt>
                <c:pt idx="427">
                  <c:v>190546.07179632492</c:v>
                </c:pt>
                <c:pt idx="428">
                  <c:v>194984.45997580473</c:v>
                </c:pt>
                <c:pt idx="429">
                  <c:v>199526.23149688813</c:v>
                </c:pt>
                <c:pt idx="430">
                  <c:v>204173.79446695308</c:v>
                </c:pt>
                <c:pt idx="431">
                  <c:v>208929.61308540447</c:v>
                </c:pt>
                <c:pt idx="432">
                  <c:v>213796.20895022334</c:v>
                </c:pt>
                <c:pt idx="433">
                  <c:v>218776.16239495538</c:v>
                </c:pt>
                <c:pt idx="434">
                  <c:v>223872.11385683404</c:v>
                </c:pt>
                <c:pt idx="435">
                  <c:v>229086.76527677779</c:v>
                </c:pt>
                <c:pt idx="436">
                  <c:v>234422.88153199267</c:v>
                </c:pt>
                <c:pt idx="437">
                  <c:v>239883.29190194907</c:v>
                </c:pt>
                <c:pt idx="438">
                  <c:v>245470.89156850305</c:v>
                </c:pt>
                <c:pt idx="439">
                  <c:v>251188.64315095844</c:v>
                </c:pt>
                <c:pt idx="440">
                  <c:v>257039.57827688678</c:v>
                </c:pt>
                <c:pt idx="441">
                  <c:v>263026.79918953858</c:v>
                </c:pt>
                <c:pt idx="442">
                  <c:v>269153.48039269145</c:v>
                </c:pt>
                <c:pt idx="443">
                  <c:v>275422.87033381703</c:v>
                </c:pt>
                <c:pt idx="444">
                  <c:v>281838.29312644573</c:v>
                </c:pt>
                <c:pt idx="445">
                  <c:v>288403.1503126609</c:v>
                </c:pt>
                <c:pt idx="446">
                  <c:v>295120.92266663886</c:v>
                </c:pt>
                <c:pt idx="447">
                  <c:v>301995.17204020242</c:v>
                </c:pt>
                <c:pt idx="448">
                  <c:v>309029.54325135931</c:v>
                </c:pt>
                <c:pt idx="449">
                  <c:v>316227.7660168382</c:v>
                </c:pt>
                <c:pt idx="450">
                  <c:v>323593.65692962846</c:v>
                </c:pt>
                <c:pt idx="451">
                  <c:v>331131.12148259126</c:v>
                </c:pt>
                <c:pt idx="452">
                  <c:v>338844.15613920329</c:v>
                </c:pt>
                <c:pt idx="453">
                  <c:v>346736.85045253241</c:v>
                </c:pt>
                <c:pt idx="454">
                  <c:v>354813.38923357555</c:v>
                </c:pt>
                <c:pt idx="455">
                  <c:v>363078.05477010203</c:v>
                </c:pt>
                <c:pt idx="456">
                  <c:v>371535.2290971732</c:v>
                </c:pt>
                <c:pt idx="457">
                  <c:v>380189.39632056188</c:v>
                </c:pt>
                <c:pt idx="458">
                  <c:v>389045.14499428123</c:v>
                </c:pt>
                <c:pt idx="459">
                  <c:v>398107.17055349716</c:v>
                </c:pt>
                <c:pt idx="460">
                  <c:v>407380.27780411334</c:v>
                </c:pt>
                <c:pt idx="461">
                  <c:v>416869.38347033598</c:v>
                </c:pt>
                <c:pt idx="462">
                  <c:v>426579.51880159322</c:v>
                </c:pt>
                <c:pt idx="463">
                  <c:v>436515.83224016649</c:v>
                </c:pt>
                <c:pt idx="464">
                  <c:v>446683.59215096442</c:v>
                </c:pt>
                <c:pt idx="465">
                  <c:v>457088.18961487547</c:v>
                </c:pt>
                <c:pt idx="466">
                  <c:v>467735.14128719864</c:v>
                </c:pt>
                <c:pt idx="467">
                  <c:v>478630.09232263872</c:v>
                </c:pt>
                <c:pt idx="468">
                  <c:v>489778.81936844654</c:v>
                </c:pt>
                <c:pt idx="469">
                  <c:v>501187.23362727347</c:v>
                </c:pt>
                <c:pt idx="470">
                  <c:v>512861.38399136515</c:v>
                </c:pt>
                <c:pt idx="471">
                  <c:v>524807.46024977288</c:v>
                </c:pt>
                <c:pt idx="472">
                  <c:v>537031.7963702539</c:v>
                </c:pt>
                <c:pt idx="473">
                  <c:v>549540.87385762564</c:v>
                </c:pt>
                <c:pt idx="474">
                  <c:v>562341.32519035018</c:v>
                </c:pt>
                <c:pt idx="475">
                  <c:v>575439.93733715697</c:v>
                </c:pt>
                <c:pt idx="476">
                  <c:v>588843.65535558888</c:v>
                </c:pt>
                <c:pt idx="477">
                  <c:v>602559.58607435878</c:v>
                </c:pt>
                <c:pt idx="478">
                  <c:v>616595.00186148309</c:v>
                </c:pt>
                <c:pt idx="479">
                  <c:v>630957.34448019415</c:v>
                </c:pt>
                <c:pt idx="480">
                  <c:v>645654.22903465747</c:v>
                </c:pt>
                <c:pt idx="481">
                  <c:v>660693.44800759677</c:v>
                </c:pt>
                <c:pt idx="482">
                  <c:v>676082.97539198259</c:v>
                </c:pt>
                <c:pt idx="483">
                  <c:v>691830.97091893724</c:v>
                </c:pt>
                <c:pt idx="484">
                  <c:v>707945.78438413853</c:v>
                </c:pt>
                <c:pt idx="485">
                  <c:v>724435.96007499192</c:v>
                </c:pt>
                <c:pt idx="486">
                  <c:v>741310.24130091805</c:v>
                </c:pt>
                <c:pt idx="487">
                  <c:v>758577.57502918423</c:v>
                </c:pt>
                <c:pt idx="488">
                  <c:v>776247.11662869214</c:v>
                </c:pt>
                <c:pt idx="489">
                  <c:v>794328.23472428333</c:v>
                </c:pt>
                <c:pt idx="490">
                  <c:v>812830.51616410096</c:v>
                </c:pt>
                <c:pt idx="491">
                  <c:v>831763.77110267128</c:v>
                </c:pt>
                <c:pt idx="492">
                  <c:v>851138.03820237669</c:v>
                </c:pt>
                <c:pt idx="493">
                  <c:v>870963.58995608077</c:v>
                </c:pt>
                <c:pt idx="494">
                  <c:v>891250.93813374708</c:v>
                </c:pt>
                <c:pt idx="495">
                  <c:v>912010.83935591124</c:v>
                </c:pt>
                <c:pt idx="496">
                  <c:v>933254.30079699249</c:v>
                </c:pt>
                <c:pt idx="497">
                  <c:v>954992.58602143743</c:v>
                </c:pt>
                <c:pt idx="498">
                  <c:v>977237.22095581202</c:v>
                </c:pt>
                <c:pt idx="499">
                  <c:v>1000000</c:v>
                </c:pt>
                <c:pt idx="500">
                  <c:v>1023292.9922807553</c:v>
                </c:pt>
                <c:pt idx="501">
                  <c:v>1047128.5480509007</c:v>
                </c:pt>
                <c:pt idx="502">
                  <c:v>1071519.3052376076</c:v>
                </c:pt>
                <c:pt idx="503">
                  <c:v>1096478.196143186</c:v>
                </c:pt>
                <c:pt idx="504">
                  <c:v>1122018.4543019643</c:v>
                </c:pt>
                <c:pt idx="505">
                  <c:v>1148153.6214968837</c:v>
                </c:pt>
                <c:pt idx="506">
                  <c:v>1174897.5549395324</c:v>
                </c:pt>
                <c:pt idx="507">
                  <c:v>1202264.4346174158</c:v>
                </c:pt>
                <c:pt idx="508">
                  <c:v>1230268.770812382</c:v>
                </c:pt>
                <c:pt idx="509">
                  <c:v>1258925.4117941677</c:v>
                </c:pt>
                <c:pt idx="510">
                  <c:v>1288249.5516931366</c:v>
                </c:pt>
                <c:pt idx="511">
                  <c:v>1318256.7385564097</c:v>
                </c:pt>
                <c:pt idx="512">
                  <c:v>1348962.8825916562</c:v>
                </c:pt>
                <c:pt idx="513">
                  <c:v>1380384.2646028849</c:v>
                </c:pt>
                <c:pt idx="514">
                  <c:v>1412537.5446227565</c:v>
                </c:pt>
                <c:pt idx="515">
                  <c:v>1445439.7707459298</c:v>
                </c:pt>
                <c:pt idx="516">
                  <c:v>1479108.3881682095</c:v>
                </c:pt>
                <c:pt idx="517">
                  <c:v>1513561.2484362102</c:v>
                </c:pt>
                <c:pt idx="518">
                  <c:v>1548816.6189124861</c:v>
                </c:pt>
                <c:pt idx="519">
                  <c:v>1584893.1924611153</c:v>
                </c:pt>
                <c:pt idx="520">
                  <c:v>1621810.0973589318</c:v>
                </c:pt>
                <c:pt idx="521">
                  <c:v>1659586.9074375622</c:v>
                </c:pt>
                <c:pt idx="522">
                  <c:v>1698243.6524617488</c:v>
                </c:pt>
                <c:pt idx="523">
                  <c:v>1737800.8287493798</c:v>
                </c:pt>
                <c:pt idx="524">
                  <c:v>1778279.4100389241</c:v>
                </c:pt>
                <c:pt idx="525">
                  <c:v>1819700.8586099846</c:v>
                </c:pt>
                <c:pt idx="526">
                  <c:v>1862087.1366628683</c:v>
                </c:pt>
                <c:pt idx="527">
                  <c:v>1905460.7179632513</c:v>
                </c:pt>
                <c:pt idx="528">
                  <c:v>1949844.5997580495</c:v>
                </c:pt>
                <c:pt idx="529">
                  <c:v>1995262.31496888</c:v>
                </c:pt>
                <c:pt idx="530">
                  <c:v>2041737.9446695296</c:v>
                </c:pt>
                <c:pt idx="531">
                  <c:v>2089296.1308540432</c:v>
                </c:pt>
                <c:pt idx="532">
                  <c:v>2137962.0895022359</c:v>
                </c:pt>
                <c:pt idx="533">
                  <c:v>2187761.6239495561</c:v>
                </c:pt>
                <c:pt idx="534">
                  <c:v>2238721.1385683389</c:v>
                </c:pt>
                <c:pt idx="535">
                  <c:v>2290867.6527677765</c:v>
                </c:pt>
                <c:pt idx="536">
                  <c:v>2344228.8153199251</c:v>
                </c:pt>
                <c:pt idx="537">
                  <c:v>2398832.9190194933</c:v>
                </c:pt>
                <c:pt idx="538">
                  <c:v>2454708.915685033</c:v>
                </c:pt>
                <c:pt idx="539">
                  <c:v>2511886.431509587</c:v>
                </c:pt>
                <c:pt idx="540">
                  <c:v>2570395.782768866</c:v>
                </c:pt>
                <c:pt idx="541">
                  <c:v>2630267.9918953842</c:v>
                </c:pt>
              </c:numCache>
            </c:numRef>
          </c:xVal>
          <c:yVal>
            <c:numRef>
              <c:f>CCM_Loop_Modeling_non_isolated!$AT$19:$AT$560</c:f>
              <c:numCache>
                <c:formatCode>0.000</c:formatCode>
                <c:ptCount val="542"/>
                <c:pt idx="0">
                  <c:v>70.199080905018363</c:v>
                </c:pt>
                <c:pt idx="1">
                  <c:v>69.983293874685344</c:v>
                </c:pt>
                <c:pt idx="2">
                  <c:v>69.766832829139872</c:v>
                </c:pt>
                <c:pt idx="3">
                  <c:v>69.549672132904206</c:v>
                </c:pt>
                <c:pt idx="4">
                  <c:v>69.331785450156701</c:v>
                </c:pt>
                <c:pt idx="5">
                  <c:v>69.113145749951755</c:v>
                </c:pt>
                <c:pt idx="6">
                  <c:v>68.893725314062607</c:v>
                </c:pt>
                <c:pt idx="7">
                  <c:v>68.673495747655522</c:v>
                </c:pt>
                <c:pt idx="8">
                  <c:v>68.452427993006538</c:v>
                </c:pt>
                <c:pt idx="9">
                  <c:v>68.23049234647273</c:v>
                </c:pt>
                <c:pt idx="10">
                  <c:v>68.0076584789349</c:v>
                </c:pt>
                <c:pt idx="11">
                  <c:v>67.783895459924707</c:v>
                </c:pt>
                <c:pt idx="12">
                  <c:v>67.559171785647891</c:v>
                </c:pt>
                <c:pt idx="13">
                  <c:v>67.333455411111188</c:v>
                </c:pt>
                <c:pt idx="14">
                  <c:v>67.106713786551808</c:v>
                </c:pt>
                <c:pt idx="15">
                  <c:v>66.878913898360722</c:v>
                </c:pt>
                <c:pt idx="16">
                  <c:v>66.650022314676548</c:v>
                </c:pt>
                <c:pt idx="17">
                  <c:v>66.420005235813221</c:v>
                </c:pt>
                <c:pt idx="18">
                  <c:v>66.188828549664734</c:v>
                </c:pt>
                <c:pt idx="19">
                  <c:v>65.956457892208988</c:v>
                </c:pt>
                <c:pt idx="20">
                  <c:v>65.722858713208126</c:v>
                </c:pt>
                <c:pt idx="21">
                  <c:v>65.487996347172015</c:v>
                </c:pt>
                <c:pt idx="22">
                  <c:v>65.251836089623055</c:v>
                </c:pt>
                <c:pt idx="23">
                  <c:v>65.014343278659624</c:v>
                </c:pt>
                <c:pt idx="24">
                  <c:v>64.775483381782095</c:v>
                </c:pt>
                <c:pt idx="25">
                  <c:v>64.535222087898177</c:v>
                </c:pt>
                <c:pt idx="26">
                  <c:v>64.293525404383047</c:v>
                </c:pt>
                <c:pt idx="27">
                  <c:v>64.050359759017368</c:v>
                </c:pt>
                <c:pt idx="28">
                  <c:v>63.805692106581489</c:v>
                </c:pt>
                <c:pt idx="29">
                  <c:v>63.559490039825981</c:v>
                </c:pt>
                <c:pt idx="30">
                  <c:v>63.31172190448968</c:v>
                </c:pt>
                <c:pt idx="31">
                  <c:v>63.062356917978988</c:v>
                </c:pt>
                <c:pt idx="32">
                  <c:v>62.81136529127032</c:v>
                </c:pt>
                <c:pt idx="33">
                  <c:v>62.558718353541508</c:v>
                </c:pt>
                <c:pt idx="34">
                  <c:v>62.304388678987522</c:v>
                </c:pt>
                <c:pt idx="35">
                  <c:v>62.048350215225419</c:v>
                </c:pt>
                <c:pt idx="36">
                  <c:v>61.790578412645935</c:v>
                </c:pt>
                <c:pt idx="37">
                  <c:v>61.531050354029617</c:v>
                </c:pt>
                <c:pt idx="38">
                  <c:v>61.269744883703787</c:v>
                </c:pt>
                <c:pt idx="39">
                  <c:v>61.006642735488953</c:v>
                </c:pt>
                <c:pt idx="40">
                  <c:v>60.741726658655359</c:v>
                </c:pt>
                <c:pt idx="41">
                  <c:v>60.474981541096369</c:v>
                </c:pt>
                <c:pt idx="42">
                  <c:v>60.206394528911517</c:v>
                </c:pt>
                <c:pt idx="43">
                  <c:v>59.935955141596679</c:v>
                </c:pt>
                <c:pt idx="44">
                  <c:v>59.663655382041597</c:v>
                </c:pt>
                <c:pt idx="45">
                  <c:v>59.389489840557339</c:v>
                </c:pt>
                <c:pt idx="46">
                  <c:v>59.113455792178499</c:v>
                </c:pt>
                <c:pt idx="47">
                  <c:v>58.835553286525844</c:v>
                </c:pt>
                <c:pt idx="48">
                  <c:v>58.555785229553749</c:v>
                </c:pt>
                <c:pt idx="49">
                  <c:v>58.27415745656603</c:v>
                </c:pt>
                <c:pt idx="50">
                  <c:v>57.990678795939459</c:v>
                </c:pt>
                <c:pt idx="51">
                  <c:v>57.705361123065884</c:v>
                </c:pt>
                <c:pt idx="52">
                  <c:v>57.41821940409384</c:v>
                </c:pt>
                <c:pt idx="53">
                  <c:v>57.129271729131908</c:v>
                </c:pt>
                <c:pt idx="54">
                  <c:v>56.8385393346557</c:v>
                </c:pt>
                <c:pt idx="55">
                  <c:v>56.546046614944522</c:v>
                </c:pt>
                <c:pt idx="56">
                  <c:v>56.251821122460861</c:v>
                </c:pt>
                <c:pt idx="57">
                  <c:v>55.955893557164814</c:v>
                </c:pt>
                <c:pt idx="58">
                  <c:v>55.658297744844525</c:v>
                </c:pt>
                <c:pt idx="59">
                  <c:v>55.359070604616427</c:v>
                </c:pt>
                <c:pt idx="60">
                  <c:v>55.05825210582735</c:v>
                </c:pt>
                <c:pt idx="61">
                  <c:v>54.755885214658761</c:v>
                </c:pt>
                <c:pt idx="62">
                  <c:v>54.452015830793776</c:v>
                </c:pt>
                <c:pt idx="63">
                  <c:v>54.146692714564907</c:v>
                </c:pt>
                <c:pt idx="64">
                  <c:v>53.839967405046011</c:v>
                </c:pt>
                <c:pt idx="65">
                  <c:v>53.531894129590789</c:v>
                </c:pt>
                <c:pt idx="66">
                  <c:v>53.222529705348677</c:v>
                </c:pt>
                <c:pt idx="67">
                  <c:v>52.911933433312925</c:v>
                </c:pt>
                <c:pt idx="68">
                  <c:v>52.600166985463808</c:v>
                </c:pt>
                <c:pt idx="69">
                  <c:v>52.287294285579044</c:v>
                </c:pt>
                <c:pt idx="70">
                  <c:v>51.973381384274646</c:v>
                </c:pt>
                <c:pt idx="71">
                  <c:v>51.658496328834296</c:v>
                </c:pt>
                <c:pt idx="72">
                  <c:v>51.342709028364901</c:v>
                </c:pt>
                <c:pt idx="73">
                  <c:v>51.026091114795385</c:v>
                </c:pt>
                <c:pt idx="74">
                  <c:v>50.708715800209987</c:v>
                </c:pt>
                <c:pt idx="75">
                  <c:v>50.390657730977075</c:v>
                </c:pt>
                <c:pt idx="76">
                  <c:v>50.071992839103395</c:v>
                </c:pt>
                <c:pt idx="77">
                  <c:v>49.752798191211454</c:v>
                </c:pt>
                <c:pt idx="78">
                  <c:v>49.433151835505342</c:v>
                </c:pt>
                <c:pt idx="79">
                  <c:v>49.113132647056794</c:v>
                </c:pt>
                <c:pt idx="80">
                  <c:v>48.792820171718709</c:v>
                </c:pt>
                <c:pt idx="81">
                  <c:v>48.472294468941669</c:v>
                </c:pt>
                <c:pt idx="82">
                  <c:v>48.151635953750585</c:v>
                </c:pt>
                <c:pt idx="83">
                  <c:v>47.830925238117274</c:v>
                </c:pt>
                <c:pt idx="84">
                  <c:v>47.510242971953957</c:v>
                </c:pt>
                <c:pt idx="85">
                  <c:v>47.189669683943976</c:v>
                </c:pt>
                <c:pt idx="86">
                  <c:v>46.869285622419881</c:v>
                </c:pt>
                <c:pt idx="87">
                  <c:v>46.549170596509164</c:v>
                </c:pt>
                <c:pt idx="88">
                  <c:v>46.229403817769025</c:v>
                </c:pt>
                <c:pt idx="89">
                  <c:v>45.910063742549511</c:v>
                </c:pt>
                <c:pt idx="90">
                  <c:v>45.591227915341726</c:v>
                </c:pt>
                <c:pt idx="91">
                  <c:v>45.272972813389714</c:v>
                </c:pt>
                <c:pt idx="92">
                  <c:v>44.95537369287311</c:v>
                </c:pt>
                <c:pt idx="93">
                  <c:v>44.638504436994509</c:v>
                </c:pt>
                <c:pt idx="94">
                  <c:v>44.322437406337762</c:v>
                </c:pt>
                <c:pt idx="95">
                  <c:v>44.007243291897524</c:v>
                </c:pt>
                <c:pt idx="96">
                  <c:v>43.692990971208125</c:v>
                </c:pt>
                <c:pt idx="97">
                  <c:v>43.379747368036632</c:v>
                </c:pt>
                <c:pt idx="98">
                  <c:v>43.067577316128194</c:v>
                </c:pt>
                <c:pt idx="99">
                  <c:v>42.756543427521905</c:v>
                </c:pt>
                <c:pt idx="100">
                  <c:v>42.446705965974054</c:v>
                </c:pt>
                <c:pt idx="101">
                  <c:v>42.138122726041701</c:v>
                </c:pt>
                <c:pt idx="102">
                  <c:v>41.830848918390473</c:v>
                </c:pt>
                <c:pt idx="103">
                  <c:v>41.524937061891265</c:v>
                </c:pt>
                <c:pt idx="104">
                  <c:v>41.220436883065823</c:v>
                </c:pt>
                <c:pt idx="105">
                  <c:v>40.917395223428642</c:v>
                </c:pt>
                <c:pt idx="106">
                  <c:v>40.615855955249074</c:v>
                </c:pt>
                <c:pt idx="107">
                  <c:v>40.315859906226528</c:v>
                </c:pt>
                <c:pt idx="108">
                  <c:v>40.017444793535176</c:v>
                </c:pt>
                <c:pt idx="109">
                  <c:v>39.720645167641628</c:v>
                </c:pt>
                <c:pt idx="110">
                  <c:v>39.42549236624815</c:v>
                </c:pt>
                <c:pt idx="111">
                  <c:v>39.13201447864737</c:v>
                </c:pt>
                <c:pt idx="112">
                  <c:v>38.840236320706488</c:v>
                </c:pt>
                <c:pt idx="113">
                  <c:v>38.55017942062328</c:v>
                </c:pt>
                <c:pt idx="114">
                  <c:v>38.261862015516826</c:v>
                </c:pt>
                <c:pt idx="115">
                  <c:v>37.975299058833201</c:v>
                </c:pt>
                <c:pt idx="116">
                  <c:v>37.690502238461825</c:v>
                </c:pt>
                <c:pt idx="117">
                  <c:v>37.407480005374182</c:v>
                </c:pt>
                <c:pt idx="118">
                  <c:v>37.126237612510749</c:v>
                </c:pt>
                <c:pt idx="119">
                  <c:v>36.846777163563395</c:v>
                </c:pt>
                <c:pt idx="120">
                  <c:v>36.569097671219716</c:v>
                </c:pt>
                <c:pt idx="121">
                  <c:v>36.293195124364928</c:v>
                </c:pt>
                <c:pt idx="122">
                  <c:v>36.019062563668463</c:v>
                </c:pt>
                <c:pt idx="123">
                  <c:v>35.746690164923841</c:v>
                </c:pt>
                <c:pt idx="124">
                  <c:v>35.476065329456368</c:v>
                </c:pt>
                <c:pt idx="125">
                  <c:v>35.207172780871979</c:v>
                </c:pt>
                <c:pt idx="126">
                  <c:v>34.939994667382884</c:v>
                </c:pt>
                <c:pt idx="127">
                  <c:v>34.674510668922679</c:v>
                </c:pt>
                <c:pt idx="128">
                  <c:v>34.410698108245903</c:v>
                </c:pt>
                <c:pt idx="129">
                  <c:v>34.148532065200243</c:v>
                </c:pt>
                <c:pt idx="130">
                  <c:v>33.887985493362187</c:v>
                </c:pt>
                <c:pt idx="131">
                  <c:v>33.629029338237245</c:v>
                </c:pt>
                <c:pt idx="132">
                  <c:v>33.371632656244465</c:v>
                </c:pt>
                <c:pt idx="133">
                  <c:v>33.11576273373187</c:v>
                </c:pt>
                <c:pt idx="134">
                  <c:v>32.861385205301232</c:v>
                </c:pt>
                <c:pt idx="135">
                  <c:v>32.608464170760854</c:v>
                </c:pt>
                <c:pt idx="136">
                  <c:v>32.356962310068376</c:v>
                </c:pt>
                <c:pt idx="137">
                  <c:v>32.106840995672826</c:v>
                </c:pt>
                <c:pt idx="138">
                  <c:v>31.858060401718298</c:v>
                </c:pt>
                <c:pt idx="139">
                  <c:v>31.610579609624018</c:v>
                </c:pt>
                <c:pt idx="140">
                  <c:v>31.364356709611869</c:v>
                </c:pt>
                <c:pt idx="141">
                  <c:v>31.119348897808138</c:v>
                </c:pt>
                <c:pt idx="142">
                  <c:v>30.87551256860252</c:v>
                </c:pt>
                <c:pt idx="143">
                  <c:v>30.632803402004427</c:v>
                </c:pt>
                <c:pt idx="144">
                  <c:v>30.391176445788748</c:v>
                </c:pt>
                <c:pt idx="145">
                  <c:v>30.150586192278148</c:v>
                </c:pt>
                <c:pt idx="146">
                  <c:v>29.910986649659247</c:v>
                </c:pt>
                <c:pt idx="147">
                  <c:v>29.672331407776909</c:v>
                </c:pt>
                <c:pt idx="148">
                  <c:v>29.434573698397848</c:v>
                </c:pt>
                <c:pt idx="149">
                  <c:v>29.197666449977326</c:v>
                </c:pt>
                <c:pt idx="150">
                  <c:v>28.96156233699994</c:v>
                </c:pt>
                <c:pt idx="151">
                  <c:v>28.7262138240038</c:v>
                </c:pt>
                <c:pt idx="152">
                  <c:v>28.491573204430676</c:v>
                </c:pt>
                <c:pt idx="153">
                  <c:v>28.257592634472232</c:v>
                </c:pt>
                <c:pt idx="154">
                  <c:v>28.024224162111064</c:v>
                </c:pt>
                <c:pt idx="155">
                  <c:v>27.791419751580161</c:v>
                </c:pt>
                <c:pt idx="156">
                  <c:v>27.55913130348268</c:v>
                </c:pt>
                <c:pt idx="157">
                  <c:v>27.327310670833999</c:v>
                </c:pt>
                <c:pt idx="158">
                  <c:v>27.095909671305844</c:v>
                </c:pt>
                <c:pt idx="159">
                  <c:v>26.864880095962658</c:v>
                </c:pt>
                <c:pt idx="160">
                  <c:v>26.63417371479391</c:v>
                </c:pt>
                <c:pt idx="161">
                  <c:v>26.403742279358831</c:v>
                </c:pt>
                <c:pt idx="162">
                  <c:v>26.173537522860958</c:v>
                </c:pt>
                <c:pt idx="163">
                  <c:v>25.943511157986528</c:v>
                </c:pt>
                <c:pt idx="164">
                  <c:v>25.71361487283793</c:v>
                </c:pt>
                <c:pt idx="165">
                  <c:v>25.483800325302536</c:v>
                </c:pt>
                <c:pt idx="166">
                  <c:v>25.254019136199538</c:v>
                </c:pt>
                <c:pt idx="167">
                  <c:v>25.024222881548642</c:v>
                </c:pt>
                <c:pt idx="168">
                  <c:v>24.794363084309392</c:v>
                </c:pt>
                <c:pt idx="169">
                  <c:v>24.564391205935916</c:v>
                </c:pt>
                <c:pt idx="170">
                  <c:v>24.334258638096841</c:v>
                </c:pt>
                <c:pt idx="171">
                  <c:v>24.103916694906481</c:v>
                </c:pt>
                <c:pt idx="172">
                  <c:v>23.873316606013351</c:v>
                </c:pt>
                <c:pt idx="173">
                  <c:v>23.642409510889731</c:v>
                </c:pt>
                <c:pt idx="174">
                  <c:v>23.411146454662219</c:v>
                </c:pt>
                <c:pt idx="175">
                  <c:v>23.179478385820381</c:v>
                </c:pt>
                <c:pt idx="176">
                  <c:v>22.947356156135879</c:v>
                </c:pt>
                <c:pt idx="177">
                  <c:v>22.714730523115129</c:v>
                </c:pt>
                <c:pt idx="178">
                  <c:v>22.481552155306407</c:v>
                </c:pt>
                <c:pt idx="179">
                  <c:v>22.247771640766722</c:v>
                </c:pt>
                <c:pt idx="180">
                  <c:v>22.013339498989566</c:v>
                </c:pt>
                <c:pt idx="181">
                  <c:v>21.778206196575379</c:v>
                </c:pt>
                <c:pt idx="182">
                  <c:v>21.542322166916538</c:v>
                </c:pt>
                <c:pt idx="183">
                  <c:v>21.305637834150449</c:v>
                </c:pt>
                <c:pt idx="184">
                  <c:v>21.068103641612211</c:v>
                </c:pt>
                <c:pt idx="185">
                  <c:v>20.829670084999808</c:v>
                </c:pt>
                <c:pt idx="186">
                  <c:v>20.590287750435703</c:v>
                </c:pt>
                <c:pt idx="187">
                  <c:v>20.349907357585128</c:v>
                </c:pt>
                <c:pt idx="188">
                  <c:v>20.108479807955728</c:v>
                </c:pt>
                <c:pt idx="189">
                  <c:v>19.865956238472357</c:v>
                </c:pt>
                <c:pt idx="190">
                  <c:v>19.622288080381701</c:v>
                </c:pt>
                <c:pt idx="191">
                  <c:v>19.377427123502034</c:v>
                </c:pt>
                <c:pt idx="192">
                  <c:v>19.131325585789327</c:v>
                </c:pt>
                <c:pt idx="193">
                  <c:v>18.883936188145611</c:v>
                </c:pt>
                <c:pt idx="194">
                  <c:v>18.635212234345303</c:v>
                </c:pt>
                <c:pt idx="195">
                  <c:v>18.385107695906967</c:v>
                </c:pt>
                <c:pt idx="196">
                  <c:v>18.133577301681235</c:v>
                </c:pt>
                <c:pt idx="197">
                  <c:v>17.88057663187676</c:v>
                </c:pt>
                <c:pt idx="198">
                  <c:v>17.626062216185296</c:v>
                </c:pt>
                <c:pt idx="199">
                  <c:v>17.369991635617616</c:v>
                </c:pt>
                <c:pt idx="200">
                  <c:v>17.112323627602674</c:v>
                </c:pt>
                <c:pt idx="201">
                  <c:v>16.853018193853227</c:v>
                </c:pt>
                <c:pt idx="202">
                  <c:v>16.592036710446923</c:v>
                </c:pt>
                <c:pt idx="203">
                  <c:v>16.329342039527013</c:v>
                </c:pt>
                <c:pt idx="204">
                  <c:v>16.064898641979156</c:v>
                </c:pt>
                <c:pt idx="205">
                  <c:v>15.798672690405661</c:v>
                </c:pt>
                <c:pt idx="206">
                  <c:v>15.530632181680993</c:v>
                </c:pt>
                <c:pt idx="207">
                  <c:v>15.260747048348303</c:v>
                </c:pt>
                <c:pt idx="208">
                  <c:v>14.98898926809556</c:v>
                </c:pt>
                <c:pt idx="209">
                  <c:v>14.715332970537068</c:v>
                </c:pt>
                <c:pt idx="210">
                  <c:v>14.439754540527108</c:v>
                </c:pt>
                <c:pt idx="211">
                  <c:v>14.162232717231509</c:v>
                </c:pt>
                <c:pt idx="212">
                  <c:v>13.882748688205677</c:v>
                </c:pt>
                <c:pt idx="213">
                  <c:v>13.601286177745987</c:v>
                </c:pt>
                <c:pt idx="214">
                  <c:v>13.31783152882066</c:v>
                </c:pt>
                <c:pt idx="215">
                  <c:v>13.032373777925796</c:v>
                </c:pt>
                <c:pt idx="216">
                  <c:v>12.744904722268185</c:v>
                </c:pt>
                <c:pt idx="217">
                  <c:v>12.455418978734976</c:v>
                </c:pt>
                <c:pt idx="218">
                  <c:v>12.163914034179697</c:v>
                </c:pt>
                <c:pt idx="219">
                  <c:v>11.870390286629656</c:v>
                </c:pt>
                <c:pt idx="220">
                  <c:v>11.574851077099757</c:v>
                </c:pt>
                <c:pt idx="221">
                  <c:v>11.277302711783131</c:v>
                </c:pt>
                <c:pt idx="222">
                  <c:v>10.977754474477168</c:v>
                </c:pt>
                <c:pt idx="223">
                  <c:v>10.676218629193992</c:v>
                </c:pt>
                <c:pt idx="224">
                  <c:v>10.372710412992859</c:v>
                </c:pt>
                <c:pt idx="225">
                  <c:v>10.067248019163486</c:v>
                </c:pt>
                <c:pt idx="226">
                  <c:v>9.7598525709725337</c:v>
                </c:pt>
                <c:pt idx="227">
                  <c:v>9.4505480862705227</c:v>
                </c:pt>
                <c:pt idx="228">
                  <c:v>9.1393614333313753</c:v>
                </c:pt>
                <c:pt idx="229">
                  <c:v>8.8263222783687407</c:v>
                </c:pt>
                <c:pt idx="230">
                  <c:v>8.511463025235626</c:v>
                </c:pt>
                <c:pt idx="231">
                  <c:v>8.1948187478686556</c:v>
                </c:pt>
                <c:pt idx="232">
                  <c:v>7.8764271160847841</c:v>
                </c:pt>
                <c:pt idx="233">
                  <c:v>7.5563283153733281</c:v>
                </c:pt>
                <c:pt idx="234">
                  <c:v>7.2345649613538852</c:v>
                </c:pt>
                <c:pt idx="235">
                  <c:v>6.9111820095862209</c:v>
                </c:pt>
                <c:pt idx="236">
                  <c:v>6.5862266614255072</c:v>
                </c:pt>
                <c:pt idx="237">
                  <c:v>6.2597482666131512</c:v>
                </c:pt>
                <c:pt idx="238">
                  <c:v>5.931798223280258</c:v>
                </c:pt>
                <c:pt idx="239">
                  <c:v>5.6024298760219313</c:v>
                </c:pt>
                <c:pt idx="240">
                  <c:v>5.2716984126691209</c:v>
                </c:pt>
                <c:pt idx="241">
                  <c:v>4.9396607603507183</c:v>
                </c:pt>
                <c:pt idx="242">
                  <c:v>4.6063754813947879</c:v>
                </c:pt>
                <c:pt idx="243">
                  <c:v>4.2719026695697142</c:v>
                </c:pt>
                <c:pt idx="244">
                  <c:v>3.9363038471149521</c:v>
                </c:pt>
                <c:pt idx="245">
                  <c:v>3.5996418629529914</c:v>
                </c:pt>
                <c:pt idx="246">
                  <c:v>3.2619807924163484</c:v>
                </c:pt>
                <c:pt idx="247">
                  <c:v>2.9233858387647715</c:v>
                </c:pt>
                <c:pt idx="248">
                  <c:v>2.5839232367034768</c:v>
                </c:pt>
                <c:pt idx="249">
                  <c:v>2.2436601580562048</c:v>
                </c:pt>
                <c:pt idx="250">
                  <c:v>1.9026646196840082</c:v>
                </c:pt>
                <c:pt idx="251">
                  <c:v>1.5610053936852</c:v>
                </c:pt>
                <c:pt idx="252">
                  <c:v>1.2187519198562449</c:v>
                </c:pt>
                <c:pt idx="253">
                  <c:v>0.87597422033775851</c:v>
                </c:pt>
                <c:pt idx="254">
                  <c:v>0.53274281632761733</c:v>
                </c:pt>
                <c:pt idx="255">
                  <c:v>0.18912864669092797</c:v>
                </c:pt>
                <c:pt idx="256">
                  <c:v>-0.1547970117337252</c:v>
                </c:pt>
                <c:pt idx="257">
                  <c:v>-0.49896262237909489</c:v>
                </c:pt>
                <c:pt idx="258">
                  <c:v>-0.84329646600798214</c:v>
                </c:pt>
                <c:pt idx="259">
                  <c:v>-1.1877267168857908</c:v>
                </c:pt>
                <c:pt idx="260">
                  <c:v>-1.5321815183755745</c:v>
                </c:pt>
                <c:pt idx="261">
                  <c:v>-1.8765890582803868</c:v>
                </c:pt>
                <c:pt idx="262">
                  <c:v>-2.2208776442655549</c:v>
                </c:pt>
                <c:pt idx="263">
                  <c:v>-2.5649757796891297</c:v>
                </c:pt>
                <c:pt idx="264">
                  <c:v>-2.9088122401677889</c:v>
                </c:pt>
                <c:pt idx="265">
                  <c:v>-3.2523161511904237</c:v>
                </c:pt>
                <c:pt idx="266">
                  <c:v>-3.5954170670757875</c:v>
                </c:pt>
                <c:pt idx="267">
                  <c:v>-3.9380450515466259</c:v>
                </c:pt>
                <c:pt idx="268">
                  <c:v>-4.2801307601627343</c:v>
                </c:pt>
                <c:pt idx="269">
                  <c:v>-4.6216055248233241</c:v>
                </c:pt>
                <c:pt idx="270">
                  <c:v>-4.9624014405079961</c:v>
                </c:pt>
                <c:pt idx="271">
                  <c:v>-5.30245145438212</c:v>
                </c:pt>
                <c:pt idx="272">
                  <c:v>-5.6416894573438086</c:v>
                </c:pt>
                <c:pt idx="273">
                  <c:v>-5.980050378039186</c:v>
                </c:pt>
                <c:pt idx="274">
                  <c:v>-6.3174702793160513</c:v>
                </c:pt>
                <c:pt idx="275">
                  <c:v>-6.6538864570283982</c:v>
                </c:pt>
                <c:pt idx="276">
                  <c:v>-6.9892375410468723</c:v>
                </c:pt>
                <c:pt idx="277">
                  <c:v>-7.3234635982655369</c:v>
                </c:pt>
                <c:pt idx="278">
                  <c:v>-7.6565062373396326</c:v>
                </c:pt>
                <c:pt idx="279">
                  <c:v>-7.9883087148242113</c:v>
                </c:pt>
                <c:pt idx="280">
                  <c:v>-8.3188160423270947</c:v>
                </c:pt>
                <c:pt idx="281">
                  <c:v>-8.6479750942336242</c:v>
                </c:pt>
                <c:pt idx="282">
                  <c:v>-8.9757347155063485</c:v>
                </c:pt>
                <c:pt idx="283">
                  <c:v>-9.3020458290157535</c:v>
                </c:pt>
                <c:pt idx="284">
                  <c:v>-9.6268615418140424</c:v>
                </c:pt>
                <c:pt idx="285">
                  <c:v>-9.9501372497288756</c:v>
                </c:pt>
                <c:pt idx="286">
                  <c:v>-10.271830739622011</c:v>
                </c:pt>
                <c:pt idx="287">
                  <c:v>-10.591902288638984</c:v>
                </c:pt>
                <c:pt idx="288">
                  <c:v>-10.910314759760109</c:v>
                </c:pt>
                <c:pt idx="289">
                  <c:v>-11.227033692961928</c:v>
                </c:pt>
                <c:pt idx="290">
                  <c:v>-11.542027391301243</c:v>
                </c:pt>
                <c:pt idx="291">
                  <c:v>-11.855267001251288</c:v>
                </c:pt>
                <c:pt idx="292">
                  <c:v>-12.166726586644881</c:v>
                </c:pt>
                <c:pt idx="293">
                  <c:v>-12.476383195611989</c:v>
                </c:pt>
                <c:pt idx="294">
                  <c:v>-12.784216919947699</c:v>
                </c:pt>
                <c:pt idx="295">
                  <c:v>-13.090210946397175</c:v>
                </c:pt>
                <c:pt idx="296">
                  <c:v>-13.394351599405107</c:v>
                </c:pt>
                <c:pt idx="297">
                  <c:v>-13.696628374950819</c:v>
                </c:pt>
                <c:pt idx="298">
                  <c:v>-13.997033965160259</c:v>
                </c:pt>
                <c:pt idx="299">
                  <c:v>-14.295564273470379</c:v>
                </c:pt>
                <c:pt idx="300">
                  <c:v>-14.592218420205171</c:v>
                </c:pt>
                <c:pt idx="301">
                  <c:v>-14.886998738509007</c:v>
                </c:pt>
                <c:pt idx="302">
                  <c:v>-15.179910760672733</c:v>
                </c:pt>
                <c:pt idx="303">
                  <c:v>-15.470963194974365</c:v>
                </c:pt>
                <c:pt idx="304">
                  <c:v>-15.760167893244567</c:v>
                </c:pt>
                <c:pt idx="305">
                  <c:v>-16.0475398094468</c:v>
                </c:pt>
                <c:pt idx="306">
                  <c:v>-16.333096949645796</c:v>
                </c:pt>
                <c:pt idx="307">
                  <c:v>-16.616860313803645</c:v>
                </c:pt>
                <c:pt idx="308">
                  <c:v>-16.898853829917158</c:v>
                </c:pt>
                <c:pt idx="309">
                  <c:v>-17.179104281060425</c:v>
                </c:pt>
                <c:pt idx="310">
                  <c:v>-17.457641225951946</c:v>
                </c:pt>
                <c:pt idx="311">
                  <c:v>-17.734496913702849</c:v>
                </c:pt>
                <c:pt idx="312">
                  <c:v>-18.009706193435655</c:v>
                </c:pt>
                <c:pt idx="313">
                  <c:v>-18.283306419482635</c:v>
                </c:pt>
                <c:pt idx="314">
                  <c:v>-18.555337352885264</c:v>
                </c:pt>
                <c:pt idx="315">
                  <c:v>-18.825841059917625</c:v>
                </c:pt>
                <c:pt idx="316">
                  <c:v>-19.094861808349457</c:v>
                </c:pt>
                <c:pt idx="317">
                  <c:v>-19.362445962146662</c:v>
                </c:pt>
                <c:pt idx="318">
                  <c:v>-19.628641875284835</c:v>
                </c:pt>
                <c:pt idx="319">
                  <c:v>-19.893499785315726</c:v>
                </c:pt>
                <c:pt idx="320">
                  <c:v>-20.157071707291255</c:v>
                </c:pt>
                <c:pt idx="321">
                  <c:v>-20.419411328601406</c:v>
                </c:pt>
                <c:pt idx="322">
                  <c:v>-20.680573905233569</c:v>
                </c:pt>
                <c:pt idx="323">
                  <c:v>-20.940616159907748</c:v>
                </c:pt>
                <c:pt idx="324">
                  <c:v>-21.199596182483042</c:v>
                </c:pt>
                <c:pt idx="325">
                  <c:v>-21.457573332972082</c:v>
                </c:pt>
                <c:pt idx="326">
                  <c:v>-21.714608147439435</c:v>
                </c:pt>
                <c:pt idx="327">
                  <c:v>-21.970762246998071</c:v>
                </c:pt>
                <c:pt idx="328">
                  <c:v>-22.226098250057088</c:v>
                </c:pt>
                <c:pt idx="329">
                  <c:v>-22.480679687913288</c:v>
                </c:pt>
                <c:pt idx="330">
                  <c:v>-22.734570923722085</c:v>
                </c:pt>
                <c:pt idx="331">
                  <c:v>-22.987837074824387</c:v>
                </c:pt>
                <c:pt idx="332">
                  <c:v>-23.240543938356296</c:v>
                </c:pt>
                <c:pt idx="333">
                  <c:v>-23.492757920014071</c:v>
                </c:pt>
                <c:pt idx="334">
                  <c:v>-23.744545965804569</c:v>
                </c:pt>
                <c:pt idx="335">
                  <c:v>-23.995975496565258</c:v>
                </c:pt>
                <c:pt idx="336">
                  <c:v>-24.247114345001815</c:v>
                </c:pt>
                <c:pt idx="337">
                  <c:v>-24.498030694957013</c:v>
                </c:pt>
                <c:pt idx="338">
                  <c:v>-24.748793022595731</c:v>
                </c:pt>
                <c:pt idx="339">
                  <c:v>-24.999470039165598</c:v>
                </c:pt>
                <c:pt idx="340">
                  <c:v>-25.25013063497612</c:v>
                </c:pt>
                <c:pt idx="341">
                  <c:v>-25.500843824221565</c:v>
                </c:pt>
                <c:pt idx="342">
                  <c:v>-25.75167869026739</c:v>
                </c:pt>
                <c:pt idx="343">
                  <c:v>-26.002704331013007</c:v>
                </c:pt>
                <c:pt idx="344">
                  <c:v>-26.253989803947082</c:v>
                </c:pt>
                <c:pt idx="345">
                  <c:v>-26.505604070516661</c:v>
                </c:pt>
                <c:pt idx="346">
                  <c:v>-26.75761593944393</c:v>
                </c:pt>
                <c:pt idx="347">
                  <c:v>-27.01009400863969</c:v>
                </c:pt>
                <c:pt idx="348">
                  <c:v>-27.263106605386135</c:v>
                </c:pt>
                <c:pt idx="349">
                  <c:v>-27.516721724485997</c:v>
                </c:pt>
                <c:pt idx="350">
                  <c:v>-27.771006964108299</c:v>
                </c:pt>
                <c:pt idx="351">
                  <c:v>-28.026029459095273</c:v>
                </c:pt>
                <c:pt idx="352">
                  <c:v>-28.281855811537021</c:v>
                </c:pt>
                <c:pt idx="353">
                  <c:v>-28.538552018462866</c:v>
                </c:pt>
                <c:pt idx="354">
                  <c:v>-28.796183396549637</c:v>
                </c:pt>
                <c:pt idx="355">
                  <c:v>-29.054814503795821</c:v>
                </c:pt>
                <c:pt idx="356">
                  <c:v>-29.314509058167758</c:v>
                </c:pt>
                <c:pt idx="357">
                  <c:v>-29.575329853281261</c:v>
                </c:pt>
                <c:pt idx="358">
                  <c:v>-29.837338671239223</c:v>
                </c:pt>
                <c:pt idx="359">
                  <c:v>-30.100596192810869</c:v>
                </c:pt>
                <c:pt idx="360">
                  <c:v>-30.36516190519643</c:v>
                </c:pt>
                <c:pt idx="361">
                  <c:v>-30.631094007682499</c:v>
                </c:pt>
                <c:pt idx="362">
                  <c:v>-30.898449315558278</c:v>
                </c:pt>
                <c:pt idx="363">
                  <c:v>-31.167283162714856</c:v>
                </c:pt>
                <c:pt idx="364">
                  <c:v>-31.437649303412599</c:v>
                </c:pt>
                <c:pt idx="365">
                  <c:v>-31.709599813749982</c:v>
                </c:pt>
                <c:pt idx="366">
                  <c:v>-31.983184993417609</c:v>
                </c:pt>
                <c:pt idx="367">
                  <c:v>-32.258453268361599</c:v>
                </c:pt>
                <c:pt idx="368">
                  <c:v>-32.535451095020768</c:v>
                </c:pt>
                <c:pt idx="369">
                  <c:v>-32.814222866825588</c:v>
                </c:pt>
                <c:pt idx="370">
                  <c:v>-33.094810823674038</c:v>
                </c:pt>
                <c:pt idx="371">
                  <c:v>-33.377254965108001</c:v>
                </c:pt>
                <c:pt idx="372">
                  <c:v>-33.661592967918608</c:v>
                </c:pt>
                <c:pt idx="373">
                  <c:v>-33.947860108902866</c:v>
                </c:pt>
                <c:pt idx="374">
                  <c:v>-34.236089193479359</c:v>
                </c:pt>
                <c:pt idx="375">
                  <c:v>-34.526310490840515</c:v>
                </c:pt>
                <c:pt idx="376">
                  <c:v>-34.818551676289609</c:v>
                </c:pt>
                <c:pt idx="377">
                  <c:v>-35.112837781360156</c:v>
                </c:pt>
                <c:pt idx="378">
                  <c:v>-35.409191152262494</c:v>
                </c:pt>
                <c:pt idx="379">
                  <c:v>-35.707631417142366</c:v>
                </c:pt>
                <c:pt idx="380">
                  <c:v>-36.008175462560722</c:v>
                </c:pt>
                <c:pt idx="381">
                  <c:v>-36.310837419532916</c:v>
                </c:pt>
                <c:pt idx="382">
                  <c:v>-36.615628659377997</c:v>
                </c:pt>
                <c:pt idx="383">
                  <c:v>-36.922557799545949</c:v>
                </c:pt>
                <c:pt idx="384">
                  <c:v>-37.2316307194993</c:v>
                </c:pt>
                <c:pt idx="385">
                  <c:v>-37.542850586635133</c:v>
                </c:pt>
                <c:pt idx="386">
                  <c:v>-37.856217892143704</c:v>
                </c:pt>
                <c:pt idx="387">
                  <c:v>-38.171730496609271</c:v>
                </c:pt>
                <c:pt idx="388">
                  <c:v>-38.489383685072326</c:v>
                </c:pt>
                <c:pt idx="389">
                  <c:v>-38.809170231192198</c:v>
                </c:pt>
                <c:pt idx="390">
                  <c:v>-39.131080470067218</c:v>
                </c:pt>
                <c:pt idx="391">
                  <c:v>-39.455102379206906</c:v>
                </c:pt>
                <c:pt idx="392">
                  <c:v>-39.781221667078576</c:v>
                </c:pt>
                <c:pt idx="393">
                  <c:v>-40.109421868603626</c:v>
                </c:pt>
                <c:pt idx="394">
                  <c:v>-40.439684446929249</c:v>
                </c:pt>
                <c:pt idx="395">
                  <c:v>-40.771988900764342</c:v>
                </c:pt>
                <c:pt idx="396">
                  <c:v>-41.106312876543001</c:v>
                </c:pt>
                <c:pt idx="397">
                  <c:v>-41.442632284660085</c:v>
                </c:pt>
                <c:pt idx="398">
                  <c:v>-41.780921419016636</c:v>
                </c:pt>
                <c:pt idx="399">
                  <c:v>-42.121153079110549</c:v>
                </c:pt>
                <c:pt idx="400">
                  <c:v>-42.463298693921018</c:v>
                </c:pt>
                <c:pt idx="401">
                  <c:v>-42.807328446851585</c:v>
                </c:pt>
                <c:pt idx="402">
                  <c:v>-43.153211401018972</c:v>
                </c:pt>
                <c:pt idx="403">
                  <c:v>-43.500915624211331</c:v>
                </c:pt>
                <c:pt idx="404">
                  <c:v>-43.850408312871714</c:v>
                </c:pt>
                <c:pt idx="405">
                  <c:v>-44.201655914508223</c:v>
                </c:pt>
                <c:pt idx="406">
                  <c:v>-44.554624247976832</c:v>
                </c:pt>
                <c:pt idx="407">
                  <c:v>-44.909278621130362</c:v>
                </c:pt>
                <c:pt idx="408">
                  <c:v>-45.265583945383618</c:v>
                </c:pt>
                <c:pt idx="409">
                  <c:v>-45.623504846790397</c:v>
                </c:pt>
                <c:pt idx="410">
                  <c:v>-45.983005773285853</c:v>
                </c:pt>
                <c:pt idx="411">
                  <c:v>-46.344051097800197</c:v>
                </c:pt>
                <c:pt idx="412">
                  <c:v>-46.706605216998973</c:v>
                </c:pt>
                <c:pt idx="413">
                  <c:v>-47.070632645458829</c:v>
                </c:pt>
                <c:pt idx="414">
                  <c:v>-47.436098105134732</c:v>
                </c:pt>
                <c:pt idx="415">
                  <c:v>-47.80296661002027</c:v>
                </c:pt>
                <c:pt idx="416">
                  <c:v>-48.171203545948131</c:v>
                </c:pt>
                <c:pt idx="417">
                  <c:v>-48.540774745514696</c:v>
                </c:pt>
                <c:pt idx="418">
                  <c:v>-48.911646558153649</c:v>
                </c:pt>
                <c:pt idx="419">
                  <c:v>-49.283785915414462</c:v>
                </c:pt>
                <c:pt idx="420">
                  <c:v>-49.657160391532912</c:v>
                </c:pt>
                <c:pt idx="421">
                  <c:v>-50.031738259407071</c:v>
                </c:pt>
                <c:pt idx="422">
                  <c:v>-50.407488542116482</c:v>
                </c:pt>
                <c:pt idx="423">
                  <c:v>-50.784381060140959</c:v>
                </c:pt>
                <c:pt idx="424">
                  <c:v>-51.162386474453626</c:v>
                </c:pt>
                <c:pt idx="425">
                  <c:v>-51.541476325675184</c:v>
                </c:pt>
                <c:pt idx="426">
                  <c:v>-51.921623069487609</c:v>
                </c:pt>
                <c:pt idx="427">
                  <c:v>-52.302800108514958</c:v>
                </c:pt>
                <c:pt idx="428">
                  <c:v>-52.684981820881248</c:v>
                </c:pt>
                <c:pt idx="429">
                  <c:v>-53.068143585662597</c:v>
                </c:pt>
                <c:pt idx="430">
                  <c:v>-53.452261805448167</c:v>
                </c:pt>
                <c:pt idx="431">
                  <c:v>-53.837313926226514</c:v>
                </c:pt>
                <c:pt idx="432">
                  <c:v>-54.223278454809403</c:v>
                </c:pt>
                <c:pt idx="433">
                  <c:v>-54.610134974002108</c:v>
                </c:pt>
                <c:pt idx="434">
                  <c:v>-54.997864155723882</c:v>
                </c:pt>
                <c:pt idx="435">
                  <c:v>-55.386447772274671</c:v>
                </c:pt>
                <c:pt idx="436">
                  <c:v>-55.775868705937775</c:v>
                </c:pt>
                <c:pt idx="437">
                  <c:v>-56.166110957099484</c:v>
                </c:pt>
                <c:pt idx="438">
                  <c:v>-56.557159651057063</c:v>
                </c:pt>
                <c:pt idx="439">
                  <c:v>-56.949001043675779</c:v>
                </c:pt>
                <c:pt idx="440">
                  <c:v>-57.34162252605006</c:v>
                </c:pt>
                <c:pt idx="441">
                  <c:v>-57.735012628305441</c:v>
                </c:pt>
                <c:pt idx="442">
                  <c:v>-58.129161022675135</c:v>
                </c:pt>
                <c:pt idx="443">
                  <c:v>-58.52405852596852</c:v>
                </c:pt>
                <c:pt idx="444">
                  <c:v>-58.919697101539143</c:v>
                </c:pt>
                <c:pt idx="445">
                  <c:v>-59.31606986084887</c:v>
                </c:pt>
                <c:pt idx="446">
                  <c:v>-59.71317106471303</c:v>
                </c:pt>
                <c:pt idx="447">
                  <c:v>-60.110996124298524</c:v>
                </c:pt>
                <c:pt idx="448">
                  <c:v>-60.509541601938196</c:v>
                </c:pt>
                <c:pt idx="449">
                  <c:v>-60.908805211807859</c:v>
                </c:pt>
                <c:pt idx="450">
                  <c:v>-61.308785820507865</c:v>
                </c:pt>
                <c:pt idx="451">
                  <c:v>-61.709483447571991</c:v>
                </c:pt>
                <c:pt idx="452">
                  <c:v>-62.110899265920267</c:v>
                </c:pt>
                <c:pt idx="453">
                  <c:v>-62.513035602258299</c:v>
                </c:pt>
                <c:pt idx="454">
                  <c:v>-62.915895937412813</c:v>
                </c:pt>
                <c:pt idx="455">
                  <c:v>-63.319484906585515</c:v>
                </c:pt>
                <c:pt idx="456">
                  <c:v>-63.723808299489413</c:v>
                </c:pt>
                <c:pt idx="457">
                  <c:v>-64.128873060327919</c:v>
                </c:pt>
                <c:pt idx="458">
                  <c:v>-64.53468728755692</c:v>
                </c:pt>
                <c:pt idx="459">
                  <c:v>-64.941260233365782</c:v>
                </c:pt>
                <c:pt idx="460">
                  <c:v>-65.348602302796849</c:v>
                </c:pt>
                <c:pt idx="461">
                  <c:v>-65.756725052412165</c:v>
                </c:pt>
                <c:pt idx="462">
                  <c:v>-66.165641188408514</c:v>
                </c:pt>
                <c:pt idx="463">
                  <c:v>-66.575364564063207</c:v>
                </c:pt>
                <c:pt idx="464">
                  <c:v>-66.985910176389922</c:v>
                </c:pt>
                <c:pt idx="465">
                  <c:v>-67.397294161866412</c:v>
                </c:pt>
                <c:pt idx="466">
                  <c:v>-67.809533791089976</c:v>
                </c:pt>
                <c:pt idx="467">
                  <c:v>-68.222647462201635</c:v>
                </c:pt>
                <c:pt idx="468">
                  <c:v>-68.636654692915471</c:v>
                </c:pt>
                <c:pt idx="469">
                  <c:v>-69.051576110974793</c:v>
                </c:pt>
                <c:pt idx="470">
                  <c:v>-69.467433442852837</c:v>
                </c:pt>
                <c:pt idx="471">
                  <c:v>-69.884249500504438</c:v>
                </c:pt>
                <c:pt idx="472">
                  <c:v>-70.302048165970191</c:v>
                </c:pt>
                <c:pt idx="473">
                  <c:v>-70.720854373627702</c:v>
                </c:pt>
                <c:pt idx="474">
                  <c:v>-71.140694089882118</c:v>
                </c:pt>
                <c:pt idx="475">
                  <c:v>-71.561594290081104</c:v>
                </c:pt>
                <c:pt idx="476">
                  <c:v>-71.98358293244307</c:v>
                </c:pt>
                <c:pt idx="477">
                  <c:v>-72.406688928783666</c:v>
                </c:pt>
                <c:pt idx="478">
                  <c:v>-72.830942111829913</c:v>
                </c:pt>
                <c:pt idx="479">
                  <c:v>-73.256373198917075</c:v>
                </c:pt>
                <c:pt idx="480">
                  <c:v>-73.683013751868799</c:v>
                </c:pt>
                <c:pt idx="481">
                  <c:v>-74.110896132870835</c:v>
                </c:pt>
                <c:pt idx="482">
                  <c:v>-74.540053456163832</c:v>
                </c:pt>
                <c:pt idx="483">
                  <c:v>-74.97051953539372</c:v>
                </c:pt>
                <c:pt idx="484">
                  <c:v>-75.402328826479049</c:v>
                </c:pt>
                <c:pt idx="485">
                  <c:v>-75.835516365874895</c:v>
                </c:pt>
                <c:pt idx="486">
                  <c:v>-76.270117704141654</c:v>
                </c:pt>
                <c:pt idx="487">
                  <c:v>-76.706168834753854</c:v>
                </c:pt>
                <c:pt idx="488">
                  <c:v>-77.143706118114778</c:v>
                </c:pt>
                <c:pt idx="489">
                  <c:v>-77.582766200785969</c:v>
                </c:pt>
                <c:pt idx="490">
                  <c:v>-78.023385929969834</c:v>
                </c:pt>
                <c:pt idx="491">
                  <c:v>-78.465602263335867</c:v>
                </c:pt>
                <c:pt idx="492">
                  <c:v>-78.909452174317437</c:v>
                </c:pt>
                <c:pt idx="493">
                  <c:v>-79.354972553061046</c:v>
                </c:pt>
                <c:pt idx="494">
                  <c:v>-79.802200103256538</c:v>
                </c:pt>
                <c:pt idx="495">
                  <c:v>-80.251171235125298</c:v>
                </c:pt>
                <c:pt idx="496">
                  <c:v>-80.701921954905131</c:v>
                </c:pt>
                <c:pt idx="497">
                  <c:v>-81.154487751212528</c:v>
                </c:pt>
                <c:pt idx="498">
                  <c:v>-81.608903478724187</c:v>
                </c:pt>
                <c:pt idx="499">
                  <c:v>-82.065203239666971</c:v>
                </c:pt>
                <c:pt idx="500">
                  <c:v>-82.523420263657172</c:v>
                </c:pt>
                <c:pt idx="501">
                  <c:v>-82.983586786476394</c:v>
                </c:pt>
                <c:pt idx="502">
                  <c:v>-83.445733928413915</c:v>
                </c:pt>
                <c:pt idx="503">
                  <c:v>-83.909891572845709</c:v>
                </c:pt>
                <c:pt idx="504">
                  <c:v>-84.376088245752328</c:v>
                </c:pt>
                <c:pt idx="505">
                  <c:v>-84.844350996905405</c:v>
                </c:pt>
                <c:pt idx="506">
                  <c:v>-85.314705283471838</c:v>
                </c:pt>
                <c:pt idx="507">
                  <c:v>-85.787174856796469</c:v>
                </c:pt>
                <c:pt idx="508">
                  <c:v>-86.261781653128949</c:v>
                </c:pt>
                <c:pt idx="509">
                  <c:v>-86.738545689052131</c:v>
                </c:pt>
                <c:pt idx="510">
                  <c:v>-87.217484962357247</c:v>
                </c:pt>
                <c:pt idx="511">
                  <c:v>-87.698615359083647</c:v>
                </c:pt>
                <c:pt idx="512">
                  <c:v>-88.181950567410638</c:v>
                </c:pt>
                <c:pt idx="513">
                  <c:v>-88.667501999040383</c:v>
                </c:pt>
                <c:pt idx="514">
                  <c:v>-89.155278718662629</c:v>
                </c:pt>
                <c:pt idx="515">
                  <c:v>-89.645287382027931</c:v>
                </c:pt>
                <c:pt idx="516">
                  <c:v>-90.137532183089419</c:v>
                </c:pt>
                <c:pt idx="517">
                  <c:v>-90.632014810594356</c:v>
                </c:pt>
                <c:pt idx="518">
                  <c:v>-91.128734414427157</c:v>
                </c:pt>
                <c:pt idx="519">
                  <c:v>-91.627687581918153</c:v>
                </c:pt>
                <c:pt idx="520">
                  <c:v>-92.128868324242035</c:v>
                </c:pt>
                <c:pt idx="521">
                  <c:v>-92.63226807293934</c:v>
                </c:pt>
                <c:pt idx="522">
                  <c:v>-93.137875686498163</c:v>
                </c:pt>
                <c:pt idx="523">
                  <c:v>-93.64567746684601</c:v>
                </c:pt>
                <c:pt idx="524">
                  <c:v>-94.155657185508602</c:v>
                </c:pt>
                <c:pt idx="525">
                  <c:v>-94.667796119107464</c:v>
                </c:pt>
                <c:pt idx="526">
                  <c:v>-95.182073093786357</c:v>
                </c:pt>
                <c:pt idx="527">
                  <c:v>-95.698464538082661</c:v>
                </c:pt>
                <c:pt idx="528">
                  <c:v>-96.216944543689095</c:v>
                </c:pt>
                <c:pt idx="529">
                  <c:v>-96.737484933495494</c:v>
                </c:pt>
                <c:pt idx="530">
                  <c:v>-97.26005533624145</c:v>
                </c:pt>
                <c:pt idx="531">
                  <c:v>-97.78462326707708</c:v>
                </c:pt>
                <c:pt idx="532">
                  <c:v>-98.311154213288773</c:v>
                </c:pt>
                <c:pt idx="533">
                  <c:v>-98.839611724428451</c:v>
                </c:pt>
                <c:pt idx="534">
                  <c:v>-99.369957506069198</c:v>
                </c:pt>
                <c:pt idx="535">
                  <c:v>-99.902151516406292</c:v>
                </c:pt>
                <c:pt idx="536">
                  <c:v>-100.43615206492805</c:v>
                </c:pt>
                <c:pt idx="537">
                  <c:v>-100.97191591239604</c:v>
                </c:pt>
                <c:pt idx="538">
                  <c:v>-101.50939837139214</c:v>
                </c:pt>
                <c:pt idx="539">
                  <c:v>-102.04855340672295</c:v>
                </c:pt>
                <c:pt idx="540">
                  <c:v>-102.58933373500466</c:v>
                </c:pt>
                <c:pt idx="541">
                  <c:v>-103.13169092279408</c:v>
                </c:pt>
              </c:numCache>
            </c:numRef>
          </c:yVal>
          <c:smooth val="1"/>
          <c:extLst>
            <c:ext xmlns:c16="http://schemas.microsoft.com/office/drawing/2014/chart" uri="{C3380CC4-5D6E-409C-BE32-E72D297353CC}">
              <c16:uniqueId val="{00000000-1798-4659-8C8F-5766C9E652D3}"/>
            </c:ext>
          </c:extLst>
        </c:ser>
        <c:ser>
          <c:idx val="2"/>
          <c:order val="2"/>
          <c:tx>
            <c:v>f_LP</c:v>
          </c:tx>
          <c:spPr>
            <a:ln w="38100" cmpd="sng"/>
          </c:spPr>
          <c:marker>
            <c:symbol val="x"/>
            <c:size val="7"/>
            <c:spPr>
              <a:noFill/>
            </c:spPr>
          </c:marker>
          <c:dPt>
            <c:idx val="0"/>
            <c:marker>
              <c:spPr>
                <a:noFill/>
                <a:ln w="19050">
                  <a:solidFill>
                    <a:schemeClr val="tx1"/>
                  </a:solidFill>
                </a:ln>
              </c:spPr>
            </c:marker>
            <c:bubble3D val="0"/>
            <c:extLst>
              <c:ext xmlns:c16="http://schemas.microsoft.com/office/drawing/2014/chart" uri="{C3380CC4-5D6E-409C-BE32-E72D297353CC}">
                <c16:uniqueId val="{00000001-1798-4659-8C8F-5766C9E652D3}"/>
              </c:ext>
            </c:extLst>
          </c:dPt>
          <c:dLbls>
            <c:dLbl>
              <c:idx val="0"/>
              <c:tx>
                <c:rich>
                  <a:bodyPr/>
                  <a:lstStyle/>
                  <a:p>
                    <a:r>
                      <a:rPr lang="en-US" sz="1100" b="1"/>
                      <a:t>f</a:t>
                    </a:r>
                    <a:r>
                      <a:rPr lang="en-US" sz="1100" b="1" baseline="-25000"/>
                      <a:t>LP</a:t>
                    </a:r>
                    <a:endParaRPr lang="en-US" b="1" baseline="-25000"/>
                  </a:p>
                </c:rich>
              </c:tx>
              <c:dLblPos val="b"/>
              <c:showLegendKey val="0"/>
              <c:showVal val="0"/>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798-4659-8C8F-5766C9E652D3}"/>
                </c:ext>
              </c:extLst>
            </c:dLbl>
            <c:spPr>
              <a:noFill/>
              <a:ln>
                <a:noFill/>
              </a:ln>
              <a:effectLst/>
            </c:spPr>
            <c:dLblPos val="b"/>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CCM_Loop_Modeling_non_isolated!$O$11</c:f>
              <c:numCache>
                <c:formatCode>0</c:formatCode>
                <c:ptCount val="1"/>
                <c:pt idx="0">
                  <c:v>34.057847904438518</c:v>
                </c:pt>
              </c:numCache>
            </c:numRef>
          </c:xVal>
          <c:yVal>
            <c:numRef>
              <c:f>CCM_Loop_Modeling_non_isolated!$AT$11</c:f>
              <c:numCache>
                <c:formatCode>0.000</c:formatCode>
                <c:ptCount val="1"/>
                <c:pt idx="0">
                  <c:v>57.354308998373284</c:v>
                </c:pt>
              </c:numCache>
            </c:numRef>
          </c:yVal>
          <c:smooth val="0"/>
          <c:extLst>
            <c:ext xmlns:c16="http://schemas.microsoft.com/office/drawing/2014/chart" uri="{C3380CC4-5D6E-409C-BE32-E72D297353CC}">
              <c16:uniqueId val="{00000002-1798-4659-8C8F-5766C9E652D3}"/>
            </c:ext>
          </c:extLst>
        </c:ser>
        <c:ser>
          <c:idx val="3"/>
          <c:order val="3"/>
          <c:tx>
            <c:v>fz_rhp</c:v>
          </c:tx>
          <c:spPr>
            <a:ln>
              <a:solidFill>
                <a:schemeClr val="tx1"/>
              </a:solidFill>
            </a:ln>
          </c:spPr>
          <c:marker>
            <c:symbol val="circle"/>
            <c:size val="7"/>
            <c:spPr>
              <a:noFill/>
              <a:ln w="19050">
                <a:solidFill>
                  <a:schemeClr val="tx1"/>
                </a:solidFill>
              </a:ln>
            </c:spPr>
          </c:marker>
          <c:dLbls>
            <c:dLbl>
              <c:idx val="0"/>
              <c:layout>
                <c:manualLayout>
                  <c:x val="8.0501209561423519E-3"/>
                  <c:y val="-1.5493667278504181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1798-4659-8C8F-5766C9E652D3}"/>
                </c:ext>
              </c:extLst>
            </c:dLbl>
            <c:spPr>
              <a:noFill/>
              <a:ln>
                <a:noFill/>
              </a:ln>
              <a:effectLst/>
            </c:spPr>
            <c:txPr>
              <a:bodyPr/>
              <a:lstStyle/>
              <a:p>
                <a:pPr>
                  <a:defRPr b="1"/>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CCM_Loop_Modeling_non_isolated!$O$9</c:f>
              <c:numCache>
                <c:formatCode>0</c:formatCode>
                <c:ptCount val="1"/>
                <c:pt idx="0">
                  <c:v>9824.3792032034162</c:v>
                </c:pt>
              </c:numCache>
            </c:numRef>
          </c:xVal>
          <c:yVal>
            <c:numRef>
              <c:f>CCM_Loop_Modeling_non_isolated!$AT$9</c:f>
              <c:numCache>
                <c:formatCode>0.000</c:formatCode>
                <c:ptCount val="1"/>
                <c:pt idx="0">
                  <c:v>-14.066015095822044</c:v>
                </c:pt>
              </c:numCache>
            </c:numRef>
          </c:yVal>
          <c:smooth val="1"/>
          <c:extLst>
            <c:ext xmlns:c16="http://schemas.microsoft.com/office/drawing/2014/chart" uri="{C3380CC4-5D6E-409C-BE32-E72D297353CC}">
              <c16:uniqueId val="{00000004-1798-4659-8C8F-5766C9E652D3}"/>
            </c:ext>
          </c:extLst>
        </c:ser>
        <c:ser>
          <c:idx val="4"/>
          <c:order val="4"/>
          <c:tx>
            <c:v>f_esr</c:v>
          </c:tx>
          <c:spPr>
            <a:ln>
              <a:noFill/>
            </a:ln>
          </c:spPr>
          <c:marker>
            <c:symbol val="circle"/>
            <c:size val="5"/>
            <c:spPr>
              <a:noFill/>
              <a:ln w="19050">
                <a:solidFill>
                  <a:schemeClr val="tx1"/>
                </a:solidFill>
              </a:ln>
            </c:spPr>
          </c:marker>
          <c:dPt>
            <c:idx val="0"/>
            <c:marker>
              <c:symbol val="circle"/>
              <c:size val="7"/>
            </c:marker>
            <c:bubble3D val="0"/>
            <c:extLst>
              <c:ext xmlns:c16="http://schemas.microsoft.com/office/drawing/2014/chart" uri="{C3380CC4-5D6E-409C-BE32-E72D297353CC}">
                <c16:uniqueId val="{00000005-1798-4659-8C8F-5766C9E652D3}"/>
              </c:ext>
            </c:extLst>
          </c:dPt>
          <c:dLbls>
            <c:dLbl>
              <c:idx val="0"/>
              <c:layout>
                <c:manualLayout>
                  <c:x val="-5.990474489899654E-2"/>
                  <c:y val="-1.2457193490087108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1798-4659-8C8F-5766C9E652D3}"/>
                </c:ext>
              </c:extLst>
            </c:dLbl>
            <c:spPr>
              <a:noFill/>
              <a:ln>
                <a:noFill/>
              </a:ln>
              <a:effectLst/>
            </c:spPr>
            <c:txPr>
              <a:bodyPr/>
              <a:lstStyle/>
              <a:p>
                <a:pPr>
                  <a:defRPr b="1"/>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CCM_Loop_Modeling_non_isolated!$O$10</c:f>
              <c:numCache>
                <c:formatCode>0</c:formatCode>
                <c:ptCount val="1"/>
                <c:pt idx="0">
                  <c:v>15931425.734924462</c:v>
                </c:pt>
              </c:numCache>
            </c:numRef>
          </c:xVal>
          <c:yVal>
            <c:numRef>
              <c:f>CCM_Loop_Modeling_non_isolated!$AT$10</c:f>
              <c:numCache>
                <c:formatCode>0.000</c:formatCode>
                <c:ptCount val="1"/>
                <c:pt idx="0">
                  <c:v>-145.92037424531895</c:v>
                </c:pt>
              </c:numCache>
            </c:numRef>
          </c:yVal>
          <c:smooth val="1"/>
          <c:extLst>
            <c:ext xmlns:c16="http://schemas.microsoft.com/office/drawing/2014/chart" uri="{C3380CC4-5D6E-409C-BE32-E72D297353CC}">
              <c16:uniqueId val="{00000006-1798-4659-8C8F-5766C9E652D3}"/>
            </c:ext>
          </c:extLst>
        </c:ser>
        <c:ser>
          <c:idx val="5"/>
          <c:order val="5"/>
          <c:tx>
            <c:v>fz_ea</c:v>
          </c:tx>
          <c:marker>
            <c:symbol val="circle"/>
            <c:size val="8"/>
            <c:spPr>
              <a:noFill/>
              <a:ln w="25400">
                <a:solidFill>
                  <a:srgbClr val="00B0F0"/>
                </a:solidFill>
              </a:ln>
            </c:spPr>
          </c:marker>
          <c:dLbls>
            <c:dLbl>
              <c:idx val="0"/>
              <c:spPr/>
              <c:txPr>
                <a:bodyPr/>
                <a:lstStyle/>
                <a:p>
                  <a:pPr>
                    <a:defRPr b="1"/>
                  </a:pPr>
                  <a:endParaRPr lang="en-US"/>
                </a:p>
              </c:txPr>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1798-4659-8C8F-5766C9E652D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CCM_Loop_Modeling_non_isolated!$O$12</c:f>
              <c:numCache>
                <c:formatCode>General</c:formatCode>
                <c:ptCount val="1"/>
                <c:pt idx="0">
                  <c:v>137.01355293723773</c:v>
                </c:pt>
              </c:numCache>
            </c:numRef>
          </c:xVal>
          <c:yVal>
            <c:numRef>
              <c:f>CCM_Loop_Modeling_non_isolated!$AT$12</c:f>
              <c:numCache>
                <c:formatCode>0.000</c:formatCode>
                <c:ptCount val="1"/>
                <c:pt idx="0">
                  <c:v>38.643865942555436</c:v>
                </c:pt>
              </c:numCache>
            </c:numRef>
          </c:yVal>
          <c:smooth val="1"/>
          <c:extLst>
            <c:ext xmlns:c16="http://schemas.microsoft.com/office/drawing/2014/chart" uri="{C3380CC4-5D6E-409C-BE32-E72D297353CC}">
              <c16:uniqueId val="{00000008-1798-4659-8C8F-5766C9E652D3}"/>
            </c:ext>
          </c:extLst>
        </c:ser>
        <c:ser>
          <c:idx val="6"/>
          <c:order val="6"/>
          <c:tx>
            <c:v>fp_ea</c:v>
          </c:tx>
          <c:marker>
            <c:symbol val="x"/>
            <c:size val="7"/>
            <c:spPr>
              <a:noFill/>
              <a:ln w="25400">
                <a:solidFill>
                  <a:srgbClr val="00B0F0"/>
                </a:solidFill>
              </a:ln>
            </c:spPr>
          </c:marker>
          <c:dLbls>
            <c:dLbl>
              <c:idx val="0"/>
              <c:layout>
                <c:manualLayout>
                  <c:x val="-5.3995739911983948E-2"/>
                  <c:y val="3.3712510009006609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1798-4659-8C8F-5766C9E652D3}"/>
                </c:ext>
              </c:extLst>
            </c:dLbl>
            <c:spPr>
              <a:noFill/>
              <a:ln>
                <a:noFill/>
              </a:ln>
              <a:effectLst/>
            </c:spPr>
            <c:txPr>
              <a:bodyPr/>
              <a:lstStyle/>
              <a:p>
                <a:pPr>
                  <a:defRPr b="1"/>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CCM_Loop_Modeling_non_isolated!$O$13</c:f>
              <c:numCache>
                <c:formatCode>General</c:formatCode>
                <c:ptCount val="1"/>
                <c:pt idx="0">
                  <c:v>66628.88483130261</c:v>
                </c:pt>
              </c:numCache>
            </c:numRef>
          </c:xVal>
          <c:yVal>
            <c:numRef>
              <c:f>CCM_Loop_Modeling_non_isolated!$AT$13</c:f>
              <c:numCache>
                <c:formatCode>0.000</c:formatCode>
                <c:ptCount val="1"/>
                <c:pt idx="0">
                  <c:v>-36.422220937535656</c:v>
                </c:pt>
              </c:numCache>
            </c:numRef>
          </c:yVal>
          <c:smooth val="1"/>
          <c:extLst>
            <c:ext xmlns:c16="http://schemas.microsoft.com/office/drawing/2014/chart" uri="{C3380CC4-5D6E-409C-BE32-E72D297353CC}">
              <c16:uniqueId val="{0000000A-1798-4659-8C8F-5766C9E652D3}"/>
            </c:ext>
          </c:extLst>
        </c:ser>
        <c:dLbls>
          <c:showLegendKey val="0"/>
          <c:showVal val="0"/>
          <c:showCatName val="0"/>
          <c:showSerName val="0"/>
          <c:showPercent val="0"/>
          <c:showBubbleSize val="0"/>
        </c:dLbls>
        <c:axId val="589245056"/>
        <c:axId val="589259520"/>
      </c:scatterChart>
      <c:scatterChart>
        <c:scatterStyle val="smoothMarker"/>
        <c:varyColors val="0"/>
        <c:ser>
          <c:idx val="1"/>
          <c:order val="1"/>
          <c:tx>
            <c:v>Phase (deg)</c:v>
          </c:tx>
          <c:spPr>
            <a:ln w="28575">
              <a:solidFill>
                <a:schemeClr val="tx1">
                  <a:lumMod val="95000"/>
                  <a:lumOff val="5000"/>
                </a:schemeClr>
              </a:solidFill>
              <a:prstDash val="sysDash"/>
            </a:ln>
          </c:spPr>
          <c:marker>
            <c:symbol val="none"/>
          </c:marker>
          <c:xVal>
            <c:numRef>
              <c:f>CCM_Loop_Modeling_non_isolated!$O$19:$O$560</c:f>
              <c:numCache>
                <c:formatCode>0.00</c:formatCode>
                <c:ptCount val="542"/>
                <c:pt idx="0">
                  <c:v>10.232929922807543</c:v>
                </c:pt>
                <c:pt idx="1">
                  <c:v>10.471285480509</c:v>
                </c:pt>
                <c:pt idx="2">
                  <c:v>10.715193052376069</c:v>
                </c:pt>
                <c:pt idx="3">
                  <c:v>10.964781961431854</c:v>
                </c:pt>
                <c:pt idx="4">
                  <c:v>11.220184543019636</c:v>
                </c:pt>
                <c:pt idx="5">
                  <c:v>11.481536214968834</c:v>
                </c:pt>
                <c:pt idx="6">
                  <c:v>11.748975549395301</c:v>
                </c:pt>
                <c:pt idx="7">
                  <c:v>12.022644346174133</c:v>
                </c:pt>
                <c:pt idx="8">
                  <c:v>12.302687708123818</c:v>
                </c:pt>
                <c:pt idx="9">
                  <c:v>12.58925411794168</c:v>
                </c:pt>
                <c:pt idx="10">
                  <c:v>12.882495516931346</c:v>
                </c:pt>
                <c:pt idx="11">
                  <c:v>13.182567385564075</c:v>
                </c:pt>
                <c:pt idx="12">
                  <c:v>13.489628825916535</c:v>
                </c:pt>
                <c:pt idx="13">
                  <c:v>13.803842646028857</c:v>
                </c:pt>
                <c:pt idx="14">
                  <c:v>14.125375446227544</c:v>
                </c:pt>
                <c:pt idx="15">
                  <c:v>14.454397707459275</c:v>
                </c:pt>
                <c:pt idx="16">
                  <c:v>14.791083881682074</c:v>
                </c:pt>
                <c:pt idx="17">
                  <c:v>15.135612484362087</c:v>
                </c:pt>
                <c:pt idx="18">
                  <c:v>15.488166189124817</c:v>
                </c:pt>
                <c:pt idx="19">
                  <c:v>15.848931924611136</c:v>
                </c:pt>
                <c:pt idx="20">
                  <c:v>16.218100973589298</c:v>
                </c:pt>
                <c:pt idx="21">
                  <c:v>16.595869074375614</c:v>
                </c:pt>
                <c:pt idx="22">
                  <c:v>16.982436524617448</c:v>
                </c:pt>
                <c:pt idx="23">
                  <c:v>17.378008287493756</c:v>
                </c:pt>
                <c:pt idx="24">
                  <c:v>17.782794100389236</c:v>
                </c:pt>
                <c:pt idx="25">
                  <c:v>18.197008586099841</c:v>
                </c:pt>
                <c:pt idx="26">
                  <c:v>18.62087136662868</c:v>
                </c:pt>
                <c:pt idx="27">
                  <c:v>19.054607179632477</c:v>
                </c:pt>
                <c:pt idx="28">
                  <c:v>19.498445997580465</c:v>
                </c:pt>
                <c:pt idx="29">
                  <c:v>19.952623149688804</c:v>
                </c:pt>
                <c:pt idx="30">
                  <c:v>20.4173794466953</c:v>
                </c:pt>
                <c:pt idx="31">
                  <c:v>20.8929613085404</c:v>
                </c:pt>
                <c:pt idx="32">
                  <c:v>21.379620895022335</c:v>
                </c:pt>
                <c:pt idx="33">
                  <c:v>21.877616239495538</c:v>
                </c:pt>
                <c:pt idx="34">
                  <c:v>22.387211385683404</c:v>
                </c:pt>
                <c:pt idx="35">
                  <c:v>22.908676527677727</c:v>
                </c:pt>
                <c:pt idx="36">
                  <c:v>23.442288153199236</c:v>
                </c:pt>
                <c:pt idx="37">
                  <c:v>23.988329190194907</c:v>
                </c:pt>
                <c:pt idx="38">
                  <c:v>24.547089156850316</c:v>
                </c:pt>
                <c:pt idx="39">
                  <c:v>25.118864315095799</c:v>
                </c:pt>
                <c:pt idx="40">
                  <c:v>25.703957827688647</c:v>
                </c:pt>
                <c:pt idx="41">
                  <c:v>26.302679918953825</c:v>
                </c:pt>
                <c:pt idx="42">
                  <c:v>26.915348039269158</c:v>
                </c:pt>
                <c:pt idx="43">
                  <c:v>27.542287033381665</c:v>
                </c:pt>
                <c:pt idx="44">
                  <c:v>28.183829312644548</c:v>
                </c:pt>
                <c:pt idx="45">
                  <c:v>28.840315031266066</c:v>
                </c:pt>
                <c:pt idx="46">
                  <c:v>29.512092266663863</c:v>
                </c:pt>
                <c:pt idx="47">
                  <c:v>30.199517204020164</c:v>
                </c:pt>
                <c:pt idx="48">
                  <c:v>30.902954325135919</c:v>
                </c:pt>
                <c:pt idx="49">
                  <c:v>31.622776601683803</c:v>
                </c:pt>
                <c:pt idx="50">
                  <c:v>32.359365692962832</c:v>
                </c:pt>
                <c:pt idx="51">
                  <c:v>33.113112148259127</c:v>
                </c:pt>
                <c:pt idx="52">
                  <c:v>33.884415613920268</c:v>
                </c:pt>
                <c:pt idx="53">
                  <c:v>34.67368504525318</c:v>
                </c:pt>
                <c:pt idx="54">
                  <c:v>35.481338923357555</c:v>
                </c:pt>
                <c:pt idx="55">
                  <c:v>36.307805477010156</c:v>
                </c:pt>
                <c:pt idx="56">
                  <c:v>37.15352290971726</c:v>
                </c:pt>
                <c:pt idx="57">
                  <c:v>38.018939632056139</c:v>
                </c:pt>
                <c:pt idx="58">
                  <c:v>38.904514499428053</c:v>
                </c:pt>
                <c:pt idx="59">
                  <c:v>39.810717055349755</c:v>
                </c:pt>
                <c:pt idx="60">
                  <c:v>40.738027780411279</c:v>
                </c:pt>
                <c:pt idx="61">
                  <c:v>41.686938347033561</c:v>
                </c:pt>
                <c:pt idx="62">
                  <c:v>42.657951880159267</c:v>
                </c:pt>
                <c:pt idx="63">
                  <c:v>43.651583224016633</c:v>
                </c:pt>
                <c:pt idx="64">
                  <c:v>44.668359215096324</c:v>
                </c:pt>
                <c:pt idx="65">
                  <c:v>45.70881896148753</c:v>
                </c:pt>
                <c:pt idx="66">
                  <c:v>46.773514128719818</c:v>
                </c:pt>
                <c:pt idx="67">
                  <c:v>47.863009232263877</c:v>
                </c:pt>
                <c:pt idx="68">
                  <c:v>48.977881936844632</c:v>
                </c:pt>
                <c:pt idx="69">
                  <c:v>50.118723362727238</c:v>
                </c:pt>
                <c:pt idx="70">
                  <c:v>51.28613839913649</c:v>
                </c:pt>
                <c:pt idx="71">
                  <c:v>52.480746024977286</c:v>
                </c:pt>
                <c:pt idx="72">
                  <c:v>53.703179637025293</c:v>
                </c:pt>
                <c:pt idx="73">
                  <c:v>54.95408738576247</c:v>
                </c:pt>
                <c:pt idx="74">
                  <c:v>56.234132519034915</c:v>
                </c:pt>
                <c:pt idx="75">
                  <c:v>57.543993733715695</c:v>
                </c:pt>
                <c:pt idx="76">
                  <c:v>58.884365535558949</c:v>
                </c:pt>
                <c:pt idx="77">
                  <c:v>60.255958607435822</c:v>
                </c:pt>
                <c:pt idx="78">
                  <c:v>61.659500186148257</c:v>
                </c:pt>
                <c:pt idx="79">
                  <c:v>63.095734448019364</c:v>
                </c:pt>
                <c:pt idx="80">
                  <c:v>64.565422903465588</c:v>
                </c:pt>
                <c:pt idx="81">
                  <c:v>66.069344800759623</c:v>
                </c:pt>
                <c:pt idx="82">
                  <c:v>67.60829753919819</c:v>
                </c:pt>
                <c:pt idx="83">
                  <c:v>69.183097091893657</c:v>
                </c:pt>
                <c:pt idx="84">
                  <c:v>70.794578438413865</c:v>
                </c:pt>
                <c:pt idx="85">
                  <c:v>72.443596007499011</c:v>
                </c:pt>
                <c:pt idx="86">
                  <c:v>74.131024130091816</c:v>
                </c:pt>
                <c:pt idx="87">
                  <c:v>75.857757502918361</c:v>
                </c:pt>
                <c:pt idx="88">
                  <c:v>77.624711662869217</c:v>
                </c:pt>
                <c:pt idx="89">
                  <c:v>79.432823472428197</c:v>
                </c:pt>
                <c:pt idx="90">
                  <c:v>81.283051616409963</c:v>
                </c:pt>
                <c:pt idx="91">
                  <c:v>83.176377110267126</c:v>
                </c:pt>
                <c:pt idx="92">
                  <c:v>85.113803820237734</c:v>
                </c:pt>
                <c:pt idx="93">
                  <c:v>87.096358995608071</c:v>
                </c:pt>
                <c:pt idx="94">
                  <c:v>89.125093813374562</c:v>
                </c:pt>
                <c:pt idx="95">
                  <c:v>91.201083935590972</c:v>
                </c:pt>
                <c:pt idx="96">
                  <c:v>93.325430079699174</c:v>
                </c:pt>
                <c:pt idx="97">
                  <c:v>95.499258602143655</c:v>
                </c:pt>
                <c:pt idx="98">
                  <c:v>97.723722095581124</c:v>
                </c:pt>
                <c:pt idx="99">
                  <c:v>100</c:v>
                </c:pt>
                <c:pt idx="100">
                  <c:v>102.32929922807544</c:v>
                </c:pt>
                <c:pt idx="101">
                  <c:v>104.71285480508998</c:v>
                </c:pt>
                <c:pt idx="102">
                  <c:v>107.15193052376065</c:v>
                </c:pt>
                <c:pt idx="103">
                  <c:v>109.64781961431861</c:v>
                </c:pt>
                <c:pt idx="104">
                  <c:v>112.20184543019634</c:v>
                </c:pt>
                <c:pt idx="105">
                  <c:v>114.81536214968835</c:v>
                </c:pt>
                <c:pt idx="106">
                  <c:v>117.48975549395293</c:v>
                </c:pt>
                <c:pt idx="107">
                  <c:v>120.22644346174135</c:v>
                </c:pt>
                <c:pt idx="108">
                  <c:v>123.02687708123821</c:v>
                </c:pt>
                <c:pt idx="109">
                  <c:v>125.89254117941677</c:v>
                </c:pt>
                <c:pt idx="110">
                  <c:v>128.82495516931343</c:v>
                </c:pt>
                <c:pt idx="111">
                  <c:v>131.82567385564084</c:v>
                </c:pt>
                <c:pt idx="112">
                  <c:v>134.89628825916537</c:v>
                </c:pt>
                <c:pt idx="113">
                  <c:v>138.0384264602886</c:v>
                </c:pt>
                <c:pt idx="114">
                  <c:v>141.25375446227542</c:v>
                </c:pt>
                <c:pt idx="115">
                  <c:v>144.54397707459285</c:v>
                </c:pt>
                <c:pt idx="116">
                  <c:v>147.91083881682084</c:v>
                </c:pt>
                <c:pt idx="117">
                  <c:v>151.3561248436209</c:v>
                </c:pt>
                <c:pt idx="118">
                  <c:v>154.8816618912482</c:v>
                </c:pt>
                <c:pt idx="119">
                  <c:v>158.48931924611153</c:v>
                </c:pt>
                <c:pt idx="120">
                  <c:v>162.18100973589304</c:v>
                </c:pt>
                <c:pt idx="121">
                  <c:v>165.95869074375622</c:v>
                </c:pt>
                <c:pt idx="122">
                  <c:v>169.82436524617444</c:v>
                </c:pt>
                <c:pt idx="123">
                  <c:v>173.78008287493768</c:v>
                </c:pt>
                <c:pt idx="124">
                  <c:v>177.82794100389242</c:v>
                </c:pt>
                <c:pt idx="125">
                  <c:v>181.9700858609983</c:v>
                </c:pt>
                <c:pt idx="126">
                  <c:v>186.20871366628685</c:v>
                </c:pt>
                <c:pt idx="127">
                  <c:v>190.54607179632498</c:v>
                </c:pt>
                <c:pt idx="128">
                  <c:v>194.98445997580458</c:v>
                </c:pt>
                <c:pt idx="129">
                  <c:v>199.52623149688802</c:v>
                </c:pt>
                <c:pt idx="130">
                  <c:v>204.17379446695315</c:v>
                </c:pt>
                <c:pt idx="131">
                  <c:v>208.92961308540396</c:v>
                </c:pt>
                <c:pt idx="132">
                  <c:v>213.79620895022339</c:v>
                </c:pt>
                <c:pt idx="133">
                  <c:v>218.77616239495524</c:v>
                </c:pt>
                <c:pt idx="134">
                  <c:v>223.87211385683412</c:v>
                </c:pt>
                <c:pt idx="135">
                  <c:v>229.08676527677744</c:v>
                </c:pt>
                <c:pt idx="136">
                  <c:v>234.42288153199232</c:v>
                </c:pt>
                <c:pt idx="137">
                  <c:v>239.88329190194912</c:v>
                </c:pt>
                <c:pt idx="138">
                  <c:v>245.4708915685033</c:v>
                </c:pt>
                <c:pt idx="139">
                  <c:v>251.18864315095806</c:v>
                </c:pt>
                <c:pt idx="140">
                  <c:v>257.03957827688663</c:v>
                </c:pt>
                <c:pt idx="141">
                  <c:v>263.02679918953817</c:v>
                </c:pt>
                <c:pt idx="142">
                  <c:v>269.15348039269179</c:v>
                </c:pt>
                <c:pt idx="143">
                  <c:v>275.42287033381683</c:v>
                </c:pt>
                <c:pt idx="144">
                  <c:v>281.83829312644554</c:v>
                </c:pt>
                <c:pt idx="145">
                  <c:v>288.40315031266073</c:v>
                </c:pt>
                <c:pt idx="146">
                  <c:v>295.12092266663871</c:v>
                </c:pt>
                <c:pt idx="147">
                  <c:v>301.99517204020168</c:v>
                </c:pt>
                <c:pt idx="148">
                  <c:v>309.02954325135937</c:v>
                </c:pt>
                <c:pt idx="149">
                  <c:v>316.22776601683825</c:v>
                </c:pt>
                <c:pt idx="150">
                  <c:v>323.59365692962825</c:v>
                </c:pt>
                <c:pt idx="151">
                  <c:v>331.13112148259137</c:v>
                </c:pt>
                <c:pt idx="152">
                  <c:v>338.84415613920277</c:v>
                </c:pt>
                <c:pt idx="153">
                  <c:v>346.73685045253183</c:v>
                </c:pt>
                <c:pt idx="154">
                  <c:v>354.81338923357566</c:v>
                </c:pt>
                <c:pt idx="155">
                  <c:v>363.07805477010152</c:v>
                </c:pt>
                <c:pt idx="156">
                  <c:v>371.53522909717265</c:v>
                </c:pt>
                <c:pt idx="157">
                  <c:v>380.18939632056163</c:v>
                </c:pt>
                <c:pt idx="158">
                  <c:v>389.04514499428063</c:v>
                </c:pt>
                <c:pt idx="159">
                  <c:v>398.10717055349761</c:v>
                </c:pt>
                <c:pt idx="160">
                  <c:v>407.38027780411272</c:v>
                </c:pt>
                <c:pt idx="161">
                  <c:v>416.86938347033572</c:v>
                </c:pt>
                <c:pt idx="162">
                  <c:v>426.57951880159294</c:v>
                </c:pt>
                <c:pt idx="163">
                  <c:v>436.51583224016622</c:v>
                </c:pt>
                <c:pt idx="164">
                  <c:v>446.68359215096331</c:v>
                </c:pt>
                <c:pt idx="165">
                  <c:v>457.0881896148756</c:v>
                </c:pt>
                <c:pt idx="166">
                  <c:v>467.7351412871983</c:v>
                </c:pt>
                <c:pt idx="167">
                  <c:v>478.63009232263886</c:v>
                </c:pt>
                <c:pt idx="168">
                  <c:v>489.77881936844625</c:v>
                </c:pt>
                <c:pt idx="169">
                  <c:v>501.18723362727269</c:v>
                </c:pt>
                <c:pt idx="170">
                  <c:v>512.86138399136519</c:v>
                </c:pt>
                <c:pt idx="171">
                  <c:v>524.80746024977248</c:v>
                </c:pt>
                <c:pt idx="172">
                  <c:v>537.03179637025301</c:v>
                </c:pt>
                <c:pt idx="173">
                  <c:v>549.54087385762534</c:v>
                </c:pt>
                <c:pt idx="174">
                  <c:v>562.34132519034927</c:v>
                </c:pt>
                <c:pt idx="175">
                  <c:v>575.43993733715706</c:v>
                </c:pt>
                <c:pt idx="176">
                  <c:v>588.84365535558959</c:v>
                </c:pt>
                <c:pt idx="177">
                  <c:v>602.55958607435832</c:v>
                </c:pt>
                <c:pt idx="178">
                  <c:v>616.59500186148273</c:v>
                </c:pt>
                <c:pt idx="179">
                  <c:v>630.95734448019323</c:v>
                </c:pt>
                <c:pt idx="180">
                  <c:v>645.65422903465594</c:v>
                </c:pt>
                <c:pt idx="181">
                  <c:v>660.69344800759643</c:v>
                </c:pt>
                <c:pt idx="182">
                  <c:v>676.08297539198213</c:v>
                </c:pt>
                <c:pt idx="183">
                  <c:v>691.83097091893671</c:v>
                </c:pt>
                <c:pt idx="184">
                  <c:v>707.94578438413873</c:v>
                </c:pt>
                <c:pt idx="185">
                  <c:v>724.43596007499025</c:v>
                </c:pt>
                <c:pt idx="186">
                  <c:v>741.31024130091828</c:v>
                </c:pt>
                <c:pt idx="187">
                  <c:v>758.57757502918378</c:v>
                </c:pt>
                <c:pt idx="188">
                  <c:v>776.24711662869231</c:v>
                </c:pt>
                <c:pt idx="189">
                  <c:v>794.32823472428208</c:v>
                </c:pt>
                <c:pt idx="190">
                  <c:v>812.83051616409978</c:v>
                </c:pt>
                <c:pt idx="191">
                  <c:v>831.7637711026714</c:v>
                </c:pt>
                <c:pt idx="192">
                  <c:v>851.13803820237763</c:v>
                </c:pt>
                <c:pt idx="193">
                  <c:v>870.96358995608091</c:v>
                </c:pt>
                <c:pt idx="194">
                  <c:v>891.25093813374656</c:v>
                </c:pt>
                <c:pt idx="195">
                  <c:v>912.01083935590987</c:v>
                </c:pt>
                <c:pt idx="196">
                  <c:v>933.25430079699106</c:v>
                </c:pt>
                <c:pt idx="197">
                  <c:v>954.99258602143675</c:v>
                </c:pt>
                <c:pt idx="198">
                  <c:v>977.23722095581138</c:v>
                </c:pt>
                <c:pt idx="199">
                  <c:v>1000</c:v>
                </c:pt>
                <c:pt idx="200">
                  <c:v>1023.2929922807547</c:v>
                </c:pt>
                <c:pt idx="201">
                  <c:v>1047.1285480509</c:v>
                </c:pt>
                <c:pt idx="202">
                  <c:v>1071.5193052376069</c:v>
                </c:pt>
                <c:pt idx="203">
                  <c:v>1096.4781961431863</c:v>
                </c:pt>
                <c:pt idx="204">
                  <c:v>1122.0184543019636</c:v>
                </c:pt>
                <c:pt idx="205">
                  <c:v>1148.1536214968839</c:v>
                </c:pt>
                <c:pt idx="206">
                  <c:v>1174.8975549395295</c:v>
                </c:pt>
                <c:pt idx="207">
                  <c:v>1202.2644346174138</c:v>
                </c:pt>
                <c:pt idx="208">
                  <c:v>1230.2687708123824</c:v>
                </c:pt>
                <c:pt idx="209">
                  <c:v>1258.925411794168</c:v>
                </c:pt>
                <c:pt idx="210">
                  <c:v>1288.2495516931347</c:v>
                </c:pt>
                <c:pt idx="211">
                  <c:v>1318.2567385564089</c:v>
                </c:pt>
                <c:pt idx="212">
                  <c:v>1348.9628825916541</c:v>
                </c:pt>
                <c:pt idx="213">
                  <c:v>1380.3842646028863</c:v>
                </c:pt>
                <c:pt idx="214">
                  <c:v>1412.5375446227545</c:v>
                </c:pt>
                <c:pt idx="215">
                  <c:v>1445.4397707459289</c:v>
                </c:pt>
                <c:pt idx="216">
                  <c:v>1479.1083881682086</c:v>
                </c:pt>
                <c:pt idx="217">
                  <c:v>1513.5612484362093</c:v>
                </c:pt>
                <c:pt idx="218">
                  <c:v>1548.8166189124822</c:v>
                </c:pt>
                <c:pt idx="219">
                  <c:v>1584.8931924611156</c:v>
                </c:pt>
                <c:pt idx="220">
                  <c:v>1621.8100973589308</c:v>
                </c:pt>
                <c:pt idx="221">
                  <c:v>1659.5869074375626</c:v>
                </c:pt>
                <c:pt idx="222">
                  <c:v>1698.2436524617447</c:v>
                </c:pt>
                <c:pt idx="223">
                  <c:v>1737.8008287493772</c:v>
                </c:pt>
                <c:pt idx="224">
                  <c:v>1778.2794100389244</c:v>
                </c:pt>
                <c:pt idx="225">
                  <c:v>1819.7008586099832</c:v>
                </c:pt>
                <c:pt idx="226">
                  <c:v>1862.0871366628687</c:v>
                </c:pt>
                <c:pt idx="227">
                  <c:v>1905.4607179632501</c:v>
                </c:pt>
                <c:pt idx="228">
                  <c:v>1949.8445997580463</c:v>
                </c:pt>
                <c:pt idx="229">
                  <c:v>1995.2623149688804</c:v>
                </c:pt>
                <c:pt idx="230">
                  <c:v>2041.7379446695318</c:v>
                </c:pt>
                <c:pt idx="231">
                  <c:v>2089.2961308540398</c:v>
                </c:pt>
                <c:pt idx="232">
                  <c:v>2137.9620895022344</c:v>
                </c:pt>
                <c:pt idx="233">
                  <c:v>2187.7616239495528</c:v>
                </c:pt>
                <c:pt idx="234">
                  <c:v>2238.7211385683418</c:v>
                </c:pt>
                <c:pt idx="235">
                  <c:v>2290.8676527677749</c:v>
                </c:pt>
                <c:pt idx="236">
                  <c:v>2344.2288153199238</c:v>
                </c:pt>
                <c:pt idx="237">
                  <c:v>2398.8329190194918</c:v>
                </c:pt>
                <c:pt idx="238">
                  <c:v>2454.7089156850338</c:v>
                </c:pt>
                <c:pt idx="239">
                  <c:v>2511.8864315095811</c:v>
                </c:pt>
                <c:pt idx="240">
                  <c:v>2570.3957827688669</c:v>
                </c:pt>
                <c:pt idx="241">
                  <c:v>2630.2679918953822</c:v>
                </c:pt>
                <c:pt idx="242">
                  <c:v>2691.5348039269184</c:v>
                </c:pt>
                <c:pt idx="243">
                  <c:v>2754.228703338169</c:v>
                </c:pt>
                <c:pt idx="244">
                  <c:v>2818.3829312644561</c:v>
                </c:pt>
                <c:pt idx="245">
                  <c:v>2884.0315031266077</c:v>
                </c:pt>
                <c:pt idx="246">
                  <c:v>2951.2092266663876</c:v>
                </c:pt>
                <c:pt idx="247">
                  <c:v>3019.9517204020176</c:v>
                </c:pt>
                <c:pt idx="248">
                  <c:v>3090.295432513592</c:v>
                </c:pt>
                <c:pt idx="249">
                  <c:v>3162.2776601683804</c:v>
                </c:pt>
                <c:pt idx="250">
                  <c:v>3235.9365692962833</c:v>
                </c:pt>
                <c:pt idx="251">
                  <c:v>3311.3112148259115</c:v>
                </c:pt>
                <c:pt idx="252">
                  <c:v>3388.4415613920314</c:v>
                </c:pt>
                <c:pt idx="253">
                  <c:v>3467.3685045253224</c:v>
                </c:pt>
                <c:pt idx="254">
                  <c:v>3548.1338923357539</c:v>
                </c:pt>
                <c:pt idx="255">
                  <c:v>3630.7805477010188</c:v>
                </c:pt>
                <c:pt idx="256">
                  <c:v>3715.352290971724</c:v>
                </c:pt>
                <c:pt idx="257">
                  <c:v>3801.8939632056172</c:v>
                </c:pt>
                <c:pt idx="258">
                  <c:v>3890.451449942811</c:v>
                </c:pt>
                <c:pt idx="259">
                  <c:v>3981.0717055349769</c:v>
                </c:pt>
                <c:pt idx="260">
                  <c:v>4073.8027780411317</c:v>
                </c:pt>
                <c:pt idx="261">
                  <c:v>4168.6938347033583</c:v>
                </c:pt>
                <c:pt idx="262">
                  <c:v>4265.7951880159299</c:v>
                </c:pt>
                <c:pt idx="263">
                  <c:v>4365.1583224016631</c:v>
                </c:pt>
                <c:pt idx="264">
                  <c:v>4466.8359215096343</c:v>
                </c:pt>
                <c:pt idx="265">
                  <c:v>4570.8818961487532</c:v>
                </c:pt>
                <c:pt idx="266">
                  <c:v>4677.3514128719844</c:v>
                </c:pt>
                <c:pt idx="267">
                  <c:v>4786.3009232263848</c:v>
                </c:pt>
                <c:pt idx="268">
                  <c:v>4897.7881936844633</c:v>
                </c:pt>
                <c:pt idx="269">
                  <c:v>5011.8723362727324</c:v>
                </c:pt>
                <c:pt idx="270">
                  <c:v>5128.6138399136489</c:v>
                </c:pt>
                <c:pt idx="271">
                  <c:v>5248.0746024977261</c:v>
                </c:pt>
                <c:pt idx="272">
                  <c:v>5370.3179637025269</c:v>
                </c:pt>
                <c:pt idx="273">
                  <c:v>5495.4087385762541</c:v>
                </c:pt>
                <c:pt idx="274">
                  <c:v>5623.4132519034993</c:v>
                </c:pt>
                <c:pt idx="275">
                  <c:v>5754.399373371567</c:v>
                </c:pt>
                <c:pt idx="276">
                  <c:v>5888.4365535558973</c:v>
                </c:pt>
                <c:pt idx="277">
                  <c:v>6025.595860743585</c:v>
                </c:pt>
                <c:pt idx="278">
                  <c:v>6165.9500186148289</c:v>
                </c:pt>
                <c:pt idx="279">
                  <c:v>6309.5734448019384</c:v>
                </c:pt>
                <c:pt idx="280">
                  <c:v>6456.5422903465615</c:v>
                </c:pt>
                <c:pt idx="281">
                  <c:v>6606.9344800759654</c:v>
                </c:pt>
                <c:pt idx="282">
                  <c:v>6760.8297539198229</c:v>
                </c:pt>
                <c:pt idx="283">
                  <c:v>6918.3097091893687</c:v>
                </c:pt>
                <c:pt idx="284">
                  <c:v>7079.4578438413828</c:v>
                </c:pt>
                <c:pt idx="285">
                  <c:v>7244.3596007499036</c:v>
                </c:pt>
                <c:pt idx="286">
                  <c:v>7413.1024130091773</c:v>
                </c:pt>
                <c:pt idx="287">
                  <c:v>7585.7757502918394</c:v>
                </c:pt>
                <c:pt idx="288">
                  <c:v>7762.4711662869322</c:v>
                </c:pt>
                <c:pt idx="289">
                  <c:v>7943.2823472428154</c:v>
                </c:pt>
                <c:pt idx="290">
                  <c:v>8128.3051616410066</c:v>
                </c:pt>
                <c:pt idx="291">
                  <c:v>8317.6377110267094</c:v>
                </c:pt>
                <c:pt idx="292">
                  <c:v>8511.3803820237772</c:v>
                </c:pt>
                <c:pt idx="293">
                  <c:v>8709.6358995608189</c:v>
                </c:pt>
                <c:pt idx="294">
                  <c:v>8912.5093813374679</c:v>
                </c:pt>
                <c:pt idx="295">
                  <c:v>9120.1083935591087</c:v>
                </c:pt>
                <c:pt idx="296">
                  <c:v>9332.5430079699217</c:v>
                </c:pt>
                <c:pt idx="297">
                  <c:v>9549.9258602143691</c:v>
                </c:pt>
                <c:pt idx="298">
                  <c:v>9772.3722095581161</c:v>
                </c:pt>
                <c:pt idx="299">
                  <c:v>10000</c:v>
                </c:pt>
                <c:pt idx="300">
                  <c:v>10232.929922807549</c:v>
                </c:pt>
                <c:pt idx="301">
                  <c:v>10471.285480509003</c:v>
                </c:pt>
                <c:pt idx="302">
                  <c:v>10715.193052376071</c:v>
                </c:pt>
                <c:pt idx="303">
                  <c:v>10964.781961431856</c:v>
                </c:pt>
                <c:pt idx="304">
                  <c:v>11220.184543019639</c:v>
                </c:pt>
                <c:pt idx="305">
                  <c:v>11481.536214968832</c:v>
                </c:pt>
                <c:pt idx="306">
                  <c:v>11748.975549395318</c:v>
                </c:pt>
                <c:pt idx="307">
                  <c:v>12022.644346174151</c:v>
                </c:pt>
                <c:pt idx="308">
                  <c:v>12302.687708123816</c:v>
                </c:pt>
                <c:pt idx="309">
                  <c:v>12589.254117941671</c:v>
                </c:pt>
                <c:pt idx="310">
                  <c:v>12882.49551693136</c:v>
                </c:pt>
                <c:pt idx="311">
                  <c:v>13182.567385564091</c:v>
                </c:pt>
                <c:pt idx="312">
                  <c:v>13489.628825916556</c:v>
                </c:pt>
                <c:pt idx="313">
                  <c:v>13803.842646028841</c:v>
                </c:pt>
                <c:pt idx="314">
                  <c:v>14125.375446227561</c:v>
                </c:pt>
                <c:pt idx="315">
                  <c:v>14454.397707459291</c:v>
                </c:pt>
                <c:pt idx="316">
                  <c:v>14791.083881682089</c:v>
                </c:pt>
                <c:pt idx="317">
                  <c:v>15135.612484362096</c:v>
                </c:pt>
                <c:pt idx="318">
                  <c:v>15488.166189124853</c:v>
                </c:pt>
                <c:pt idx="319">
                  <c:v>15848.931924611146</c:v>
                </c:pt>
                <c:pt idx="320">
                  <c:v>16218.100973589309</c:v>
                </c:pt>
                <c:pt idx="321">
                  <c:v>16595.869074375616</c:v>
                </c:pt>
                <c:pt idx="322">
                  <c:v>16982.436524617482</c:v>
                </c:pt>
                <c:pt idx="323">
                  <c:v>17378.008287493791</c:v>
                </c:pt>
                <c:pt idx="324">
                  <c:v>17782.794100389234</c:v>
                </c:pt>
                <c:pt idx="325">
                  <c:v>18197.008586099837</c:v>
                </c:pt>
                <c:pt idx="326">
                  <c:v>18620.871366628675</c:v>
                </c:pt>
                <c:pt idx="327">
                  <c:v>19054.607179632505</c:v>
                </c:pt>
                <c:pt idx="328">
                  <c:v>19498.445997580486</c:v>
                </c:pt>
                <c:pt idx="329">
                  <c:v>19952.623149688792</c:v>
                </c:pt>
                <c:pt idx="330">
                  <c:v>20417.379446695286</c:v>
                </c:pt>
                <c:pt idx="331">
                  <c:v>20892.961308540423</c:v>
                </c:pt>
                <c:pt idx="332">
                  <c:v>21379.620895022348</c:v>
                </c:pt>
                <c:pt idx="333">
                  <c:v>21877.61623949555</c:v>
                </c:pt>
                <c:pt idx="334">
                  <c:v>22387.211385683382</c:v>
                </c:pt>
                <c:pt idx="335">
                  <c:v>22908.676527677751</c:v>
                </c:pt>
                <c:pt idx="336">
                  <c:v>23442.288153199243</c:v>
                </c:pt>
                <c:pt idx="337">
                  <c:v>23988.329190194923</c:v>
                </c:pt>
                <c:pt idx="338">
                  <c:v>24547.089156850321</c:v>
                </c:pt>
                <c:pt idx="339">
                  <c:v>25118.86431509586</c:v>
                </c:pt>
                <c:pt idx="340">
                  <c:v>25703.95782768865</c:v>
                </c:pt>
                <c:pt idx="341">
                  <c:v>26302.679918953829</c:v>
                </c:pt>
                <c:pt idx="342">
                  <c:v>26915.348039269167</c:v>
                </c:pt>
                <c:pt idx="343">
                  <c:v>27542.287033381719</c:v>
                </c:pt>
                <c:pt idx="344">
                  <c:v>28183.829312644593</c:v>
                </c:pt>
                <c:pt idx="345">
                  <c:v>28840.315031266062</c:v>
                </c:pt>
                <c:pt idx="346">
                  <c:v>29512.092266663854</c:v>
                </c:pt>
                <c:pt idx="347">
                  <c:v>30199.517204020212</c:v>
                </c:pt>
                <c:pt idx="348">
                  <c:v>30902.954325135954</c:v>
                </c:pt>
                <c:pt idx="349">
                  <c:v>31622.77660168384</c:v>
                </c:pt>
                <c:pt idx="350">
                  <c:v>32359.365692962871</c:v>
                </c:pt>
                <c:pt idx="351">
                  <c:v>33113.11214825909</c:v>
                </c:pt>
                <c:pt idx="352">
                  <c:v>33884.41561392029</c:v>
                </c:pt>
                <c:pt idx="353">
                  <c:v>34673.685045253202</c:v>
                </c:pt>
                <c:pt idx="354">
                  <c:v>35481.33892335758</c:v>
                </c:pt>
                <c:pt idx="355">
                  <c:v>36307.805477010232</c:v>
                </c:pt>
                <c:pt idx="356">
                  <c:v>37153.522909717351</c:v>
                </c:pt>
                <c:pt idx="357">
                  <c:v>38018.939632056143</c:v>
                </c:pt>
                <c:pt idx="358">
                  <c:v>38904.514499428085</c:v>
                </c:pt>
                <c:pt idx="359">
                  <c:v>39810.717055349742</c:v>
                </c:pt>
                <c:pt idx="360">
                  <c:v>40738.027780411358</c:v>
                </c:pt>
                <c:pt idx="361">
                  <c:v>41686.938347033625</c:v>
                </c:pt>
                <c:pt idx="362">
                  <c:v>42657.951880159271</c:v>
                </c:pt>
                <c:pt idx="363">
                  <c:v>43651.583224016598</c:v>
                </c:pt>
                <c:pt idx="364">
                  <c:v>44668.359215096389</c:v>
                </c:pt>
                <c:pt idx="365">
                  <c:v>45708.818961487581</c:v>
                </c:pt>
                <c:pt idx="366">
                  <c:v>46773.514128719893</c:v>
                </c:pt>
                <c:pt idx="367">
                  <c:v>47863.009232263823</c:v>
                </c:pt>
                <c:pt idx="368">
                  <c:v>48977.881936844598</c:v>
                </c:pt>
                <c:pt idx="369">
                  <c:v>50118.723362727294</c:v>
                </c:pt>
                <c:pt idx="370">
                  <c:v>51286.138399136544</c:v>
                </c:pt>
                <c:pt idx="371">
                  <c:v>52480.746024977314</c:v>
                </c:pt>
                <c:pt idx="372">
                  <c:v>53703.179637025423</c:v>
                </c:pt>
                <c:pt idx="373">
                  <c:v>54954.087385762505</c:v>
                </c:pt>
                <c:pt idx="374">
                  <c:v>56234.132519034953</c:v>
                </c:pt>
                <c:pt idx="375">
                  <c:v>57543.993733715732</c:v>
                </c:pt>
                <c:pt idx="376">
                  <c:v>58884.365535558936</c:v>
                </c:pt>
                <c:pt idx="377">
                  <c:v>60255.95860743591</c:v>
                </c:pt>
                <c:pt idx="378">
                  <c:v>61659.500186148245</c:v>
                </c:pt>
                <c:pt idx="379">
                  <c:v>63095.734448019342</c:v>
                </c:pt>
                <c:pt idx="380">
                  <c:v>64565.422903465682</c:v>
                </c:pt>
                <c:pt idx="381">
                  <c:v>66069.344800759733</c:v>
                </c:pt>
                <c:pt idx="382">
                  <c:v>67608.297539198305</c:v>
                </c:pt>
                <c:pt idx="383">
                  <c:v>69183.097091893651</c:v>
                </c:pt>
                <c:pt idx="384">
                  <c:v>70794.578438413781</c:v>
                </c:pt>
                <c:pt idx="385">
                  <c:v>72443.596007499116</c:v>
                </c:pt>
                <c:pt idx="386">
                  <c:v>74131.024130091857</c:v>
                </c:pt>
                <c:pt idx="387">
                  <c:v>75857.757502918481</c:v>
                </c:pt>
                <c:pt idx="388">
                  <c:v>77624.711662869129</c:v>
                </c:pt>
                <c:pt idx="389">
                  <c:v>79432.823472428237</c:v>
                </c:pt>
                <c:pt idx="390">
                  <c:v>81283.051616410012</c:v>
                </c:pt>
                <c:pt idx="391">
                  <c:v>83176.377110267174</c:v>
                </c:pt>
                <c:pt idx="392">
                  <c:v>85113.803820237721</c:v>
                </c:pt>
                <c:pt idx="393">
                  <c:v>87096.358995608127</c:v>
                </c:pt>
                <c:pt idx="394">
                  <c:v>89125.093813374609</c:v>
                </c:pt>
                <c:pt idx="395">
                  <c:v>91201.083935591028</c:v>
                </c:pt>
                <c:pt idx="396">
                  <c:v>93325.430079699145</c:v>
                </c:pt>
                <c:pt idx="397">
                  <c:v>95499.258602143804</c:v>
                </c:pt>
                <c:pt idx="398">
                  <c:v>97723.722095581266</c:v>
                </c:pt>
                <c:pt idx="399">
                  <c:v>100000</c:v>
                </c:pt>
                <c:pt idx="400">
                  <c:v>102329.29922807543</c:v>
                </c:pt>
                <c:pt idx="401">
                  <c:v>104712.85480508996</c:v>
                </c:pt>
                <c:pt idx="402">
                  <c:v>107151.93052376082</c:v>
                </c:pt>
                <c:pt idx="403">
                  <c:v>109647.81961431868</c:v>
                </c:pt>
                <c:pt idx="404">
                  <c:v>112201.84543019651</c:v>
                </c:pt>
                <c:pt idx="405">
                  <c:v>114815.36214968823</c:v>
                </c:pt>
                <c:pt idx="406">
                  <c:v>117489.75549395311</c:v>
                </c:pt>
                <c:pt idx="407">
                  <c:v>120226.44346174144</c:v>
                </c:pt>
                <c:pt idx="408">
                  <c:v>123026.87708123829</c:v>
                </c:pt>
                <c:pt idx="409">
                  <c:v>125892.54117941685</c:v>
                </c:pt>
                <c:pt idx="410">
                  <c:v>128824.95516931375</c:v>
                </c:pt>
                <c:pt idx="411">
                  <c:v>131825.67385564081</c:v>
                </c:pt>
                <c:pt idx="412">
                  <c:v>134896.28825916545</c:v>
                </c:pt>
                <c:pt idx="413">
                  <c:v>138038.42646028858</c:v>
                </c:pt>
                <c:pt idx="414">
                  <c:v>141253.75446227577</c:v>
                </c:pt>
                <c:pt idx="415">
                  <c:v>144543.97707459307</c:v>
                </c:pt>
                <c:pt idx="416">
                  <c:v>147910.83881682079</c:v>
                </c:pt>
                <c:pt idx="417">
                  <c:v>151356.12484362084</c:v>
                </c:pt>
                <c:pt idx="418">
                  <c:v>154881.66189124843</c:v>
                </c:pt>
                <c:pt idx="419">
                  <c:v>158489.31924611164</c:v>
                </c:pt>
                <c:pt idx="420">
                  <c:v>162181.00973589328</c:v>
                </c:pt>
                <c:pt idx="421">
                  <c:v>165958.69074375604</c:v>
                </c:pt>
                <c:pt idx="422">
                  <c:v>169824.36524617471</c:v>
                </c:pt>
                <c:pt idx="423">
                  <c:v>173780.0828749378</c:v>
                </c:pt>
                <c:pt idx="424">
                  <c:v>177827.94100389251</c:v>
                </c:pt>
                <c:pt idx="425">
                  <c:v>181970.08586099857</c:v>
                </c:pt>
                <c:pt idx="426">
                  <c:v>186208.71366628664</c:v>
                </c:pt>
                <c:pt idx="427">
                  <c:v>190546.07179632492</c:v>
                </c:pt>
                <c:pt idx="428">
                  <c:v>194984.45997580473</c:v>
                </c:pt>
                <c:pt idx="429">
                  <c:v>199526.23149688813</c:v>
                </c:pt>
                <c:pt idx="430">
                  <c:v>204173.79446695308</c:v>
                </c:pt>
                <c:pt idx="431">
                  <c:v>208929.61308540447</c:v>
                </c:pt>
                <c:pt idx="432">
                  <c:v>213796.20895022334</c:v>
                </c:pt>
                <c:pt idx="433">
                  <c:v>218776.16239495538</c:v>
                </c:pt>
                <c:pt idx="434">
                  <c:v>223872.11385683404</c:v>
                </c:pt>
                <c:pt idx="435">
                  <c:v>229086.76527677779</c:v>
                </c:pt>
                <c:pt idx="436">
                  <c:v>234422.88153199267</c:v>
                </c:pt>
                <c:pt idx="437">
                  <c:v>239883.29190194907</c:v>
                </c:pt>
                <c:pt idx="438">
                  <c:v>245470.89156850305</c:v>
                </c:pt>
                <c:pt idx="439">
                  <c:v>251188.64315095844</c:v>
                </c:pt>
                <c:pt idx="440">
                  <c:v>257039.57827688678</c:v>
                </c:pt>
                <c:pt idx="441">
                  <c:v>263026.79918953858</c:v>
                </c:pt>
                <c:pt idx="442">
                  <c:v>269153.48039269145</c:v>
                </c:pt>
                <c:pt idx="443">
                  <c:v>275422.87033381703</c:v>
                </c:pt>
                <c:pt idx="444">
                  <c:v>281838.29312644573</c:v>
                </c:pt>
                <c:pt idx="445">
                  <c:v>288403.1503126609</c:v>
                </c:pt>
                <c:pt idx="446">
                  <c:v>295120.92266663886</c:v>
                </c:pt>
                <c:pt idx="447">
                  <c:v>301995.17204020242</c:v>
                </c:pt>
                <c:pt idx="448">
                  <c:v>309029.54325135931</c:v>
                </c:pt>
                <c:pt idx="449">
                  <c:v>316227.7660168382</c:v>
                </c:pt>
                <c:pt idx="450">
                  <c:v>323593.65692962846</c:v>
                </c:pt>
                <c:pt idx="451">
                  <c:v>331131.12148259126</c:v>
                </c:pt>
                <c:pt idx="452">
                  <c:v>338844.15613920329</c:v>
                </c:pt>
                <c:pt idx="453">
                  <c:v>346736.85045253241</c:v>
                </c:pt>
                <c:pt idx="454">
                  <c:v>354813.38923357555</c:v>
                </c:pt>
                <c:pt idx="455">
                  <c:v>363078.05477010203</c:v>
                </c:pt>
                <c:pt idx="456">
                  <c:v>371535.2290971732</c:v>
                </c:pt>
                <c:pt idx="457">
                  <c:v>380189.39632056188</c:v>
                </c:pt>
                <c:pt idx="458">
                  <c:v>389045.14499428123</c:v>
                </c:pt>
                <c:pt idx="459">
                  <c:v>398107.17055349716</c:v>
                </c:pt>
                <c:pt idx="460">
                  <c:v>407380.27780411334</c:v>
                </c:pt>
                <c:pt idx="461">
                  <c:v>416869.38347033598</c:v>
                </c:pt>
                <c:pt idx="462">
                  <c:v>426579.51880159322</c:v>
                </c:pt>
                <c:pt idx="463">
                  <c:v>436515.83224016649</c:v>
                </c:pt>
                <c:pt idx="464">
                  <c:v>446683.59215096442</c:v>
                </c:pt>
                <c:pt idx="465">
                  <c:v>457088.18961487547</c:v>
                </c:pt>
                <c:pt idx="466">
                  <c:v>467735.14128719864</c:v>
                </c:pt>
                <c:pt idx="467">
                  <c:v>478630.09232263872</c:v>
                </c:pt>
                <c:pt idx="468">
                  <c:v>489778.81936844654</c:v>
                </c:pt>
                <c:pt idx="469">
                  <c:v>501187.23362727347</c:v>
                </c:pt>
                <c:pt idx="470">
                  <c:v>512861.38399136515</c:v>
                </c:pt>
                <c:pt idx="471">
                  <c:v>524807.46024977288</c:v>
                </c:pt>
                <c:pt idx="472">
                  <c:v>537031.7963702539</c:v>
                </c:pt>
                <c:pt idx="473">
                  <c:v>549540.87385762564</c:v>
                </c:pt>
                <c:pt idx="474">
                  <c:v>562341.32519035018</c:v>
                </c:pt>
                <c:pt idx="475">
                  <c:v>575439.93733715697</c:v>
                </c:pt>
                <c:pt idx="476">
                  <c:v>588843.65535558888</c:v>
                </c:pt>
                <c:pt idx="477">
                  <c:v>602559.58607435878</c:v>
                </c:pt>
                <c:pt idx="478">
                  <c:v>616595.00186148309</c:v>
                </c:pt>
                <c:pt idx="479">
                  <c:v>630957.34448019415</c:v>
                </c:pt>
                <c:pt idx="480">
                  <c:v>645654.22903465747</c:v>
                </c:pt>
                <c:pt idx="481">
                  <c:v>660693.44800759677</c:v>
                </c:pt>
                <c:pt idx="482">
                  <c:v>676082.97539198259</c:v>
                </c:pt>
                <c:pt idx="483">
                  <c:v>691830.97091893724</c:v>
                </c:pt>
                <c:pt idx="484">
                  <c:v>707945.78438413853</c:v>
                </c:pt>
                <c:pt idx="485">
                  <c:v>724435.96007499192</c:v>
                </c:pt>
                <c:pt idx="486">
                  <c:v>741310.24130091805</c:v>
                </c:pt>
                <c:pt idx="487">
                  <c:v>758577.57502918423</c:v>
                </c:pt>
                <c:pt idx="488">
                  <c:v>776247.11662869214</c:v>
                </c:pt>
                <c:pt idx="489">
                  <c:v>794328.23472428333</c:v>
                </c:pt>
                <c:pt idx="490">
                  <c:v>812830.51616410096</c:v>
                </c:pt>
                <c:pt idx="491">
                  <c:v>831763.77110267128</c:v>
                </c:pt>
                <c:pt idx="492">
                  <c:v>851138.03820237669</c:v>
                </c:pt>
                <c:pt idx="493">
                  <c:v>870963.58995608077</c:v>
                </c:pt>
                <c:pt idx="494">
                  <c:v>891250.93813374708</c:v>
                </c:pt>
                <c:pt idx="495">
                  <c:v>912010.83935591124</c:v>
                </c:pt>
                <c:pt idx="496">
                  <c:v>933254.30079699249</c:v>
                </c:pt>
                <c:pt idx="497">
                  <c:v>954992.58602143743</c:v>
                </c:pt>
                <c:pt idx="498">
                  <c:v>977237.22095581202</c:v>
                </c:pt>
                <c:pt idx="499">
                  <c:v>1000000</c:v>
                </c:pt>
                <c:pt idx="500">
                  <c:v>1023292.9922807553</c:v>
                </c:pt>
                <c:pt idx="501">
                  <c:v>1047128.5480509007</c:v>
                </c:pt>
                <c:pt idx="502">
                  <c:v>1071519.3052376076</c:v>
                </c:pt>
                <c:pt idx="503">
                  <c:v>1096478.196143186</c:v>
                </c:pt>
                <c:pt idx="504">
                  <c:v>1122018.4543019643</c:v>
                </c:pt>
                <c:pt idx="505">
                  <c:v>1148153.6214968837</c:v>
                </c:pt>
                <c:pt idx="506">
                  <c:v>1174897.5549395324</c:v>
                </c:pt>
                <c:pt idx="507">
                  <c:v>1202264.4346174158</c:v>
                </c:pt>
                <c:pt idx="508">
                  <c:v>1230268.770812382</c:v>
                </c:pt>
                <c:pt idx="509">
                  <c:v>1258925.4117941677</c:v>
                </c:pt>
                <c:pt idx="510">
                  <c:v>1288249.5516931366</c:v>
                </c:pt>
                <c:pt idx="511">
                  <c:v>1318256.7385564097</c:v>
                </c:pt>
                <c:pt idx="512">
                  <c:v>1348962.8825916562</c:v>
                </c:pt>
                <c:pt idx="513">
                  <c:v>1380384.2646028849</c:v>
                </c:pt>
                <c:pt idx="514">
                  <c:v>1412537.5446227565</c:v>
                </c:pt>
                <c:pt idx="515">
                  <c:v>1445439.7707459298</c:v>
                </c:pt>
                <c:pt idx="516">
                  <c:v>1479108.3881682095</c:v>
                </c:pt>
                <c:pt idx="517">
                  <c:v>1513561.2484362102</c:v>
                </c:pt>
                <c:pt idx="518">
                  <c:v>1548816.6189124861</c:v>
                </c:pt>
                <c:pt idx="519">
                  <c:v>1584893.1924611153</c:v>
                </c:pt>
                <c:pt idx="520">
                  <c:v>1621810.0973589318</c:v>
                </c:pt>
                <c:pt idx="521">
                  <c:v>1659586.9074375622</c:v>
                </c:pt>
                <c:pt idx="522">
                  <c:v>1698243.6524617488</c:v>
                </c:pt>
                <c:pt idx="523">
                  <c:v>1737800.8287493798</c:v>
                </c:pt>
                <c:pt idx="524">
                  <c:v>1778279.4100389241</c:v>
                </c:pt>
                <c:pt idx="525">
                  <c:v>1819700.8586099846</c:v>
                </c:pt>
                <c:pt idx="526">
                  <c:v>1862087.1366628683</c:v>
                </c:pt>
                <c:pt idx="527">
                  <c:v>1905460.7179632513</c:v>
                </c:pt>
                <c:pt idx="528">
                  <c:v>1949844.5997580495</c:v>
                </c:pt>
                <c:pt idx="529">
                  <c:v>1995262.31496888</c:v>
                </c:pt>
                <c:pt idx="530">
                  <c:v>2041737.9446695296</c:v>
                </c:pt>
                <c:pt idx="531">
                  <c:v>2089296.1308540432</c:v>
                </c:pt>
                <c:pt idx="532">
                  <c:v>2137962.0895022359</c:v>
                </c:pt>
                <c:pt idx="533">
                  <c:v>2187761.6239495561</c:v>
                </c:pt>
                <c:pt idx="534">
                  <c:v>2238721.1385683389</c:v>
                </c:pt>
                <c:pt idx="535">
                  <c:v>2290867.6527677765</c:v>
                </c:pt>
                <c:pt idx="536">
                  <c:v>2344228.8153199251</c:v>
                </c:pt>
                <c:pt idx="537">
                  <c:v>2398832.9190194933</c:v>
                </c:pt>
                <c:pt idx="538">
                  <c:v>2454708.915685033</c:v>
                </c:pt>
                <c:pt idx="539">
                  <c:v>2511886.431509587</c:v>
                </c:pt>
                <c:pt idx="540">
                  <c:v>2570395.782768866</c:v>
                </c:pt>
                <c:pt idx="541">
                  <c:v>2630267.9918953842</c:v>
                </c:pt>
              </c:numCache>
            </c:numRef>
          </c:xVal>
          <c:yVal>
            <c:numRef>
              <c:f>CCM_Loop_Modeling_non_isolated!$AU$19:$AU$560</c:f>
              <c:numCache>
                <c:formatCode>General</c:formatCode>
                <c:ptCount val="542"/>
                <c:pt idx="0">
                  <c:v>77.116168549263108</c:v>
                </c:pt>
                <c:pt idx="1">
                  <c:v>76.838147260622776</c:v>
                </c:pt>
                <c:pt idx="2">
                  <c:v>76.555114197987407</c:v>
                </c:pt>
                <c:pt idx="3">
                  <c:v>76.267044419530237</c:v>
                </c:pt>
                <c:pt idx="4">
                  <c:v>75.973917570992597</c:v>
                </c:pt>
                <c:pt idx="5">
                  <c:v>75.675718219632017</c:v>
                </c:pt>
                <c:pt idx="6">
                  <c:v>75.372436198944484</c:v>
                </c:pt>
                <c:pt idx="7">
                  <c:v>75.064066963592495</c:v>
                </c:pt>
                <c:pt idx="8">
                  <c:v>74.75061195385058</c:v>
                </c:pt>
                <c:pt idx="9">
                  <c:v>74.432078968742601</c:v>
                </c:pt>
                <c:pt idx="10">
                  <c:v>74.108482546910892</c:v>
                </c:pt>
                <c:pt idx="11">
                  <c:v>73.779844354103417</c:v>
                </c:pt>
                <c:pt idx="12">
                  <c:v>73.446193576019922</c:v>
                </c:pt>
                <c:pt idx="13">
                  <c:v>73.107567315081084</c:v>
                </c:pt>
                <c:pt idx="14">
                  <c:v>72.764010989536089</c:v>
                </c:pt>
                <c:pt idx="15">
                  <c:v>72.415578733136797</c:v>
                </c:pt>
                <c:pt idx="16">
                  <c:v>72.062333793443884</c:v>
                </c:pt>
                <c:pt idx="17">
                  <c:v>71.704348926650226</c:v>
                </c:pt>
                <c:pt idx="18">
                  <c:v>71.341706786636934</c:v>
                </c:pt>
                <c:pt idx="19">
                  <c:v>70.974500305802962</c:v>
                </c:pt>
                <c:pt idx="20">
                  <c:v>70.602833065051257</c:v>
                </c:pt>
                <c:pt idx="21">
                  <c:v>70.226819650151029</c:v>
                </c:pt>
                <c:pt idx="22">
                  <c:v>69.846585991560943</c:v>
                </c:pt>
                <c:pt idx="23">
                  <c:v>69.4622696846574</c:v>
                </c:pt>
                <c:pt idx="24">
                  <c:v>69.074020287210459</c:v>
                </c:pt>
                <c:pt idx="25">
                  <c:v>68.681999590850452</c:v>
                </c:pt>
                <c:pt idx="26">
                  <c:v>68.286381863209201</c:v>
                </c:pt>
                <c:pt idx="27">
                  <c:v>67.887354057373074</c:v>
                </c:pt>
                <c:pt idx="28">
                  <c:v>67.485115985283826</c:v>
                </c:pt>
                <c:pt idx="29">
                  <c:v>67.079880451745893</c:v>
                </c:pt>
                <c:pt idx="30">
                  <c:v>66.671873345759508</c:v>
                </c:pt>
                <c:pt idx="31">
                  <c:v>66.261333686005045</c:v>
                </c:pt>
                <c:pt idx="32">
                  <c:v>65.848513617443459</c:v>
                </c:pt>
                <c:pt idx="33">
                  <c:v>65.433678356182611</c:v>
                </c:pt>
                <c:pt idx="34">
                  <c:v>65.017106079988451</c:v>
                </c:pt>
                <c:pt idx="35">
                  <c:v>64.599087762092935</c:v>
                </c:pt>
                <c:pt idx="36">
                  <c:v>64.179926946259855</c:v>
                </c:pt>
                <c:pt idx="37">
                  <c:v>63.759939461431379</c:v>
                </c:pt>
                <c:pt idx="38">
                  <c:v>63.339453074666388</c:v>
                </c:pt>
                <c:pt idx="39">
                  <c:v>62.918807081513449</c:v>
                </c:pt>
                <c:pt idx="40">
                  <c:v>62.498351833419825</c:v>
                </c:pt>
                <c:pt idx="41">
                  <c:v>62.078448202266728</c:v>
                </c:pt>
                <c:pt idx="42">
                  <c:v>61.659466982623371</c:v>
                </c:pt>
                <c:pt idx="43">
                  <c:v>61.241788232835908</c:v>
                </c:pt>
                <c:pt idx="44">
                  <c:v>60.825800556591503</c:v>
                </c:pt>
                <c:pt idx="45">
                  <c:v>60.411900327122687</c:v>
                </c:pt>
                <c:pt idx="46">
                  <c:v>60.000490856733585</c:v>
                </c:pt>
                <c:pt idx="47">
                  <c:v>59.591981514826074</c:v>
                </c:pt>
                <c:pt idx="48">
                  <c:v>59.186786798077982</c:v>
                </c:pt>
                <c:pt idx="49">
                  <c:v>58.785325356862515</c:v>
                </c:pt>
                <c:pt idx="50">
                  <c:v>58.388018982395486</c:v>
                </c:pt>
                <c:pt idx="51">
                  <c:v>57.995291559448738</c:v>
                </c:pt>
                <c:pt idx="52">
                  <c:v>57.607567989764043</c:v>
                </c:pt>
                <c:pt idx="53">
                  <c:v>57.225273091532287</c:v>
                </c:pt>
                <c:pt idx="54">
                  <c:v>56.84883048049285</c:v>
                </c:pt>
                <c:pt idx="55">
                  <c:v>56.478661438297145</c:v>
                </c:pt>
                <c:pt idx="56">
                  <c:v>56.115183773844436</c:v>
                </c:pt>
                <c:pt idx="57">
                  <c:v>55.758810683252008</c:v>
                </c:pt>
                <c:pt idx="58">
                  <c:v>55.409949614062057</c:v>
                </c:pt>
                <c:pt idx="59">
                  <c:v>55.069001139105318</c:v>
                </c:pt>
                <c:pt idx="60">
                  <c:v>54.736357845259484</c:v>
                </c:pt>
                <c:pt idx="61">
                  <c:v>54.412403242069274</c:v>
                </c:pt>
                <c:pt idx="62">
                  <c:v>54.097510694884676</c:v>
                </c:pt>
                <c:pt idx="63">
                  <c:v>53.792042386838681</c:v>
                </c:pt>
                <c:pt idx="64">
                  <c:v>53.496348313597338</c:v>
                </c:pt>
                <c:pt idx="65">
                  <c:v>53.210765314422872</c:v>
                </c:pt>
                <c:pt idx="66">
                  <c:v>52.935616142675663</c:v>
                </c:pt>
                <c:pt idx="67">
                  <c:v>52.671208578449459</c:v>
                </c:pt>
                <c:pt idx="68">
                  <c:v>52.41783458563679</c:v>
                </c:pt>
                <c:pt idx="69">
                  <c:v>52.175769515290284</c:v>
                </c:pt>
                <c:pt idx="70">
                  <c:v>51.945271356773098</c:v>
                </c:pt>
                <c:pt idx="71">
                  <c:v>51.726580037818557</c:v>
                </c:pt>
                <c:pt idx="72">
                  <c:v>51.519916774283558</c:v>
                </c:pt>
                <c:pt idx="73">
                  <c:v>51.325483470079497</c:v>
                </c:pt>
                <c:pt idx="74">
                  <c:v>51.143462167511309</c:v>
                </c:pt>
                <c:pt idx="75">
                  <c:v>50.974014548019142</c:v>
                </c:pt>
                <c:pt idx="76">
                  <c:v>50.817281483155604</c:v>
                </c:pt>
                <c:pt idx="77">
                  <c:v>50.673382635490157</c:v>
                </c:pt>
                <c:pt idx="78">
                  <c:v>50.542416109038832</c:v>
                </c:pt>
                <c:pt idx="79">
                  <c:v>50.4244581487741</c:v>
                </c:pt>
                <c:pt idx="80">
                  <c:v>50.319562888754966</c:v>
                </c:pt>
                <c:pt idx="81">
                  <c:v>50.227762148430557</c:v>
                </c:pt>
                <c:pt idx="82">
                  <c:v>50.149065276737517</c:v>
                </c:pt>
                <c:pt idx="83">
                  <c:v>50.083459043677784</c:v>
                </c:pt>
                <c:pt idx="84">
                  <c:v>50.030907579158601</c:v>
                </c:pt>
                <c:pt idx="85">
                  <c:v>49.991352358988109</c:v>
                </c:pt>
                <c:pt idx="86">
                  <c:v>49.964712238035347</c:v>
                </c:pt>
                <c:pt idx="87">
                  <c:v>49.950883530671938</c:v>
                </c:pt>
                <c:pt idx="88">
                  <c:v>49.949740138724003</c:v>
                </c:pt>
                <c:pt idx="89">
                  <c:v>49.961133727256602</c:v>
                </c:pt>
                <c:pt idx="90">
                  <c:v>49.984893948587917</c:v>
                </c:pt>
                <c:pt idx="91">
                  <c:v>50.020828714973696</c:v>
                </c:pt>
                <c:pt idx="92">
                  <c:v>50.068724520429583</c:v>
                </c:pt>
                <c:pt idx="93">
                  <c:v>50.12834681214396</c:v>
                </c:pt>
                <c:pt idx="94">
                  <c:v>50.199440411866888</c:v>
                </c:pt>
                <c:pt idx="95">
                  <c:v>50.281729987584626</c:v>
                </c:pt>
                <c:pt idx="96">
                  <c:v>50.374920575636082</c:v>
                </c:pt>
                <c:pt idx="97">
                  <c:v>50.478698153259458</c:v>
                </c:pt>
                <c:pt idx="98">
                  <c:v>50.592730261322899</c:v>
                </c:pt>
                <c:pt idx="99">
                  <c:v>50.71666667673481</c:v>
                </c:pt>
                <c:pt idx="100">
                  <c:v>50.850140133729504</c:v>
                </c:pt>
                <c:pt idx="101">
                  <c:v>50.992767092875596</c:v>
                </c:pt>
                <c:pt idx="102">
                  <c:v>51.144148556299982</c:v>
                </c:pt>
                <c:pt idx="103">
                  <c:v>51.303870927221375</c:v>
                </c:pt>
                <c:pt idx="104">
                  <c:v>51.471506911483466</c:v>
                </c:pt>
                <c:pt idx="105">
                  <c:v>51.646616458360405</c:v>
                </c:pt>
                <c:pt idx="106">
                  <c:v>51.828747737487397</c:v>
                </c:pt>
                <c:pt idx="107">
                  <c:v>52.017438148361975</c:v>
                </c:pt>
                <c:pt idx="108">
                  <c:v>52.212215358459147</c:v>
                </c:pt>
                <c:pt idx="109">
                  <c:v>52.412598365639901</c:v>
                </c:pt>
                <c:pt idx="110">
                  <c:v>52.618098580186114</c:v>
                </c:pt>
                <c:pt idx="111">
                  <c:v>52.828220921499074</c:v>
                </c:pt>
                <c:pt idx="112">
                  <c:v>53.042464924247497</c:v>
                </c:pt>
                <c:pt idx="113">
                  <c:v>53.260325848546771</c:v>
                </c:pt>
                <c:pt idx="114">
                  <c:v>53.481295788619434</c:v>
                </c:pt>
                <c:pt idx="115">
                  <c:v>53.704864774299196</c:v>
                </c:pt>
                <c:pt idx="116">
                  <c:v>53.930521859735784</c:v>
                </c:pt>
                <c:pt idx="117">
                  <c:v>54.157756193709638</c:v>
                </c:pt>
                <c:pt idx="118">
                  <c:v>54.386058066083514</c:v>
                </c:pt>
                <c:pt idx="119">
                  <c:v>54.614919925109312</c:v>
                </c:pt>
                <c:pt idx="120">
                  <c:v>54.843837360552108</c:v>
                </c:pt>
                <c:pt idx="121">
                  <c:v>55.072310047904729</c:v>
                </c:pt>
                <c:pt idx="122">
                  <c:v>55.299842649320318</c:v>
                </c:pt>
                <c:pt idx="123">
                  <c:v>55.525945667309884</c:v>
                </c:pt>
                <c:pt idx="124">
                  <c:v>55.750136247686555</c:v>
                </c:pt>
                <c:pt idx="125">
                  <c:v>55.971938928731795</c:v>
                </c:pt>
                <c:pt idx="126">
                  <c:v>56.190886334059989</c:v>
                </c:pt>
                <c:pt idx="127">
                  <c:v>56.406519807181411</c:v>
                </c:pt>
                <c:pt idx="128">
                  <c:v>56.618389986301324</c:v>
                </c:pt>
                <c:pt idx="129">
                  <c:v>56.82605731842196</c:v>
                </c:pt>
                <c:pt idx="130">
                  <c:v>57.029092512342459</c:v>
                </c:pt>
                <c:pt idx="131">
                  <c:v>57.227076930669305</c:v>
                </c:pt>
                <c:pt idx="132">
                  <c:v>57.419602921434397</c:v>
                </c:pt>
                <c:pt idx="133">
                  <c:v>57.60627409039455</c:v>
                </c:pt>
                <c:pt idx="134">
                  <c:v>57.786705515511748</c:v>
                </c:pt>
                <c:pt idx="135">
                  <c:v>57.960523905520851</c:v>
                </c:pt>
                <c:pt idx="136">
                  <c:v>58.1273677048504</c:v>
                </c:pt>
                <c:pt idx="137">
                  <c:v>58.286887147480492</c:v>
                </c:pt>
                <c:pt idx="138">
                  <c:v>58.438744262602789</c:v>
                </c:pt>
                <c:pt idx="139">
                  <c:v>58.582612835182402</c:v>
                </c:pt>
                <c:pt idx="140">
                  <c:v>58.718178324710912</c:v>
                </c:pt>
                <c:pt idx="141">
                  <c:v>58.845137745592716</c:v>
                </c:pt>
                <c:pt idx="142">
                  <c:v>58.963199512714191</c:v>
                </c:pt>
                <c:pt idx="143">
                  <c:v>59.072083255813219</c:v>
                </c:pt>
                <c:pt idx="144">
                  <c:v>59.171519606309019</c:v>
                </c:pt>
                <c:pt idx="145">
                  <c:v>59.261249960237748</c:v>
                </c:pt>
                <c:pt idx="146">
                  <c:v>59.341026220923396</c:v>
                </c:pt>
                <c:pt idx="147">
                  <c:v>59.410610524944673</c:v>
                </c:pt>
                <c:pt idx="148">
                  <c:v>59.469774954879703</c:v>
                </c:pt>
                <c:pt idx="149">
                  <c:v>59.518301242205943</c:v>
                </c:pt>
                <c:pt idx="150">
                  <c:v>59.555980463609117</c:v>
                </c:pt>
                <c:pt idx="151">
                  <c:v>59.582612733815061</c:v>
                </c:pt>
                <c:pt idx="152">
                  <c:v>59.598006897912185</c:v>
                </c:pt>
                <c:pt idx="153">
                  <c:v>59.601980225972</c:v>
                </c:pt>
                <c:pt idx="154">
                  <c:v>59.5943581126024</c:v>
                </c:pt>
                <c:pt idx="155">
                  <c:v>59.574973783903758</c:v>
                </c:pt>
                <c:pt idx="156">
                  <c:v>59.543668014116939</c:v>
                </c:pt>
                <c:pt idx="157">
                  <c:v>59.500288854080885</c:v>
                </c:pt>
                <c:pt idx="158">
                  <c:v>59.44469137343193</c:v>
                </c:pt>
                <c:pt idx="159">
                  <c:v>59.376737418314406</c:v>
                </c:pt>
                <c:pt idx="160">
                  <c:v>59.296295386184404</c:v>
                </c:pt>
                <c:pt idx="161">
                  <c:v>59.203240019125317</c:v>
                </c:pt>
                <c:pt idx="162">
                  <c:v>59.097452216928005</c:v>
                </c:pt>
                <c:pt idx="163">
                  <c:v>58.978818871011264</c:v>
                </c:pt>
                <c:pt idx="164">
                  <c:v>58.847232720112906</c:v>
                </c:pt>
                <c:pt idx="165">
                  <c:v>58.702592228508436</c:v>
                </c:pt>
                <c:pt idx="166">
                  <c:v>58.544801487365874</c:v>
                </c:pt>
                <c:pt idx="167">
                  <c:v>58.373770139691707</c:v>
                </c:pt>
                <c:pt idx="168">
                  <c:v>58.189413329168254</c:v>
                </c:pt>
                <c:pt idx="169">
                  <c:v>57.991651673031114</c:v>
                </c:pt>
                <c:pt idx="170">
                  <c:v>57.780411258991847</c:v>
                </c:pt>
                <c:pt idx="171">
                  <c:v>57.555623666055837</c:v>
                </c:pt>
                <c:pt idx="172">
                  <c:v>57.317226008934924</c:v>
                </c:pt>
                <c:pt idx="173">
                  <c:v>57.065161005607848</c:v>
                </c:pt>
                <c:pt idx="174">
                  <c:v>56.799377067422306</c:v>
                </c:pt>
                <c:pt idx="175">
                  <c:v>56.519828410982207</c:v>
                </c:pt>
                <c:pt idx="176">
                  <c:v>56.226475190905354</c:v>
                </c:pt>
                <c:pt idx="177">
                  <c:v>55.919283652372521</c:v>
                </c:pt>
                <c:pt idx="178">
                  <c:v>55.598226302231311</c:v>
                </c:pt>
                <c:pt idx="179">
                  <c:v>55.263282097251228</c:v>
                </c:pt>
                <c:pt idx="180">
                  <c:v>54.914436647954638</c:v>
                </c:pt>
                <c:pt idx="181">
                  <c:v>54.551682436284686</c:v>
                </c:pt>
                <c:pt idx="182">
                  <c:v>54.17501904519623</c:v>
                </c:pt>
                <c:pt idx="183">
                  <c:v>53.784453398088502</c:v>
                </c:pt>
                <c:pt idx="184">
                  <c:v>53.380000005825217</c:v>
                </c:pt>
                <c:pt idx="185">
                  <c:v>52.961681218925257</c:v>
                </c:pt>
                <c:pt idx="186">
                  <c:v>52.529527482343035</c:v>
                </c:pt>
                <c:pt idx="187">
                  <c:v>52.083577590103097</c:v>
                </c:pt>
                <c:pt idx="188">
                  <c:v>51.623878936906038</c:v>
                </c:pt>
                <c:pt idx="189">
                  <c:v>51.150487763692603</c:v>
                </c:pt>
                <c:pt idx="190">
                  <c:v>50.663469394025796</c:v>
                </c:pt>
                <c:pt idx="191">
                  <c:v>50.162898458054208</c:v>
                </c:pt>
                <c:pt idx="192">
                  <c:v>49.648859100735002</c:v>
                </c:pt>
                <c:pt idx="193">
                  <c:v>49.121445170933811</c:v>
                </c:pt>
                <c:pt idx="194">
                  <c:v>48.580760387990608</c:v>
                </c:pt>
                <c:pt idx="195">
                  <c:v>48.026918482334722</c:v>
                </c:pt>
                <c:pt idx="196">
                  <c:v>47.460043306766224</c:v>
                </c:pt>
                <c:pt idx="197">
                  <c:v>46.880268915083583</c:v>
                </c:pt>
                <c:pt idx="198">
                  <c:v>46.287739604846564</c:v>
                </c:pt>
                <c:pt idx="199">
                  <c:v>45.682609921203117</c:v>
                </c:pt>
                <c:pt idx="200">
                  <c:v>45.065044618900529</c:v>
                </c:pt>
                <c:pt idx="201">
                  <c:v>44.435218579831925</c:v>
                </c:pt>
                <c:pt idx="202">
                  <c:v>43.793316683735647</c:v>
                </c:pt>
                <c:pt idx="203">
                  <c:v>43.139533629994837</c:v>
                </c:pt>
                <c:pt idx="204">
                  <c:v>42.474073708830005</c:v>
                </c:pt>
                <c:pt idx="205">
                  <c:v>41.797150520587152</c:v>
                </c:pt>
                <c:pt idx="206">
                  <c:v>41.10898664225514</c:v>
                </c:pt>
                <c:pt idx="207">
                  <c:v>40.40981324081848</c:v>
                </c:pt>
                <c:pt idx="208">
                  <c:v>39.699869633548658</c:v>
                </c:pt>
                <c:pt idx="209">
                  <c:v>38.979402795860338</c:v>
                </c:pt>
                <c:pt idx="210">
                  <c:v>38.248666817896861</c:v>
                </c:pt>
                <c:pt idx="211">
                  <c:v>37.507922311559561</c:v>
                </c:pt>
                <c:pt idx="212">
                  <c:v>36.757435770244314</c:v>
                </c:pt>
                <c:pt idx="213">
                  <c:v>35.997478884094164</c:v>
                </c:pt>
                <c:pt idx="214">
                  <c:v>35.22832781410952</c:v>
                </c:pt>
                <c:pt idx="215">
                  <c:v>34.450262428963441</c:v>
                </c:pt>
                <c:pt idx="216">
                  <c:v>33.663565508846062</c:v>
                </c:pt>
                <c:pt idx="217">
                  <c:v>32.868521921104744</c:v>
                </c:pt>
                <c:pt idx="218">
                  <c:v>32.065417772830472</c:v>
                </c:pt>
                <c:pt idx="219">
                  <c:v>31.254539545887173</c:v>
                </c:pt>
                <c:pt idx="220">
                  <c:v>30.436173220152789</c:v>
                </c:pt>
                <c:pt idx="221">
                  <c:v>29.610603390957493</c:v>
                </c:pt>
                <c:pt idx="222">
                  <c:v>28.778112386851522</c:v>
                </c:pt>
                <c:pt idx="223">
                  <c:v>27.938979393904592</c:v>
                </c:pt>
                <c:pt idx="224">
                  <c:v>27.093479592750388</c:v>
                </c:pt>
                <c:pt idx="225">
                  <c:v>26.241883314511128</c:v>
                </c:pt>
                <c:pt idx="226">
                  <c:v>25.384455221600877</c:v>
                </c:pt>
                <c:pt idx="227">
                  <c:v>24.521453519206368</c:v>
                </c:pt>
                <c:pt idx="228">
                  <c:v>23.653129202960169</c:v>
                </c:pt>
                <c:pt idx="229">
                  <c:v>22.779725347997591</c:v>
                </c:pt>
                <c:pt idx="230">
                  <c:v>21.901476444217661</c:v>
                </c:pt>
                <c:pt idx="231">
                  <c:v>21.01860778211665</c:v>
                </c:pt>
                <c:pt idx="232">
                  <c:v>20.131334893127033</c:v>
                </c:pt>
                <c:pt idx="233">
                  <c:v>19.239863047871431</c:v>
                </c:pt>
                <c:pt idx="234">
                  <c:v>18.344386815250026</c:v>
                </c:pt>
                <c:pt idx="235">
                  <c:v>17.445089684725989</c:v>
                </c:pt>
                <c:pt idx="236">
                  <c:v>16.542143753653505</c:v>
                </c:pt>
                <c:pt idx="237">
                  <c:v>15.63570948095156</c:v>
                </c:pt>
                <c:pt idx="238">
                  <c:v>14.725935507896402</c:v>
                </c:pt>
                <c:pt idx="239">
                  <c:v>13.812958546302971</c:v>
                </c:pt>
                <c:pt idx="240">
                  <c:v>12.896903333873002</c:v>
                </c:pt>
                <c:pt idx="241">
                  <c:v>11.977882656014142</c:v>
                </c:pt>
                <c:pt idx="242">
                  <c:v>11.055997433018556</c:v>
                </c:pt>
                <c:pt idx="243">
                  <c:v>10.131336871067488</c:v>
                </c:pt>
                <c:pt idx="244">
                  <c:v>9.2039786751777601</c:v>
                </c:pt>
                <c:pt idx="245">
                  <c:v>8.2739893218603928</c:v>
                </c:pt>
                <c:pt idx="246">
                  <c:v>7.341424388985855</c:v>
                </c:pt>
                <c:pt idx="247">
                  <c:v>6.4063289400706038</c:v>
                </c:pt>
                <c:pt idx="248">
                  <c:v>5.4687379599967372</c:v>
                </c:pt>
                <c:pt idx="249">
                  <c:v>4.5286768389712986</c:v>
                </c:pt>
                <c:pt idx="250">
                  <c:v>3.5861619013824959</c:v>
                </c:pt>
                <c:pt idx="251">
                  <c:v>2.641200976078415</c:v>
                </c:pt>
                <c:pt idx="252">
                  <c:v>1.693794004486517</c:v>
                </c:pt>
                <c:pt idx="253">
                  <c:v>0.74393368291453954</c:v>
                </c:pt>
                <c:pt idx="254">
                  <c:v>-0.20839386468920992</c:v>
                </c:pt>
                <c:pt idx="255">
                  <c:v>-1.1632083872868881</c:v>
                </c:pt>
                <c:pt idx="256">
                  <c:v>-2.1205347844055362</c:v>
                </c:pt>
                <c:pt idx="257">
                  <c:v>-3.0804023647263485</c:v>
                </c:pt>
                <c:pt idx="258">
                  <c:v>-4.0428440894344329</c:v>
                </c:pt>
                <c:pt idx="259">
                  <c:v>-5.0078958041720174</c:v>
                </c:pt>
                <c:pt idx="260">
                  <c:v>-5.9755954634415351</c:v>
                </c:pt>
                <c:pt idx="261">
                  <c:v>-6.9459823513033543</c:v>
                </c:pt>
                <c:pt idx="262">
                  <c:v>-7.9190963022099439</c:v>
                </c:pt>
                <c:pt idx="263">
                  <c:v>-8.8949769258234515</c:v>
                </c:pt>
                <c:pt idx="264">
                  <c:v>-9.8736628396542763</c:v>
                </c:pt>
                <c:pt idx="265">
                  <c:v>-10.855190913354475</c:v>
                </c:pt>
                <c:pt idx="266">
                  <c:v>-11.839595528498604</c:v>
                </c:pt>
                <c:pt idx="267">
                  <c:v>-12.826907857666967</c:v>
                </c:pt>
                <c:pt idx="268">
                  <c:v>-13.817155166631069</c:v>
                </c:pt>
                <c:pt idx="269">
                  <c:v>-14.810360143422642</c:v>
                </c:pt>
                <c:pt idx="270">
                  <c:v>-15.806540258019927</c:v>
                </c:pt>
                <c:pt idx="271">
                  <c:v>-16.80570715635406</c:v>
                </c:pt>
                <c:pt idx="272">
                  <c:v>-17.807866092249029</c:v>
                </c:pt>
                <c:pt idx="273">
                  <c:v>-18.813015400852937</c:v>
                </c:pt>
                <c:pt idx="274">
                  <c:v>-19.821146016984599</c:v>
                </c:pt>
                <c:pt idx="275">
                  <c:v>-20.832241041703</c:v>
                </c:pt>
                <c:pt idx="276">
                  <c:v>-21.84627536023887</c:v>
                </c:pt>
                <c:pt idx="277">
                  <c:v>-22.863215314234676</c:v>
                </c:pt>
                <c:pt idx="278">
                  <c:v>-23.883018431013731</c:v>
                </c:pt>
                <c:pt idx="279">
                  <c:v>-24.905633212336628</c:v>
                </c:pt>
                <c:pt idx="280">
                  <c:v>-25.93099898480661</c:v>
                </c:pt>
                <c:pt idx="281">
                  <c:v>-26.959045813743682</c:v>
                </c:pt>
                <c:pt idx="282">
                  <c:v>-27.989694481986845</c:v>
                </c:pt>
                <c:pt idx="283">
                  <c:v>-29.02285653466582</c:v>
                </c:pt>
                <c:pt idx="284">
                  <c:v>-30.058434390549092</c:v>
                </c:pt>
                <c:pt idx="285">
                  <c:v>-31.096321520105739</c:v>
                </c:pt>
                <c:pt idx="286">
                  <c:v>-32.136402689915208</c:v>
                </c:pt>
                <c:pt idx="287">
                  <c:v>-33.178554272551509</c:v>
                </c:pt>
                <c:pt idx="288">
                  <c:v>-34.222644620517514</c:v>
                </c:pt>
                <c:pt idx="289">
                  <c:v>-35.26853450228144</c:v>
                </c:pt>
                <c:pt idx="290">
                  <c:v>-36.316077597901042</c:v>
                </c:pt>
                <c:pt idx="291">
                  <c:v>-37.365121051193036</c:v>
                </c:pt>
                <c:pt idx="292">
                  <c:v>-38.415506074870635</c:v>
                </c:pt>
                <c:pt idx="293">
                  <c:v>-39.467068604563075</c:v>
                </c:pt>
                <c:pt idx="294">
                  <c:v>-40.51963999715371</c:v>
                </c:pt>
                <c:pt idx="295">
                  <c:v>-41.573047768438087</c:v>
                </c:pt>
                <c:pt idx="296">
                  <c:v>-42.627116364687424</c:v>
                </c:pt>
                <c:pt idx="297">
                  <c:v>-43.68166796238382</c:v>
                </c:pt>
                <c:pt idx="298">
                  <c:v>-44.736523290078871</c:v>
                </c:pt>
                <c:pt idx="299">
                  <c:v>-45.791502466121919</c:v>
                </c:pt>
                <c:pt idx="300">
                  <c:v>-46.846425845836414</c:v>
                </c:pt>
                <c:pt idx="301">
                  <c:v>-47.90111487163405</c:v>
                </c:pt>
                <c:pt idx="302">
                  <c:v>-48.955392919546789</c:v>
                </c:pt>
                <c:pt idx="303">
                  <c:v>-50.00908613570553</c:v>
                </c:pt>
                <c:pt idx="304">
                  <c:v>-51.062024256415299</c:v>
                </c:pt>
                <c:pt idx="305">
                  <c:v>-52.114041405690074</c:v>
                </c:pt>
                <c:pt idx="306">
                  <c:v>-53.164976864342144</c:v>
                </c:pt>
                <c:pt idx="307">
                  <c:v>-54.214675805060189</c:v>
                </c:pt>
                <c:pt idx="308">
                  <c:v>-55.262989988274313</c:v>
                </c:pt>
                <c:pt idx="309">
                  <c:v>-56.309778414022944</c:v>
                </c:pt>
                <c:pt idx="310">
                  <c:v>-57.35490792550128</c:v>
                </c:pt>
                <c:pt idx="311">
                  <c:v>-58.398253760457273</c:v>
                </c:pt>
                <c:pt idx="312">
                  <c:v>-59.439700047122194</c:v>
                </c:pt>
                <c:pt idx="313">
                  <c:v>-60.47914024187957</c:v>
                </c:pt>
                <c:pt idx="314">
                  <c:v>-61.516477506434406</c:v>
                </c:pt>
                <c:pt idx="315">
                  <c:v>-62.551625022759048</c:v>
                </c:pt>
                <c:pt idx="316">
                  <c:v>-63.584506244638796</c:v>
                </c:pt>
                <c:pt idx="317">
                  <c:v>-64.615055085144377</c:v>
                </c:pt>
                <c:pt idx="318">
                  <c:v>-65.643216039855275</c:v>
                </c:pt>
                <c:pt idx="319">
                  <c:v>-66.668944246124354</c:v>
                </c:pt>
                <c:pt idx="320">
                  <c:v>-67.692205479114065</c:v>
                </c:pt>
                <c:pt idx="321">
                  <c:v>-68.712976085729608</c:v>
                </c:pt>
                <c:pt idx="322">
                  <c:v>-69.731242857949226</c:v>
                </c:pt>
                <c:pt idx="323">
                  <c:v>-70.747002847377743</c:v>
                </c:pt>
                <c:pt idx="324">
                  <c:v>-71.760263123133782</c:v>
                </c:pt>
                <c:pt idx="325">
                  <c:v>-72.771040475439392</c:v>
                </c:pt>
                <c:pt idx="326">
                  <c:v>-73.779361067483009</c:v>
                </c:pt>
                <c:pt idx="327">
                  <c:v>-74.785260038321951</c:v>
                </c:pt>
                <c:pt idx="328">
                  <c:v>-75.788781059705755</c:v>
                </c:pt>
                <c:pt idx="329">
                  <c:v>-76.789975849842506</c:v>
                </c:pt>
                <c:pt idx="330">
                  <c:v>-77.788903647177946</c:v>
                </c:pt>
                <c:pt idx="331">
                  <c:v>-78.785630647353244</c:v>
                </c:pt>
                <c:pt idx="332">
                  <c:v>-79.780229406503778</c:v>
                </c:pt>
                <c:pt idx="333">
                  <c:v>-80.772778214105827</c:v>
                </c:pt>
                <c:pt idx="334">
                  <c:v>-81.763360438562557</c:v>
                </c:pt>
                <c:pt idx="335">
                  <c:v>-82.752063848723722</c:v>
                </c:pt>
                <c:pt idx="336">
                  <c:v>-83.738979914500476</c:v>
                </c:pt>
                <c:pt idx="337">
                  <c:v>-84.724203089736022</c:v>
                </c:pt>
                <c:pt idx="338">
                  <c:v>-85.70783008044782</c:v>
                </c:pt>
                <c:pt idx="339">
                  <c:v>-86.689959101543451</c:v>
                </c:pt>
                <c:pt idx="340">
                  <c:v>-87.670689125093929</c:v>
                </c:pt>
                <c:pt idx="341">
                  <c:v>-88.650119123230581</c:v>
                </c:pt>
                <c:pt idx="342">
                  <c:v>-89.628347308708115</c:v>
                </c:pt>
                <c:pt idx="343">
                  <c:v>-90.605470376201765</c:v>
                </c:pt>
                <c:pt idx="344">
                  <c:v>-91.581582747373602</c:v>
                </c:pt>
                <c:pt idx="345">
                  <c:v>-92.556775822788651</c:v>
                </c:pt>
                <c:pt idx="346">
                  <c:v>-93.53113724374883</c:v>
                </c:pt>
                <c:pt idx="347">
                  <c:v>-94.50475016715319</c:v>
                </c:pt>
                <c:pt idx="348">
                  <c:v>-95.47769255651265</c:v>
                </c:pt>
                <c:pt idx="349">
                  <c:v>-96.450036492275757</c:v>
                </c:pt>
                <c:pt idx="350">
                  <c:v>-97.421847504646962</c:v>
                </c:pt>
                <c:pt idx="351">
                  <c:v>-98.39318393211181</c:v>
                </c:pt>
                <c:pt idx="352">
                  <c:v>-99.364096308891334</c:v>
                </c:pt>
                <c:pt idx="353">
                  <c:v>-100.3346267845657</c:v>
                </c:pt>
                <c:pt idx="354">
                  <c:v>-101.30480857910759</c:v>
                </c:pt>
                <c:pt idx="355">
                  <c:v>-102.27466547653027</c:v>
                </c:pt>
                <c:pt idx="356">
                  <c:v>-103.24421136034086</c:v>
                </c:pt>
                <c:pt idx="357">
                  <c:v>-104.2134497939084</c:v>
                </c:pt>
                <c:pt idx="358">
                  <c:v>-105.18237364877997</c:v>
                </c:pt>
                <c:pt idx="359">
                  <c:v>-106.15096478385412</c:v>
                </c:pt>
                <c:pt idx="360">
                  <c:v>-107.11919377817577</c:v>
                </c:pt>
                <c:pt idx="361">
                  <c:v>-108.08701971992956</c:v>
                </c:pt>
                <c:pt idx="362">
                  <c:v>-109.05439005398627</c:v>
                </c:pt>
                <c:pt idx="363">
                  <c:v>-110.02124049009859</c:v>
                </c:pt>
                <c:pt idx="364">
                  <c:v>-110.9874949735453</c:v>
                </c:pt>
                <c:pt idx="365">
                  <c:v>-111.95306571968059</c:v>
                </c:pt>
                <c:pt idx="366">
                  <c:v>-112.91785331348177</c:v>
                </c:pt>
                <c:pt idx="367">
                  <c:v>-113.88174687476631</c:v>
                </c:pt>
                <c:pt idx="368">
                  <c:v>-114.84462428931997</c:v>
                </c:pt>
                <c:pt idx="369">
                  <c:v>-115.80635250569786</c:v>
                </c:pt>
                <c:pt idx="370">
                  <c:v>-116.76678789697246</c:v>
                </c:pt>
                <c:pt idx="371">
                  <c:v>-117.72577668618867</c:v>
                </c:pt>
                <c:pt idx="372">
                  <c:v>-118.68315543376123</c:v>
                </c:pt>
                <c:pt idx="373">
                  <c:v>-119.63875158452419</c:v>
                </c:pt>
                <c:pt idx="374">
                  <c:v>-120.59238407160993</c:v>
                </c:pt>
                <c:pt idx="375">
                  <c:v>-121.54386397383216</c:v>
                </c:pt>
                <c:pt idx="376">
                  <c:v>-122.49299522273584</c:v>
                </c:pt>
                <c:pt idx="377">
                  <c:v>-123.43957535502537</c:v>
                </c:pt>
                <c:pt idx="378">
                  <c:v>-124.38339630563345</c:v>
                </c:pt>
                <c:pt idx="379">
                  <c:v>-125.32424523631599</c:v>
                </c:pt>
                <c:pt idx="380">
                  <c:v>-126.26190539431035</c:v>
                </c:pt>
                <c:pt idx="381">
                  <c:v>-127.19615699531127</c:v>
                </c:pt>
                <c:pt idx="382">
                  <c:v>-128.12677812480223</c:v>
                </c:pt>
                <c:pt idx="383">
                  <c:v>-129.05354565161866</c:v>
                </c:pt>
                <c:pt idx="384">
                  <c:v>-129.97623614753641</c:v>
                </c:pt>
                <c:pt idx="385">
                  <c:v>-130.89462680665983</c:v>
                </c:pt>
                <c:pt idx="386">
                  <c:v>-131.80849635844717</c:v>
                </c:pt>
                <c:pt idx="387">
                  <c:v>-132.71762596832903</c:v>
                </c:pt>
                <c:pt idx="388">
                  <c:v>-133.62180012007599</c:v>
                </c:pt>
                <c:pt idx="389">
                  <c:v>-134.52080747433243</c:v>
                </c:pt>
                <c:pt idx="390">
                  <c:v>-135.41444169804385</c:v>
                </c:pt>
                <c:pt idx="391">
                  <c:v>-136.30250225989619</c:v>
                </c:pt>
                <c:pt idx="392">
                  <c:v>-137.18479518728623</c:v>
                </c:pt>
                <c:pt idx="393">
                  <c:v>-138.0611337808229</c:v>
                </c:pt>
                <c:pt idx="394">
                  <c:v>-138.93133928283657</c:v>
                </c:pt>
                <c:pt idx="395">
                  <c:v>-139.79524149690394</c:v>
                </c:pt>
                <c:pt idx="396">
                  <c:v>-140.65267935592229</c:v>
                </c:pt>
                <c:pt idx="397">
                  <c:v>-141.50350143680083</c:v>
                </c:pt>
                <c:pt idx="398">
                  <c:v>-142.34756642039304</c:v>
                </c:pt>
                <c:pt idx="399">
                  <c:v>-143.18474349580475</c:v>
                </c:pt>
                <c:pt idx="400">
                  <c:v>-144.0149127087339</c:v>
                </c:pt>
                <c:pt idx="401">
                  <c:v>-144.83796525399535</c:v>
                </c:pt>
                <c:pt idx="402">
                  <c:v>-145.65380371283257</c:v>
                </c:pt>
                <c:pt idx="403">
                  <c:v>-146.46234223606874</c:v>
                </c:pt>
                <c:pt idx="404">
                  <c:v>-147.26350667451527</c:v>
                </c:pt>
                <c:pt idx="405">
                  <c:v>-148.05723465843801</c:v>
                </c:pt>
                <c:pt idx="406">
                  <c:v>-148.84347562816995</c:v>
                </c:pt>
                <c:pt idx="407">
                  <c:v>-149.62219081823892</c:v>
                </c:pt>
                <c:pt idx="408">
                  <c:v>-150.3933531975955</c:v>
                </c:pt>
                <c:pt idx="409">
                  <c:v>-151.15694736871401</c:v>
                </c:pt>
                <c:pt idx="410">
                  <c:v>-151.91296942846623</c:v>
                </c:pt>
                <c:pt idx="411">
                  <c:v>-152.66142679377475</c:v>
                </c:pt>
                <c:pt idx="412">
                  <c:v>-153.40233799510409</c:v>
                </c:pt>
                <c:pt idx="413">
                  <c:v>-154.13573244086942</c:v>
                </c:pt>
                <c:pt idx="414">
                  <c:v>-154.86165015583555</c:v>
                </c:pt>
                <c:pt idx="415">
                  <c:v>-155.58014149652846</c:v>
                </c:pt>
                <c:pt idx="416">
                  <c:v>-156.29126684662165</c:v>
                </c:pt>
                <c:pt idx="417">
                  <c:v>-156.99509629515768</c:v>
                </c:pt>
                <c:pt idx="418">
                  <c:v>-157.69170930035611</c:v>
                </c:pt>
                <c:pt idx="419">
                  <c:v>-158.38119434162834</c:v>
                </c:pt>
                <c:pt idx="420">
                  <c:v>-159.06364856227489</c:v>
                </c:pt>
                <c:pt idx="421">
                  <c:v>-159.7391774051807</c:v>
                </c:pt>
                <c:pt idx="422">
                  <c:v>-160.40789424366463</c:v>
                </c:pt>
                <c:pt idx="423">
                  <c:v>-161.06992000947193</c:v>
                </c:pt>
                <c:pt idx="424">
                  <c:v>-161.72538281971373</c:v>
                </c:pt>
                <c:pt idx="425">
                  <c:v>-162.3744176043995</c:v>
                </c:pt>
                <c:pt idx="426">
                  <c:v>-163.0171657360261</c:v>
                </c:pt>
                <c:pt idx="427">
                  <c:v>-163.65377466251348</c:v>
                </c:pt>
                <c:pt idx="428">
                  <c:v>-164.28439754461911</c:v>
                </c:pt>
                <c:pt idx="429">
                  <c:v>-164.90919289880208</c:v>
                </c:pt>
                <c:pt idx="430">
                  <c:v>-165.52832424633561</c:v>
                </c:pt>
                <c:pt idx="431">
                  <c:v>-166.14195976934462</c:v>
                </c:pt>
                <c:pt idx="432">
                  <c:v>-166.75027197427914</c:v>
                </c:pt>
                <c:pt idx="433">
                  <c:v>-167.35343736322008</c:v>
                </c:pt>
                <c:pt idx="434">
                  <c:v>-167.95163611327186</c:v>
                </c:pt>
                <c:pt idx="435">
                  <c:v>-168.54505176419624</c:v>
                </c:pt>
                <c:pt idx="436">
                  <c:v>-169.13387091432006</c:v>
                </c:pt>
                <c:pt idx="437">
                  <c:v>-169.71828292465622</c:v>
                </c:pt>
                <c:pt idx="438">
                  <c:v>-170.29847963108094</c:v>
                </c:pt>
                <c:pt idx="439">
                  <c:v>-170.8746550643319</c:v>
                </c:pt>
                <c:pt idx="440">
                  <c:v>-171.44700517750678</c:v>
                </c:pt>
                <c:pt idx="441">
                  <c:v>-172.01572758068099</c:v>
                </c:pt>
                <c:pt idx="442">
                  <c:v>-172.58102128219619</c:v>
                </c:pt>
                <c:pt idx="443">
                  <c:v>-173.14308643611218</c:v>
                </c:pt>
                <c:pt idx="444">
                  <c:v>-173.70212409527971</c:v>
                </c:pt>
                <c:pt idx="445">
                  <c:v>-174.25833596942843</c:v>
                </c:pt>
                <c:pt idx="446">
                  <c:v>-174.81192418764536</c:v>
                </c:pt>
                <c:pt idx="447">
                  <c:v>-175.36309106457585</c:v>
                </c:pt>
                <c:pt idx="448">
                  <c:v>-175.9120388696571</c:v>
                </c:pt>
                <c:pt idx="449">
                  <c:v>-176.45896959867468</c:v>
                </c:pt>
                <c:pt idx="450">
                  <c:v>-177.00408474690903</c:v>
                </c:pt>
                <c:pt idx="451">
                  <c:v>-177.54758508313481</c:v>
                </c:pt>
                <c:pt idx="452">
                  <c:v>-178.08967042372322</c:v>
                </c:pt>
                <c:pt idx="453">
                  <c:v>-178.63053940609856</c:v>
                </c:pt>
                <c:pt idx="454">
                  <c:v>-179.17038926079539</c:v>
                </c:pt>
                <c:pt idx="455">
                  <c:v>-179.7094155813792</c:v>
                </c:pt>
                <c:pt idx="456">
                  <c:v>179.75218790850872</c:v>
                </c:pt>
                <c:pt idx="457">
                  <c:v>179.21422959169402</c:v>
                </c:pt>
                <c:pt idx="458">
                  <c:v>178.67652019829885</c:v>
                </c:pt>
                <c:pt idx="459">
                  <c:v>178.1388730515329</c:v>
                </c:pt>
                <c:pt idx="460">
                  <c:v>177.6011043190835</c:v>
                </c:pt>
                <c:pt idx="461">
                  <c:v>177.06303327071461</c:v>
                </c:pt>
                <c:pt idx="462">
                  <c:v>176.52448254263834</c:v>
                </c:pt>
                <c:pt idx="463">
                  <c:v>175.98527840917561</c:v>
                </c:pt>
                <c:pt idx="464">
                  <c:v>175.44525106217253</c:v>
                </c:pt>
                <c:pt idx="465">
                  <c:v>174.9042348985727</c:v>
                </c:pt>
                <c:pt idx="466">
                  <c:v>174.36206881648428</c:v>
                </c:pt>
                <c:pt idx="467">
                  <c:v>173.81859652000153</c:v>
                </c:pt>
                <c:pt idx="468">
                  <c:v>173.27366683296134</c:v>
                </c:pt>
                <c:pt idx="469">
                  <c:v>172.72713402172226</c:v>
                </c:pt>
                <c:pt idx="470">
                  <c:v>172.17885812695891</c:v>
                </c:pt>
                <c:pt idx="471">
                  <c:v>171.62870530435379</c:v>
                </c:pt>
                <c:pt idx="472">
                  <c:v>171.07654817395911</c:v>
                </c:pt>
                <c:pt idx="473">
                  <c:v>170.52226617787133</c:v>
                </c:pt>
                <c:pt idx="474">
                  <c:v>169.9657459457359</c:v>
                </c:pt>
                <c:pt idx="475">
                  <c:v>169.40688166745781</c:v>
                </c:pt>
                <c:pt idx="476">
                  <c:v>168.84557547234226</c:v>
                </c:pt>
                <c:pt idx="477">
                  <c:v>168.28173781374468</c:v>
                </c:pt>
                <c:pt idx="478">
                  <c:v>167.71528785813877</c:v>
                </c:pt>
                <c:pt idx="479">
                  <c:v>167.14615387734963</c:v>
                </c:pt>
                <c:pt idx="480">
                  <c:v>166.5742736425303</c:v>
                </c:pt>
                <c:pt idx="481">
                  <c:v>165.99959481827963</c:v>
                </c:pt>
                <c:pt idx="482">
                  <c:v>165.4220753551291</c:v>
                </c:pt>
                <c:pt idx="483">
                  <c:v>164.84168387845133</c:v>
                </c:pt>
                <c:pt idx="484">
                  <c:v>164.25840007166335</c:v>
                </c:pt>
                <c:pt idx="485">
                  <c:v>163.672215051438</c:v>
                </c:pt>
                <c:pt idx="486">
                  <c:v>163.08313173247018</c:v>
                </c:pt>
                <c:pt idx="487">
                  <c:v>162.49116517919177</c:v>
                </c:pt>
                <c:pt idx="488">
                  <c:v>161.89634294169892</c:v>
                </c:pt>
                <c:pt idx="489">
                  <c:v>161.29870537301946</c:v>
                </c:pt>
                <c:pt idx="490">
                  <c:v>160.69830592475628</c:v>
                </c:pt>
                <c:pt idx="491">
                  <c:v>160.09521141805772</c:v>
                </c:pt>
                <c:pt idx="492">
                  <c:v>159.48950228680505</c:v>
                </c:pt>
                <c:pt idx="493">
                  <c:v>158.88127278988838</c:v>
                </c:pt>
                <c:pt idx="494">
                  <c:v>158.27063118944503</c:v>
                </c:pt>
                <c:pt idx="495">
                  <c:v>157.65769989197452</c:v>
                </c:pt>
                <c:pt idx="496">
                  <c:v>157.04261554932066</c:v>
                </c:pt>
                <c:pt idx="497">
                  <c:v>156.42552911663603</c:v>
                </c:pt>
                <c:pt idx="498">
                  <c:v>155.80660586459888</c:v>
                </c:pt>
                <c:pt idx="499">
                  <c:v>155.18602534335676</c:v>
                </c:pt>
                <c:pt idx="500">
                  <c:v>154.56398129591929</c:v>
                </c:pt>
                <c:pt idx="501">
                  <c:v>153.94068151900788</c:v>
                </c:pt>
                <c:pt idx="502">
                  <c:v>153.31634766971354</c:v>
                </c:pt>
                <c:pt idx="503">
                  <c:v>152.69121501666751</c:v>
                </c:pt>
                <c:pt idx="504">
                  <c:v>152.06553213486171</c:v>
                </c:pt>
                <c:pt idx="505">
                  <c:v>151.43956054367987</c:v>
                </c:pt>
                <c:pt idx="506">
                  <c:v>150.81357428819203</c:v>
                </c:pt>
                <c:pt idx="507">
                  <c:v>150.18785946424484</c:v>
                </c:pt>
                <c:pt idx="508">
                  <c:v>149.56271368841215</c:v>
                </c:pt>
                <c:pt idx="509">
                  <c:v>148.93844551438386</c:v>
                </c:pt>
                <c:pt idx="510">
                  <c:v>148.31537379790879</c:v>
                </c:pt>
                <c:pt idx="511">
                  <c:v>147.69382701292605</c:v>
                </c:pt>
                <c:pt idx="512">
                  <c:v>147.07414252203503</c:v>
                </c:pt>
                <c:pt idx="513">
                  <c:v>146.4566658049431</c:v>
                </c:pt>
                <c:pt idx="514">
                  <c:v>145.84174964898787</c:v>
                </c:pt>
                <c:pt idx="515">
                  <c:v>145.22975330625798</c:v>
                </c:pt>
                <c:pt idx="516">
                  <c:v>144.62104162220606</c:v>
                </c:pt>
                <c:pt idx="517">
                  <c:v>144.01598414097896</c:v>
                </c:pt>
                <c:pt idx="518">
                  <c:v>143.41495419294901</c:v>
                </c:pt>
                <c:pt idx="519">
                  <c:v>142.81832797013391</c:v>
                </c:pt>
                <c:pt idx="520">
                  <c:v>142.22648359532977</c:v>
                </c:pt>
                <c:pt idx="521">
                  <c:v>141.63980019083792</c:v>
                </c:pt>
                <c:pt idx="522">
                  <c:v>141.05865695266445</c:v>
                </c:pt>
                <c:pt idx="523">
                  <c:v>140.48343223598678</c:v>
                </c:pt>
                <c:pt idx="524">
                  <c:v>139.91450265752974</c:v>
                </c:pt>
                <c:pt idx="525">
                  <c:v>139.3522422202841</c:v>
                </c:pt>
                <c:pt idx="526">
                  <c:v>138.79702146570457</c:v>
                </c:pt>
                <c:pt idx="527">
                  <c:v>138.24920665819769</c:v>
                </c:pt>
                <c:pt idx="528">
                  <c:v>137.70915900630828</c:v>
                </c:pt>
                <c:pt idx="529">
                  <c:v>137.17723392457384</c:v>
                </c:pt>
                <c:pt idx="530">
                  <c:v>136.65378033955642</c:v>
                </c:pt>
                <c:pt idx="531">
                  <c:v>136.13914004302973</c:v>
                </c:pt>
                <c:pt idx="532">
                  <c:v>135.63364709479939</c:v>
                </c:pt>
                <c:pt idx="533">
                  <c:v>135.13762727707356</c:v>
                </c:pt>
                <c:pt idx="534">
                  <c:v>134.65139760177544</c:v>
                </c:pt>
                <c:pt idx="535">
                  <c:v>134.1752658716299</c:v>
                </c:pt>
                <c:pt idx="536">
                  <c:v>133.70953029534988</c:v>
                </c:pt>
                <c:pt idx="537">
                  <c:v>133.25447915671111</c:v>
                </c:pt>
                <c:pt idx="538">
                  <c:v>132.8103905368412</c:v>
                </c:pt>
                <c:pt idx="539">
                  <c:v>132.3775320885739</c:v>
                </c:pt>
                <c:pt idx="540">
                  <c:v>131.95616086130457</c:v>
                </c:pt>
                <c:pt idx="541">
                  <c:v>131.5465231743961</c:v>
                </c:pt>
              </c:numCache>
            </c:numRef>
          </c:yVal>
          <c:smooth val="1"/>
          <c:extLst>
            <c:ext xmlns:c16="http://schemas.microsoft.com/office/drawing/2014/chart" uri="{C3380CC4-5D6E-409C-BE32-E72D297353CC}">
              <c16:uniqueId val="{0000000B-1798-4659-8C8F-5766C9E652D3}"/>
            </c:ext>
          </c:extLst>
        </c:ser>
        <c:dLbls>
          <c:showLegendKey val="0"/>
          <c:showVal val="0"/>
          <c:showCatName val="0"/>
          <c:showSerName val="0"/>
          <c:showPercent val="0"/>
          <c:showBubbleSize val="0"/>
        </c:dLbls>
        <c:axId val="589267712"/>
        <c:axId val="589261440"/>
      </c:scatterChart>
      <c:valAx>
        <c:axId val="589245056"/>
        <c:scaling>
          <c:logBase val="10"/>
          <c:orientation val="minMax"/>
          <c:max val="2000000"/>
          <c:min val="100"/>
        </c:scaling>
        <c:delete val="0"/>
        <c:axPos val="b"/>
        <c:minorGridlines/>
        <c:title>
          <c:tx>
            <c:rich>
              <a:bodyPr/>
              <a:lstStyle/>
              <a:p>
                <a:pPr>
                  <a:defRPr/>
                </a:pPr>
                <a:r>
                  <a:rPr lang="en-US"/>
                  <a:t>Frequency</a:t>
                </a:r>
                <a:r>
                  <a:rPr lang="en-US" baseline="0"/>
                  <a:t> (Hz)</a:t>
                </a:r>
                <a:endParaRPr lang="en-US"/>
              </a:p>
            </c:rich>
          </c:tx>
          <c:overlay val="0"/>
        </c:title>
        <c:numFmt formatCode="0" sourceLinked="0"/>
        <c:majorTickMark val="out"/>
        <c:minorTickMark val="none"/>
        <c:tickLblPos val="low"/>
        <c:txPr>
          <a:bodyPr/>
          <a:lstStyle/>
          <a:p>
            <a:pPr>
              <a:defRPr b="1"/>
            </a:pPr>
            <a:endParaRPr lang="en-US"/>
          </a:p>
        </c:txPr>
        <c:crossAx val="589259520"/>
        <c:crosses val="autoZero"/>
        <c:crossBetween val="midCat"/>
      </c:valAx>
      <c:valAx>
        <c:axId val="589259520"/>
        <c:scaling>
          <c:orientation val="minMax"/>
          <c:max val="40"/>
          <c:min val="-40"/>
        </c:scaling>
        <c:delete val="0"/>
        <c:axPos val="l"/>
        <c:majorGridlines/>
        <c:minorGridlines/>
        <c:title>
          <c:tx>
            <c:rich>
              <a:bodyPr rot="-5400000" vert="horz"/>
              <a:lstStyle/>
              <a:p>
                <a:pPr>
                  <a:defRPr/>
                </a:pPr>
                <a:r>
                  <a:rPr lang="en-US">
                    <a:solidFill>
                      <a:srgbClr val="FF0000"/>
                    </a:solidFill>
                  </a:rPr>
                  <a:t>Gain</a:t>
                </a:r>
                <a:r>
                  <a:rPr lang="en-US" baseline="0">
                    <a:solidFill>
                      <a:srgbClr val="FF0000"/>
                    </a:solidFill>
                  </a:rPr>
                  <a:t> (dB)</a:t>
                </a:r>
                <a:endParaRPr lang="en-US">
                  <a:solidFill>
                    <a:srgbClr val="FF0000"/>
                  </a:solidFill>
                </a:endParaRPr>
              </a:p>
            </c:rich>
          </c:tx>
          <c:overlay val="0"/>
        </c:title>
        <c:numFmt formatCode="General" sourceLinked="0"/>
        <c:majorTickMark val="out"/>
        <c:minorTickMark val="none"/>
        <c:tickLblPos val="nextTo"/>
        <c:txPr>
          <a:bodyPr/>
          <a:lstStyle/>
          <a:p>
            <a:pPr>
              <a:defRPr b="1">
                <a:solidFill>
                  <a:srgbClr val="FF0000"/>
                </a:solidFill>
              </a:defRPr>
            </a:pPr>
            <a:endParaRPr lang="en-US"/>
          </a:p>
        </c:txPr>
        <c:crossAx val="589245056"/>
        <c:crosses val="autoZero"/>
        <c:crossBetween val="midCat"/>
        <c:majorUnit val="20"/>
        <c:minorUnit val="10"/>
      </c:valAx>
      <c:valAx>
        <c:axId val="589261440"/>
        <c:scaling>
          <c:orientation val="minMax"/>
          <c:max val="180"/>
          <c:min val="-180"/>
        </c:scaling>
        <c:delete val="0"/>
        <c:axPos val="r"/>
        <c:title>
          <c:tx>
            <c:rich>
              <a:bodyPr rot="-5400000" vert="horz"/>
              <a:lstStyle/>
              <a:p>
                <a:pPr>
                  <a:defRPr/>
                </a:pPr>
                <a:r>
                  <a:rPr lang="en-US"/>
                  <a:t>Phase (deg)</a:t>
                </a:r>
              </a:p>
            </c:rich>
          </c:tx>
          <c:overlay val="0"/>
        </c:title>
        <c:numFmt formatCode="General" sourceLinked="1"/>
        <c:majorTickMark val="out"/>
        <c:minorTickMark val="none"/>
        <c:tickLblPos val="nextTo"/>
        <c:txPr>
          <a:bodyPr/>
          <a:lstStyle/>
          <a:p>
            <a:pPr>
              <a:defRPr b="1">
                <a:solidFill>
                  <a:schemeClr val="tx1">
                    <a:lumMod val="95000"/>
                    <a:lumOff val="5000"/>
                  </a:schemeClr>
                </a:solidFill>
              </a:defRPr>
            </a:pPr>
            <a:endParaRPr lang="en-US"/>
          </a:p>
        </c:txPr>
        <c:crossAx val="589267712"/>
        <c:crosses val="max"/>
        <c:crossBetween val="midCat"/>
        <c:majorUnit val="90"/>
        <c:minorUnit val="45"/>
      </c:valAx>
      <c:valAx>
        <c:axId val="589267712"/>
        <c:scaling>
          <c:logBase val="10"/>
          <c:orientation val="minMax"/>
        </c:scaling>
        <c:delete val="1"/>
        <c:axPos val="b"/>
        <c:numFmt formatCode="0.00" sourceLinked="1"/>
        <c:majorTickMark val="out"/>
        <c:minorTickMark val="none"/>
        <c:tickLblPos val="nextTo"/>
        <c:crossAx val="589261440"/>
        <c:crosses val="autoZero"/>
        <c:crossBetween val="midCat"/>
      </c:valAx>
    </c:plotArea>
    <c:legend>
      <c:legendPos val="r"/>
      <c:legendEntry>
        <c:idx val="1"/>
        <c:delete val="1"/>
      </c:legendEntry>
      <c:legendEntry>
        <c:idx val="2"/>
        <c:delete val="1"/>
      </c:legendEntry>
      <c:legendEntry>
        <c:idx val="3"/>
        <c:delete val="1"/>
      </c:legendEntry>
      <c:legendEntry>
        <c:idx val="4"/>
        <c:delete val="1"/>
      </c:legendEntry>
      <c:legendEntry>
        <c:idx val="5"/>
        <c:delete val="1"/>
      </c:legendEntry>
      <c:layout>
        <c:manualLayout>
          <c:xMode val="edge"/>
          <c:yMode val="edge"/>
          <c:x val="0.61392536510371165"/>
          <c:y val="7.0381012799940294E-3"/>
          <c:w val="0.28497500584606611"/>
          <c:h val="7.9643865606846526E-2"/>
        </c:manualLayout>
      </c:layout>
      <c:overlay val="1"/>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b="1" i="0" baseline="0">
                <a:effectLst/>
              </a:rPr>
              <a:t>Isolated Loop Response</a:t>
            </a:r>
            <a:endParaRPr lang="en-US" sz="1600">
              <a:effectLst/>
            </a:endParaRPr>
          </a:p>
        </c:rich>
      </c:tx>
      <c:layout>
        <c:manualLayout>
          <c:xMode val="edge"/>
          <c:yMode val="edge"/>
          <c:x val="9.4354157174953393E-2"/>
          <c:y val="3.9916010498687662E-3"/>
        </c:manualLayout>
      </c:layout>
      <c:overlay val="0"/>
    </c:title>
    <c:autoTitleDeleted val="0"/>
    <c:plotArea>
      <c:layout>
        <c:manualLayout>
          <c:layoutTarget val="inner"/>
          <c:xMode val="edge"/>
          <c:yMode val="edge"/>
          <c:x val="8.7413438847232044E-2"/>
          <c:y val="8.915804101931861E-2"/>
          <c:w val="0.80965876742891785"/>
          <c:h val="0.76159168715027026"/>
        </c:manualLayout>
      </c:layout>
      <c:scatterChart>
        <c:scatterStyle val="smoothMarker"/>
        <c:varyColors val="0"/>
        <c:ser>
          <c:idx val="0"/>
          <c:order val="0"/>
          <c:tx>
            <c:v>Gain (dB)</c:v>
          </c:tx>
          <c:spPr>
            <a:ln w="28575">
              <a:solidFill>
                <a:srgbClr val="FF0000"/>
              </a:solidFill>
            </a:ln>
          </c:spPr>
          <c:marker>
            <c:symbol val="none"/>
          </c:marker>
          <c:xVal>
            <c:numRef>
              <c:f>CCM_Loop_Modeling_Isolated!$O$19:$O$560</c:f>
              <c:numCache>
                <c:formatCode>0.00</c:formatCode>
                <c:ptCount val="542"/>
                <c:pt idx="0">
                  <c:v>10.232929922807543</c:v>
                </c:pt>
                <c:pt idx="1">
                  <c:v>10.471285480509</c:v>
                </c:pt>
                <c:pt idx="2">
                  <c:v>10.715193052376069</c:v>
                </c:pt>
                <c:pt idx="3">
                  <c:v>10.964781961431854</c:v>
                </c:pt>
                <c:pt idx="4">
                  <c:v>11.220184543019636</c:v>
                </c:pt>
                <c:pt idx="5">
                  <c:v>11.481536214968834</c:v>
                </c:pt>
                <c:pt idx="6">
                  <c:v>11.748975549395301</c:v>
                </c:pt>
                <c:pt idx="7">
                  <c:v>12.022644346174133</c:v>
                </c:pt>
                <c:pt idx="8">
                  <c:v>12.302687708123818</c:v>
                </c:pt>
                <c:pt idx="9">
                  <c:v>12.58925411794168</c:v>
                </c:pt>
                <c:pt idx="10">
                  <c:v>12.882495516931346</c:v>
                </c:pt>
                <c:pt idx="11">
                  <c:v>13.182567385564075</c:v>
                </c:pt>
                <c:pt idx="12">
                  <c:v>13.489628825916535</c:v>
                </c:pt>
                <c:pt idx="13">
                  <c:v>13.803842646028857</c:v>
                </c:pt>
                <c:pt idx="14">
                  <c:v>14.125375446227544</c:v>
                </c:pt>
                <c:pt idx="15">
                  <c:v>14.454397707459275</c:v>
                </c:pt>
                <c:pt idx="16">
                  <c:v>14.791083881682074</c:v>
                </c:pt>
                <c:pt idx="17">
                  <c:v>15.135612484362087</c:v>
                </c:pt>
                <c:pt idx="18">
                  <c:v>15.488166189124817</c:v>
                </c:pt>
                <c:pt idx="19">
                  <c:v>15.848931924611136</c:v>
                </c:pt>
                <c:pt idx="20">
                  <c:v>16.218100973589298</c:v>
                </c:pt>
                <c:pt idx="21">
                  <c:v>16.595869074375614</c:v>
                </c:pt>
                <c:pt idx="22">
                  <c:v>16.982436524617448</c:v>
                </c:pt>
                <c:pt idx="23">
                  <c:v>17.378008287493756</c:v>
                </c:pt>
                <c:pt idx="24">
                  <c:v>17.782794100389236</c:v>
                </c:pt>
                <c:pt idx="25">
                  <c:v>18.197008586099841</c:v>
                </c:pt>
                <c:pt idx="26">
                  <c:v>18.62087136662868</c:v>
                </c:pt>
                <c:pt idx="27">
                  <c:v>19.054607179632477</c:v>
                </c:pt>
                <c:pt idx="28">
                  <c:v>19.498445997580465</c:v>
                </c:pt>
                <c:pt idx="29">
                  <c:v>19.952623149688804</c:v>
                </c:pt>
                <c:pt idx="30">
                  <c:v>20.4173794466953</c:v>
                </c:pt>
                <c:pt idx="31">
                  <c:v>20.8929613085404</c:v>
                </c:pt>
                <c:pt idx="32">
                  <c:v>21.379620895022335</c:v>
                </c:pt>
                <c:pt idx="33">
                  <c:v>21.877616239495538</c:v>
                </c:pt>
                <c:pt idx="34">
                  <c:v>22.387211385683404</c:v>
                </c:pt>
                <c:pt idx="35">
                  <c:v>22.908676527677727</c:v>
                </c:pt>
                <c:pt idx="36">
                  <c:v>23.442288153199236</c:v>
                </c:pt>
                <c:pt idx="37">
                  <c:v>23.988329190194907</c:v>
                </c:pt>
                <c:pt idx="38">
                  <c:v>24.547089156850316</c:v>
                </c:pt>
                <c:pt idx="39">
                  <c:v>25.118864315095799</c:v>
                </c:pt>
                <c:pt idx="40">
                  <c:v>25.703957827688647</c:v>
                </c:pt>
                <c:pt idx="41">
                  <c:v>26.302679918953825</c:v>
                </c:pt>
                <c:pt idx="42">
                  <c:v>26.915348039269158</c:v>
                </c:pt>
                <c:pt idx="43">
                  <c:v>27.542287033381665</c:v>
                </c:pt>
                <c:pt idx="44">
                  <c:v>28.183829312644548</c:v>
                </c:pt>
                <c:pt idx="45">
                  <c:v>28.840315031266066</c:v>
                </c:pt>
                <c:pt idx="46">
                  <c:v>29.512092266663863</c:v>
                </c:pt>
                <c:pt idx="47">
                  <c:v>30.199517204020164</c:v>
                </c:pt>
                <c:pt idx="48">
                  <c:v>30.902954325135919</c:v>
                </c:pt>
                <c:pt idx="49">
                  <c:v>31.622776601683803</c:v>
                </c:pt>
                <c:pt idx="50">
                  <c:v>32.359365692962832</c:v>
                </c:pt>
                <c:pt idx="51">
                  <c:v>33.113112148259127</c:v>
                </c:pt>
                <c:pt idx="52">
                  <c:v>33.884415613920268</c:v>
                </c:pt>
                <c:pt idx="53">
                  <c:v>34.67368504525318</c:v>
                </c:pt>
                <c:pt idx="54">
                  <c:v>35.481338923357555</c:v>
                </c:pt>
                <c:pt idx="55">
                  <c:v>36.307805477010156</c:v>
                </c:pt>
                <c:pt idx="56">
                  <c:v>37.15352290971726</c:v>
                </c:pt>
                <c:pt idx="57">
                  <c:v>38.018939632056139</c:v>
                </c:pt>
                <c:pt idx="58">
                  <c:v>38.904514499428053</c:v>
                </c:pt>
                <c:pt idx="59">
                  <c:v>39.810717055349755</c:v>
                </c:pt>
                <c:pt idx="60">
                  <c:v>40.738027780411279</c:v>
                </c:pt>
                <c:pt idx="61">
                  <c:v>41.686938347033561</c:v>
                </c:pt>
                <c:pt idx="62">
                  <c:v>42.657951880159267</c:v>
                </c:pt>
                <c:pt idx="63">
                  <c:v>43.651583224016633</c:v>
                </c:pt>
                <c:pt idx="64">
                  <c:v>44.668359215096324</c:v>
                </c:pt>
                <c:pt idx="65">
                  <c:v>45.70881896148753</c:v>
                </c:pt>
                <c:pt idx="66">
                  <c:v>46.773514128719818</c:v>
                </c:pt>
                <c:pt idx="67">
                  <c:v>47.863009232263877</c:v>
                </c:pt>
                <c:pt idx="68">
                  <c:v>48.977881936844632</c:v>
                </c:pt>
                <c:pt idx="69">
                  <c:v>50.118723362727238</c:v>
                </c:pt>
                <c:pt idx="70">
                  <c:v>51.28613839913649</c:v>
                </c:pt>
                <c:pt idx="71">
                  <c:v>52.480746024977286</c:v>
                </c:pt>
                <c:pt idx="72">
                  <c:v>53.703179637025293</c:v>
                </c:pt>
                <c:pt idx="73">
                  <c:v>54.95408738576247</c:v>
                </c:pt>
                <c:pt idx="74">
                  <c:v>56.234132519034915</c:v>
                </c:pt>
                <c:pt idx="75">
                  <c:v>57.543993733715695</c:v>
                </c:pt>
                <c:pt idx="76">
                  <c:v>58.884365535558949</c:v>
                </c:pt>
                <c:pt idx="77">
                  <c:v>60.255958607435822</c:v>
                </c:pt>
                <c:pt idx="78">
                  <c:v>61.659500186148257</c:v>
                </c:pt>
                <c:pt idx="79">
                  <c:v>63.095734448019364</c:v>
                </c:pt>
                <c:pt idx="80">
                  <c:v>64.565422903465588</c:v>
                </c:pt>
                <c:pt idx="81">
                  <c:v>66.069344800759623</c:v>
                </c:pt>
                <c:pt idx="82">
                  <c:v>67.60829753919819</c:v>
                </c:pt>
                <c:pt idx="83">
                  <c:v>69.183097091893657</c:v>
                </c:pt>
                <c:pt idx="84">
                  <c:v>70.794578438413865</c:v>
                </c:pt>
                <c:pt idx="85">
                  <c:v>72.443596007499011</c:v>
                </c:pt>
                <c:pt idx="86">
                  <c:v>74.131024130091816</c:v>
                </c:pt>
                <c:pt idx="87">
                  <c:v>75.857757502918361</c:v>
                </c:pt>
                <c:pt idx="88">
                  <c:v>77.624711662869217</c:v>
                </c:pt>
                <c:pt idx="89">
                  <c:v>79.432823472428197</c:v>
                </c:pt>
                <c:pt idx="90">
                  <c:v>81.283051616409963</c:v>
                </c:pt>
                <c:pt idx="91">
                  <c:v>83.176377110267126</c:v>
                </c:pt>
                <c:pt idx="92">
                  <c:v>85.113803820237734</c:v>
                </c:pt>
                <c:pt idx="93">
                  <c:v>87.096358995608071</c:v>
                </c:pt>
                <c:pt idx="94">
                  <c:v>89.125093813374562</c:v>
                </c:pt>
                <c:pt idx="95">
                  <c:v>91.201083935590972</c:v>
                </c:pt>
                <c:pt idx="96">
                  <c:v>93.325430079699174</c:v>
                </c:pt>
                <c:pt idx="97">
                  <c:v>95.499258602143655</c:v>
                </c:pt>
                <c:pt idx="98">
                  <c:v>97.723722095581124</c:v>
                </c:pt>
                <c:pt idx="99">
                  <c:v>100</c:v>
                </c:pt>
                <c:pt idx="100">
                  <c:v>102.32929922807544</c:v>
                </c:pt>
                <c:pt idx="101">
                  <c:v>104.71285480508998</c:v>
                </c:pt>
                <c:pt idx="102">
                  <c:v>107.15193052376065</c:v>
                </c:pt>
                <c:pt idx="103">
                  <c:v>109.64781961431861</c:v>
                </c:pt>
                <c:pt idx="104">
                  <c:v>112.20184543019634</c:v>
                </c:pt>
                <c:pt idx="105">
                  <c:v>114.81536214968835</c:v>
                </c:pt>
                <c:pt idx="106">
                  <c:v>117.48975549395293</c:v>
                </c:pt>
                <c:pt idx="107">
                  <c:v>120.22644346174135</c:v>
                </c:pt>
                <c:pt idx="108">
                  <c:v>123.02687708123821</c:v>
                </c:pt>
                <c:pt idx="109">
                  <c:v>125.89254117941677</c:v>
                </c:pt>
                <c:pt idx="110">
                  <c:v>128.82495516931343</c:v>
                </c:pt>
                <c:pt idx="111">
                  <c:v>131.82567385564084</c:v>
                </c:pt>
                <c:pt idx="112">
                  <c:v>134.89628825916537</c:v>
                </c:pt>
                <c:pt idx="113">
                  <c:v>138.0384264602886</c:v>
                </c:pt>
                <c:pt idx="114">
                  <c:v>141.25375446227542</c:v>
                </c:pt>
                <c:pt idx="115">
                  <c:v>144.54397707459285</c:v>
                </c:pt>
                <c:pt idx="116">
                  <c:v>147.91083881682084</c:v>
                </c:pt>
                <c:pt idx="117">
                  <c:v>151.3561248436209</c:v>
                </c:pt>
                <c:pt idx="118">
                  <c:v>154.8816618912482</c:v>
                </c:pt>
                <c:pt idx="119">
                  <c:v>158.48931924611153</c:v>
                </c:pt>
                <c:pt idx="120">
                  <c:v>162.18100973589304</c:v>
                </c:pt>
                <c:pt idx="121">
                  <c:v>165.95869074375622</c:v>
                </c:pt>
                <c:pt idx="122">
                  <c:v>169.82436524617444</c:v>
                </c:pt>
                <c:pt idx="123">
                  <c:v>173.78008287493768</c:v>
                </c:pt>
                <c:pt idx="124">
                  <c:v>177.82794100389242</c:v>
                </c:pt>
                <c:pt idx="125">
                  <c:v>181.9700858609983</c:v>
                </c:pt>
                <c:pt idx="126">
                  <c:v>186.20871366628685</c:v>
                </c:pt>
                <c:pt idx="127">
                  <c:v>190.54607179632498</c:v>
                </c:pt>
                <c:pt idx="128">
                  <c:v>194.98445997580458</c:v>
                </c:pt>
                <c:pt idx="129">
                  <c:v>199.52623149688802</c:v>
                </c:pt>
                <c:pt idx="130">
                  <c:v>204.17379446695315</c:v>
                </c:pt>
                <c:pt idx="131">
                  <c:v>208.92961308540396</c:v>
                </c:pt>
                <c:pt idx="132">
                  <c:v>213.79620895022339</c:v>
                </c:pt>
                <c:pt idx="133">
                  <c:v>218.77616239495524</c:v>
                </c:pt>
                <c:pt idx="134">
                  <c:v>223.87211385683412</c:v>
                </c:pt>
                <c:pt idx="135">
                  <c:v>229.08676527677744</c:v>
                </c:pt>
                <c:pt idx="136">
                  <c:v>234.42288153199232</c:v>
                </c:pt>
                <c:pt idx="137">
                  <c:v>239.88329190194912</c:v>
                </c:pt>
                <c:pt idx="138">
                  <c:v>245.4708915685033</c:v>
                </c:pt>
                <c:pt idx="139">
                  <c:v>251.18864315095806</c:v>
                </c:pt>
                <c:pt idx="140">
                  <c:v>257.03957827688663</c:v>
                </c:pt>
                <c:pt idx="141">
                  <c:v>263.02679918953817</c:v>
                </c:pt>
                <c:pt idx="142">
                  <c:v>269.15348039269179</c:v>
                </c:pt>
                <c:pt idx="143">
                  <c:v>275.42287033381683</c:v>
                </c:pt>
                <c:pt idx="144">
                  <c:v>281.83829312644554</c:v>
                </c:pt>
                <c:pt idx="145">
                  <c:v>288.40315031266073</c:v>
                </c:pt>
                <c:pt idx="146">
                  <c:v>295.12092266663871</c:v>
                </c:pt>
                <c:pt idx="147">
                  <c:v>301.99517204020168</c:v>
                </c:pt>
                <c:pt idx="148">
                  <c:v>309.02954325135937</c:v>
                </c:pt>
                <c:pt idx="149">
                  <c:v>316.22776601683825</c:v>
                </c:pt>
                <c:pt idx="150">
                  <c:v>323.59365692962825</c:v>
                </c:pt>
                <c:pt idx="151">
                  <c:v>331.13112148259137</c:v>
                </c:pt>
                <c:pt idx="152">
                  <c:v>338.84415613920277</c:v>
                </c:pt>
                <c:pt idx="153">
                  <c:v>346.73685045253183</c:v>
                </c:pt>
                <c:pt idx="154">
                  <c:v>354.81338923357566</c:v>
                </c:pt>
                <c:pt idx="155">
                  <c:v>363.07805477010152</c:v>
                </c:pt>
                <c:pt idx="156">
                  <c:v>371.53522909717265</c:v>
                </c:pt>
                <c:pt idx="157">
                  <c:v>380.18939632056163</c:v>
                </c:pt>
                <c:pt idx="158">
                  <c:v>389.04514499428063</c:v>
                </c:pt>
                <c:pt idx="159">
                  <c:v>398.10717055349761</c:v>
                </c:pt>
                <c:pt idx="160">
                  <c:v>407.38027780411272</c:v>
                </c:pt>
                <c:pt idx="161">
                  <c:v>416.86938347033572</c:v>
                </c:pt>
                <c:pt idx="162">
                  <c:v>426.57951880159294</c:v>
                </c:pt>
                <c:pt idx="163">
                  <c:v>436.51583224016622</c:v>
                </c:pt>
                <c:pt idx="164">
                  <c:v>446.68359215096331</c:v>
                </c:pt>
                <c:pt idx="165">
                  <c:v>457.0881896148756</c:v>
                </c:pt>
                <c:pt idx="166">
                  <c:v>467.7351412871983</c:v>
                </c:pt>
                <c:pt idx="167">
                  <c:v>478.63009232263886</c:v>
                </c:pt>
                <c:pt idx="168">
                  <c:v>489.77881936844625</c:v>
                </c:pt>
                <c:pt idx="169">
                  <c:v>501.18723362727269</c:v>
                </c:pt>
                <c:pt idx="170">
                  <c:v>512.86138399136519</c:v>
                </c:pt>
                <c:pt idx="171">
                  <c:v>524.80746024977248</c:v>
                </c:pt>
                <c:pt idx="172">
                  <c:v>537.03179637025301</c:v>
                </c:pt>
                <c:pt idx="173">
                  <c:v>549.54087385762534</c:v>
                </c:pt>
                <c:pt idx="174">
                  <c:v>562.34132519034927</c:v>
                </c:pt>
                <c:pt idx="175">
                  <c:v>575.43993733715706</c:v>
                </c:pt>
                <c:pt idx="176">
                  <c:v>588.84365535558959</c:v>
                </c:pt>
                <c:pt idx="177">
                  <c:v>602.55958607435832</c:v>
                </c:pt>
                <c:pt idx="178">
                  <c:v>616.59500186148273</c:v>
                </c:pt>
                <c:pt idx="179">
                  <c:v>630.95734448019323</c:v>
                </c:pt>
                <c:pt idx="180">
                  <c:v>645.65422903465594</c:v>
                </c:pt>
                <c:pt idx="181">
                  <c:v>660.69344800759643</c:v>
                </c:pt>
                <c:pt idx="182">
                  <c:v>676.08297539198213</c:v>
                </c:pt>
                <c:pt idx="183">
                  <c:v>691.83097091893671</c:v>
                </c:pt>
                <c:pt idx="184">
                  <c:v>707.94578438413873</c:v>
                </c:pt>
                <c:pt idx="185">
                  <c:v>724.43596007499025</c:v>
                </c:pt>
                <c:pt idx="186">
                  <c:v>741.31024130091828</c:v>
                </c:pt>
                <c:pt idx="187">
                  <c:v>758.57757502918378</c:v>
                </c:pt>
                <c:pt idx="188">
                  <c:v>776.24711662869231</c:v>
                </c:pt>
                <c:pt idx="189">
                  <c:v>794.32823472428208</c:v>
                </c:pt>
                <c:pt idx="190">
                  <c:v>812.83051616409978</c:v>
                </c:pt>
                <c:pt idx="191">
                  <c:v>831.7637711026714</c:v>
                </c:pt>
                <c:pt idx="192">
                  <c:v>851.13803820237763</c:v>
                </c:pt>
                <c:pt idx="193">
                  <c:v>870.96358995608091</c:v>
                </c:pt>
                <c:pt idx="194">
                  <c:v>891.25093813374656</c:v>
                </c:pt>
                <c:pt idx="195">
                  <c:v>912.01083935590987</c:v>
                </c:pt>
                <c:pt idx="196">
                  <c:v>933.25430079699106</c:v>
                </c:pt>
                <c:pt idx="197">
                  <c:v>954.99258602143675</c:v>
                </c:pt>
                <c:pt idx="198">
                  <c:v>977.23722095581138</c:v>
                </c:pt>
                <c:pt idx="199">
                  <c:v>1000</c:v>
                </c:pt>
                <c:pt idx="200">
                  <c:v>1023.2929922807547</c:v>
                </c:pt>
                <c:pt idx="201">
                  <c:v>1047.1285480509</c:v>
                </c:pt>
                <c:pt idx="202">
                  <c:v>1071.5193052376069</c:v>
                </c:pt>
                <c:pt idx="203">
                  <c:v>1096.4781961431863</c:v>
                </c:pt>
                <c:pt idx="204">
                  <c:v>1122.0184543019636</c:v>
                </c:pt>
                <c:pt idx="205">
                  <c:v>1148.1536214968839</c:v>
                </c:pt>
                <c:pt idx="206">
                  <c:v>1174.8975549395295</c:v>
                </c:pt>
                <c:pt idx="207">
                  <c:v>1202.2644346174138</c:v>
                </c:pt>
                <c:pt idx="208">
                  <c:v>1230.2687708123824</c:v>
                </c:pt>
                <c:pt idx="209">
                  <c:v>1258.925411794168</c:v>
                </c:pt>
                <c:pt idx="210">
                  <c:v>1288.2495516931347</c:v>
                </c:pt>
                <c:pt idx="211">
                  <c:v>1318.2567385564089</c:v>
                </c:pt>
                <c:pt idx="212">
                  <c:v>1348.9628825916541</c:v>
                </c:pt>
                <c:pt idx="213">
                  <c:v>1380.3842646028863</c:v>
                </c:pt>
                <c:pt idx="214">
                  <c:v>1412.5375446227545</c:v>
                </c:pt>
                <c:pt idx="215">
                  <c:v>1445.4397707459289</c:v>
                </c:pt>
                <c:pt idx="216">
                  <c:v>1479.1083881682086</c:v>
                </c:pt>
                <c:pt idx="217">
                  <c:v>1513.5612484362093</c:v>
                </c:pt>
                <c:pt idx="218">
                  <c:v>1548.8166189124822</c:v>
                </c:pt>
                <c:pt idx="219">
                  <c:v>1584.8931924611156</c:v>
                </c:pt>
                <c:pt idx="220">
                  <c:v>1621.8100973589308</c:v>
                </c:pt>
                <c:pt idx="221">
                  <c:v>1659.5869074375626</c:v>
                </c:pt>
                <c:pt idx="222">
                  <c:v>1698.2436524617447</c:v>
                </c:pt>
                <c:pt idx="223">
                  <c:v>1737.8008287493772</c:v>
                </c:pt>
                <c:pt idx="224">
                  <c:v>1778.2794100389244</c:v>
                </c:pt>
                <c:pt idx="225">
                  <c:v>1819.7008586099832</c:v>
                </c:pt>
                <c:pt idx="226">
                  <c:v>1862.0871366628687</c:v>
                </c:pt>
                <c:pt idx="227">
                  <c:v>1905.4607179632501</c:v>
                </c:pt>
                <c:pt idx="228">
                  <c:v>1949.8445997580463</c:v>
                </c:pt>
                <c:pt idx="229">
                  <c:v>1995.2623149688804</c:v>
                </c:pt>
                <c:pt idx="230">
                  <c:v>2041.7379446695318</c:v>
                </c:pt>
                <c:pt idx="231">
                  <c:v>2089.2961308540398</c:v>
                </c:pt>
                <c:pt idx="232">
                  <c:v>2137.9620895022344</c:v>
                </c:pt>
                <c:pt idx="233">
                  <c:v>2187.7616239495528</c:v>
                </c:pt>
                <c:pt idx="234">
                  <c:v>2238.7211385683418</c:v>
                </c:pt>
                <c:pt idx="235">
                  <c:v>2290.8676527677749</c:v>
                </c:pt>
                <c:pt idx="236">
                  <c:v>2344.2288153199238</c:v>
                </c:pt>
                <c:pt idx="237">
                  <c:v>2398.8329190194918</c:v>
                </c:pt>
                <c:pt idx="238">
                  <c:v>2454.7089156850338</c:v>
                </c:pt>
                <c:pt idx="239">
                  <c:v>2511.8864315095811</c:v>
                </c:pt>
                <c:pt idx="240">
                  <c:v>2570.3957827688669</c:v>
                </c:pt>
                <c:pt idx="241">
                  <c:v>2630.2679918953822</c:v>
                </c:pt>
                <c:pt idx="242">
                  <c:v>2691.5348039269184</c:v>
                </c:pt>
                <c:pt idx="243">
                  <c:v>2754.228703338169</c:v>
                </c:pt>
                <c:pt idx="244">
                  <c:v>2818.3829312644561</c:v>
                </c:pt>
                <c:pt idx="245">
                  <c:v>2884.0315031266077</c:v>
                </c:pt>
                <c:pt idx="246">
                  <c:v>2951.2092266663876</c:v>
                </c:pt>
                <c:pt idx="247">
                  <c:v>3019.9517204020176</c:v>
                </c:pt>
                <c:pt idx="248">
                  <c:v>3090.295432513592</c:v>
                </c:pt>
                <c:pt idx="249">
                  <c:v>3162.2776601683804</c:v>
                </c:pt>
                <c:pt idx="250">
                  <c:v>3235.9365692962833</c:v>
                </c:pt>
                <c:pt idx="251">
                  <c:v>3311.3112148259115</c:v>
                </c:pt>
                <c:pt idx="252">
                  <c:v>3388.4415613920314</c:v>
                </c:pt>
                <c:pt idx="253">
                  <c:v>3467.3685045253224</c:v>
                </c:pt>
                <c:pt idx="254">
                  <c:v>3548.1338923357539</c:v>
                </c:pt>
                <c:pt idx="255">
                  <c:v>3630.7805477010188</c:v>
                </c:pt>
                <c:pt idx="256">
                  <c:v>3715.352290971724</c:v>
                </c:pt>
                <c:pt idx="257">
                  <c:v>3801.8939632056172</c:v>
                </c:pt>
                <c:pt idx="258">
                  <c:v>3890.451449942811</c:v>
                </c:pt>
                <c:pt idx="259">
                  <c:v>3981.0717055349769</c:v>
                </c:pt>
                <c:pt idx="260">
                  <c:v>4073.8027780411317</c:v>
                </c:pt>
                <c:pt idx="261">
                  <c:v>4168.6938347033583</c:v>
                </c:pt>
                <c:pt idx="262">
                  <c:v>4265.7951880159299</c:v>
                </c:pt>
                <c:pt idx="263">
                  <c:v>4365.1583224016631</c:v>
                </c:pt>
                <c:pt idx="264">
                  <c:v>4466.8359215096343</c:v>
                </c:pt>
                <c:pt idx="265">
                  <c:v>4570.8818961487532</c:v>
                </c:pt>
                <c:pt idx="266">
                  <c:v>4677.3514128719844</c:v>
                </c:pt>
                <c:pt idx="267">
                  <c:v>4786.3009232263848</c:v>
                </c:pt>
                <c:pt idx="268">
                  <c:v>4897.7881936844633</c:v>
                </c:pt>
                <c:pt idx="269">
                  <c:v>5011.8723362727324</c:v>
                </c:pt>
                <c:pt idx="270">
                  <c:v>5128.6138399136489</c:v>
                </c:pt>
                <c:pt idx="271">
                  <c:v>5248.0746024977261</c:v>
                </c:pt>
                <c:pt idx="272">
                  <c:v>5370.3179637025269</c:v>
                </c:pt>
                <c:pt idx="273">
                  <c:v>5495.4087385762541</c:v>
                </c:pt>
                <c:pt idx="274">
                  <c:v>5623.4132519034993</c:v>
                </c:pt>
                <c:pt idx="275">
                  <c:v>5754.399373371567</c:v>
                </c:pt>
                <c:pt idx="276">
                  <c:v>5888.4365535558973</c:v>
                </c:pt>
                <c:pt idx="277">
                  <c:v>6025.595860743585</c:v>
                </c:pt>
                <c:pt idx="278">
                  <c:v>6165.9500186148289</c:v>
                </c:pt>
                <c:pt idx="279">
                  <c:v>6309.5734448019384</c:v>
                </c:pt>
                <c:pt idx="280">
                  <c:v>6456.5422903465615</c:v>
                </c:pt>
                <c:pt idx="281">
                  <c:v>6606.9344800759654</c:v>
                </c:pt>
                <c:pt idx="282">
                  <c:v>6760.8297539198229</c:v>
                </c:pt>
                <c:pt idx="283">
                  <c:v>6918.3097091893687</c:v>
                </c:pt>
                <c:pt idx="284">
                  <c:v>7079.4578438413828</c:v>
                </c:pt>
                <c:pt idx="285">
                  <c:v>7244.3596007499036</c:v>
                </c:pt>
                <c:pt idx="286">
                  <c:v>7413.1024130091773</c:v>
                </c:pt>
                <c:pt idx="287">
                  <c:v>7585.7757502918394</c:v>
                </c:pt>
                <c:pt idx="288">
                  <c:v>7762.4711662869322</c:v>
                </c:pt>
                <c:pt idx="289">
                  <c:v>7943.2823472428154</c:v>
                </c:pt>
                <c:pt idx="290">
                  <c:v>8128.3051616410066</c:v>
                </c:pt>
                <c:pt idx="291">
                  <c:v>8317.6377110267094</c:v>
                </c:pt>
                <c:pt idx="292">
                  <c:v>8511.3803820237772</c:v>
                </c:pt>
                <c:pt idx="293">
                  <c:v>8709.6358995608189</c:v>
                </c:pt>
                <c:pt idx="294">
                  <c:v>8912.5093813374679</c:v>
                </c:pt>
                <c:pt idx="295">
                  <c:v>9120.1083935591087</c:v>
                </c:pt>
                <c:pt idx="296">
                  <c:v>9332.5430079699217</c:v>
                </c:pt>
                <c:pt idx="297">
                  <c:v>9549.9258602143691</c:v>
                </c:pt>
                <c:pt idx="298">
                  <c:v>9772.3722095581161</c:v>
                </c:pt>
                <c:pt idx="299">
                  <c:v>10000</c:v>
                </c:pt>
                <c:pt idx="300">
                  <c:v>10232.929922807549</c:v>
                </c:pt>
                <c:pt idx="301">
                  <c:v>10471.285480509003</c:v>
                </c:pt>
                <c:pt idx="302">
                  <c:v>10715.193052376071</c:v>
                </c:pt>
                <c:pt idx="303">
                  <c:v>10964.781961431856</c:v>
                </c:pt>
                <c:pt idx="304">
                  <c:v>11220.184543019639</c:v>
                </c:pt>
                <c:pt idx="305">
                  <c:v>11481.536214968832</c:v>
                </c:pt>
                <c:pt idx="306">
                  <c:v>11748.975549395318</c:v>
                </c:pt>
                <c:pt idx="307">
                  <c:v>12022.644346174151</c:v>
                </c:pt>
                <c:pt idx="308">
                  <c:v>12302.687708123816</c:v>
                </c:pt>
                <c:pt idx="309">
                  <c:v>12589.254117941671</c:v>
                </c:pt>
                <c:pt idx="310">
                  <c:v>12882.49551693136</c:v>
                </c:pt>
                <c:pt idx="311">
                  <c:v>13182.567385564091</c:v>
                </c:pt>
                <c:pt idx="312">
                  <c:v>13489.628825916556</c:v>
                </c:pt>
                <c:pt idx="313">
                  <c:v>13803.842646028841</c:v>
                </c:pt>
                <c:pt idx="314">
                  <c:v>14125.375446227561</c:v>
                </c:pt>
                <c:pt idx="315">
                  <c:v>14454.397707459291</c:v>
                </c:pt>
                <c:pt idx="316">
                  <c:v>14791.083881682089</c:v>
                </c:pt>
                <c:pt idx="317">
                  <c:v>15135.612484362096</c:v>
                </c:pt>
                <c:pt idx="318">
                  <c:v>15488.166189124853</c:v>
                </c:pt>
                <c:pt idx="319">
                  <c:v>15848.931924611146</c:v>
                </c:pt>
                <c:pt idx="320">
                  <c:v>16218.100973589309</c:v>
                </c:pt>
                <c:pt idx="321">
                  <c:v>16595.869074375616</c:v>
                </c:pt>
                <c:pt idx="322">
                  <c:v>16982.436524617482</c:v>
                </c:pt>
                <c:pt idx="323">
                  <c:v>17378.008287493791</c:v>
                </c:pt>
                <c:pt idx="324">
                  <c:v>17782.794100389234</c:v>
                </c:pt>
                <c:pt idx="325">
                  <c:v>18197.008586099837</c:v>
                </c:pt>
                <c:pt idx="326">
                  <c:v>18620.871366628675</c:v>
                </c:pt>
                <c:pt idx="327">
                  <c:v>19054.607179632505</c:v>
                </c:pt>
                <c:pt idx="328">
                  <c:v>19498.445997580486</c:v>
                </c:pt>
                <c:pt idx="329">
                  <c:v>19952.623149688792</c:v>
                </c:pt>
                <c:pt idx="330">
                  <c:v>20417.379446695286</c:v>
                </c:pt>
                <c:pt idx="331">
                  <c:v>20892.961308540423</c:v>
                </c:pt>
                <c:pt idx="332">
                  <c:v>21379.620895022348</c:v>
                </c:pt>
                <c:pt idx="333">
                  <c:v>21877.61623949555</c:v>
                </c:pt>
                <c:pt idx="334">
                  <c:v>22387.211385683382</c:v>
                </c:pt>
                <c:pt idx="335">
                  <c:v>22908.676527677751</c:v>
                </c:pt>
                <c:pt idx="336">
                  <c:v>23442.288153199243</c:v>
                </c:pt>
                <c:pt idx="337">
                  <c:v>23988.329190194923</c:v>
                </c:pt>
                <c:pt idx="338">
                  <c:v>24547.089156850321</c:v>
                </c:pt>
                <c:pt idx="339">
                  <c:v>25118.86431509586</c:v>
                </c:pt>
                <c:pt idx="340">
                  <c:v>25703.95782768865</c:v>
                </c:pt>
                <c:pt idx="341">
                  <c:v>26302.679918953829</c:v>
                </c:pt>
                <c:pt idx="342">
                  <c:v>26915.348039269167</c:v>
                </c:pt>
                <c:pt idx="343">
                  <c:v>27542.287033381719</c:v>
                </c:pt>
                <c:pt idx="344">
                  <c:v>28183.829312644593</c:v>
                </c:pt>
                <c:pt idx="345">
                  <c:v>28840.315031266062</c:v>
                </c:pt>
                <c:pt idx="346">
                  <c:v>29512.092266663854</c:v>
                </c:pt>
                <c:pt idx="347">
                  <c:v>30199.517204020212</c:v>
                </c:pt>
                <c:pt idx="348">
                  <c:v>30902.954325135954</c:v>
                </c:pt>
                <c:pt idx="349">
                  <c:v>31622.77660168384</c:v>
                </c:pt>
                <c:pt idx="350">
                  <c:v>32359.365692962871</c:v>
                </c:pt>
                <c:pt idx="351">
                  <c:v>33113.11214825909</c:v>
                </c:pt>
                <c:pt idx="352">
                  <c:v>33884.41561392029</c:v>
                </c:pt>
                <c:pt idx="353">
                  <c:v>34673.685045253202</c:v>
                </c:pt>
                <c:pt idx="354">
                  <c:v>35481.33892335758</c:v>
                </c:pt>
                <c:pt idx="355">
                  <c:v>36307.805477010232</c:v>
                </c:pt>
                <c:pt idx="356">
                  <c:v>37153.522909717351</c:v>
                </c:pt>
                <c:pt idx="357">
                  <c:v>38018.939632056143</c:v>
                </c:pt>
                <c:pt idx="358">
                  <c:v>38904.514499428085</c:v>
                </c:pt>
                <c:pt idx="359">
                  <c:v>39810.717055349742</c:v>
                </c:pt>
                <c:pt idx="360">
                  <c:v>40738.027780411358</c:v>
                </c:pt>
                <c:pt idx="361">
                  <c:v>41686.938347033625</c:v>
                </c:pt>
                <c:pt idx="362">
                  <c:v>42657.951880159271</c:v>
                </c:pt>
                <c:pt idx="363">
                  <c:v>43651.583224016598</c:v>
                </c:pt>
                <c:pt idx="364">
                  <c:v>44668.359215096389</c:v>
                </c:pt>
                <c:pt idx="365">
                  <c:v>45708.818961487581</c:v>
                </c:pt>
                <c:pt idx="366">
                  <c:v>46773.514128719893</c:v>
                </c:pt>
                <c:pt idx="367">
                  <c:v>47863.009232263823</c:v>
                </c:pt>
                <c:pt idx="368">
                  <c:v>48977.881936844598</c:v>
                </c:pt>
                <c:pt idx="369">
                  <c:v>50118.723362727294</c:v>
                </c:pt>
                <c:pt idx="370">
                  <c:v>51286.138399136544</c:v>
                </c:pt>
                <c:pt idx="371">
                  <c:v>52480.746024977314</c:v>
                </c:pt>
                <c:pt idx="372">
                  <c:v>53703.179637025423</c:v>
                </c:pt>
                <c:pt idx="373">
                  <c:v>54954.087385762505</c:v>
                </c:pt>
                <c:pt idx="374">
                  <c:v>56234.132519034953</c:v>
                </c:pt>
                <c:pt idx="375">
                  <c:v>57543.993733715732</c:v>
                </c:pt>
                <c:pt idx="376">
                  <c:v>58884.365535558936</c:v>
                </c:pt>
                <c:pt idx="377">
                  <c:v>60255.95860743591</c:v>
                </c:pt>
                <c:pt idx="378">
                  <c:v>61659.500186148245</c:v>
                </c:pt>
                <c:pt idx="379">
                  <c:v>63095.734448019342</c:v>
                </c:pt>
                <c:pt idx="380">
                  <c:v>64565.422903465682</c:v>
                </c:pt>
                <c:pt idx="381">
                  <c:v>66069.344800759733</c:v>
                </c:pt>
                <c:pt idx="382">
                  <c:v>67608.297539198305</c:v>
                </c:pt>
                <c:pt idx="383">
                  <c:v>69183.097091893651</c:v>
                </c:pt>
                <c:pt idx="384">
                  <c:v>70794.578438413781</c:v>
                </c:pt>
                <c:pt idx="385">
                  <c:v>72443.596007499116</c:v>
                </c:pt>
                <c:pt idx="386">
                  <c:v>74131.024130091857</c:v>
                </c:pt>
                <c:pt idx="387">
                  <c:v>75857.757502918481</c:v>
                </c:pt>
                <c:pt idx="388">
                  <c:v>77624.711662869129</c:v>
                </c:pt>
                <c:pt idx="389">
                  <c:v>79432.823472428237</c:v>
                </c:pt>
                <c:pt idx="390">
                  <c:v>81283.051616410012</c:v>
                </c:pt>
                <c:pt idx="391">
                  <c:v>83176.377110267174</c:v>
                </c:pt>
                <c:pt idx="392">
                  <c:v>85113.803820237721</c:v>
                </c:pt>
                <c:pt idx="393">
                  <c:v>87096.358995608127</c:v>
                </c:pt>
                <c:pt idx="394">
                  <c:v>89125.093813374609</c:v>
                </c:pt>
                <c:pt idx="395">
                  <c:v>91201.083935591028</c:v>
                </c:pt>
                <c:pt idx="396">
                  <c:v>93325.430079699145</c:v>
                </c:pt>
                <c:pt idx="397">
                  <c:v>95499.258602143804</c:v>
                </c:pt>
                <c:pt idx="398">
                  <c:v>97723.722095581266</c:v>
                </c:pt>
                <c:pt idx="399">
                  <c:v>100000</c:v>
                </c:pt>
                <c:pt idx="400">
                  <c:v>102329.29922807543</c:v>
                </c:pt>
                <c:pt idx="401">
                  <c:v>104712.85480508996</c:v>
                </c:pt>
                <c:pt idx="402">
                  <c:v>107151.93052376082</c:v>
                </c:pt>
                <c:pt idx="403">
                  <c:v>109647.81961431868</c:v>
                </c:pt>
                <c:pt idx="404">
                  <c:v>112201.84543019651</c:v>
                </c:pt>
                <c:pt idx="405">
                  <c:v>114815.36214968823</c:v>
                </c:pt>
                <c:pt idx="406">
                  <c:v>117489.75549395311</c:v>
                </c:pt>
                <c:pt idx="407">
                  <c:v>120226.44346174144</c:v>
                </c:pt>
                <c:pt idx="408">
                  <c:v>123026.87708123829</c:v>
                </c:pt>
                <c:pt idx="409">
                  <c:v>125892.54117941685</c:v>
                </c:pt>
                <c:pt idx="410">
                  <c:v>128824.95516931375</c:v>
                </c:pt>
                <c:pt idx="411">
                  <c:v>131825.67385564081</c:v>
                </c:pt>
                <c:pt idx="412">
                  <c:v>134896.28825916545</c:v>
                </c:pt>
                <c:pt idx="413">
                  <c:v>138038.42646028858</c:v>
                </c:pt>
                <c:pt idx="414">
                  <c:v>141253.75446227577</c:v>
                </c:pt>
                <c:pt idx="415">
                  <c:v>144543.97707459307</c:v>
                </c:pt>
                <c:pt idx="416">
                  <c:v>147910.83881682079</c:v>
                </c:pt>
                <c:pt idx="417">
                  <c:v>151356.12484362084</c:v>
                </c:pt>
                <c:pt idx="418">
                  <c:v>154881.66189124843</c:v>
                </c:pt>
                <c:pt idx="419">
                  <c:v>158489.31924611164</c:v>
                </c:pt>
                <c:pt idx="420">
                  <c:v>162181.00973589328</c:v>
                </c:pt>
                <c:pt idx="421">
                  <c:v>165958.69074375604</c:v>
                </c:pt>
                <c:pt idx="422">
                  <c:v>169824.36524617471</c:v>
                </c:pt>
                <c:pt idx="423">
                  <c:v>173780.0828749378</c:v>
                </c:pt>
                <c:pt idx="424">
                  <c:v>177827.94100389251</c:v>
                </c:pt>
                <c:pt idx="425">
                  <c:v>181970.08586099857</c:v>
                </c:pt>
                <c:pt idx="426">
                  <c:v>186208.71366628664</c:v>
                </c:pt>
                <c:pt idx="427">
                  <c:v>190546.07179632492</c:v>
                </c:pt>
                <c:pt idx="428">
                  <c:v>194984.45997580473</c:v>
                </c:pt>
                <c:pt idx="429">
                  <c:v>199526.23149688813</c:v>
                </c:pt>
                <c:pt idx="430">
                  <c:v>204173.79446695308</c:v>
                </c:pt>
                <c:pt idx="431">
                  <c:v>208929.61308540447</c:v>
                </c:pt>
                <c:pt idx="432">
                  <c:v>213796.20895022334</c:v>
                </c:pt>
                <c:pt idx="433">
                  <c:v>218776.16239495538</c:v>
                </c:pt>
                <c:pt idx="434">
                  <c:v>223872.11385683404</c:v>
                </c:pt>
                <c:pt idx="435">
                  <c:v>229086.76527677779</c:v>
                </c:pt>
                <c:pt idx="436">
                  <c:v>234422.88153199267</c:v>
                </c:pt>
                <c:pt idx="437">
                  <c:v>239883.29190194907</c:v>
                </c:pt>
                <c:pt idx="438">
                  <c:v>245470.89156850305</c:v>
                </c:pt>
                <c:pt idx="439">
                  <c:v>251188.64315095844</c:v>
                </c:pt>
                <c:pt idx="440">
                  <c:v>257039.57827688678</c:v>
                </c:pt>
                <c:pt idx="441">
                  <c:v>263026.79918953858</c:v>
                </c:pt>
                <c:pt idx="442">
                  <c:v>269153.48039269145</c:v>
                </c:pt>
                <c:pt idx="443">
                  <c:v>275422.87033381703</c:v>
                </c:pt>
                <c:pt idx="444">
                  <c:v>281838.29312644573</c:v>
                </c:pt>
                <c:pt idx="445">
                  <c:v>288403.1503126609</c:v>
                </c:pt>
                <c:pt idx="446">
                  <c:v>295120.92266663886</c:v>
                </c:pt>
                <c:pt idx="447">
                  <c:v>301995.17204020242</c:v>
                </c:pt>
                <c:pt idx="448">
                  <c:v>309029.54325135931</c:v>
                </c:pt>
                <c:pt idx="449">
                  <c:v>316227.7660168382</c:v>
                </c:pt>
                <c:pt idx="450">
                  <c:v>323593.65692962846</c:v>
                </c:pt>
                <c:pt idx="451">
                  <c:v>331131.12148259126</c:v>
                </c:pt>
                <c:pt idx="452">
                  <c:v>338844.15613920329</c:v>
                </c:pt>
                <c:pt idx="453">
                  <c:v>346736.85045253241</c:v>
                </c:pt>
                <c:pt idx="454">
                  <c:v>354813.38923357555</c:v>
                </c:pt>
                <c:pt idx="455">
                  <c:v>363078.05477010203</c:v>
                </c:pt>
                <c:pt idx="456">
                  <c:v>371535.2290971732</c:v>
                </c:pt>
                <c:pt idx="457">
                  <c:v>380189.39632056188</c:v>
                </c:pt>
                <c:pt idx="458">
                  <c:v>389045.14499428123</c:v>
                </c:pt>
                <c:pt idx="459">
                  <c:v>398107.17055349716</c:v>
                </c:pt>
                <c:pt idx="460">
                  <c:v>407380.27780411334</c:v>
                </c:pt>
                <c:pt idx="461">
                  <c:v>416869.38347033598</c:v>
                </c:pt>
                <c:pt idx="462">
                  <c:v>426579.51880159322</c:v>
                </c:pt>
                <c:pt idx="463">
                  <c:v>436515.83224016649</c:v>
                </c:pt>
                <c:pt idx="464">
                  <c:v>446683.59215096442</c:v>
                </c:pt>
                <c:pt idx="465">
                  <c:v>457088.18961487547</c:v>
                </c:pt>
                <c:pt idx="466">
                  <c:v>467735.14128719864</c:v>
                </c:pt>
                <c:pt idx="467">
                  <c:v>478630.09232263872</c:v>
                </c:pt>
                <c:pt idx="468">
                  <c:v>489778.81936844654</c:v>
                </c:pt>
                <c:pt idx="469">
                  <c:v>501187.23362727347</c:v>
                </c:pt>
                <c:pt idx="470">
                  <c:v>512861.38399136515</c:v>
                </c:pt>
                <c:pt idx="471">
                  <c:v>524807.46024977288</c:v>
                </c:pt>
                <c:pt idx="472">
                  <c:v>537031.7963702539</c:v>
                </c:pt>
                <c:pt idx="473">
                  <c:v>549540.87385762564</c:v>
                </c:pt>
                <c:pt idx="474">
                  <c:v>562341.32519035018</c:v>
                </c:pt>
                <c:pt idx="475">
                  <c:v>575439.93733715697</c:v>
                </c:pt>
                <c:pt idx="476">
                  <c:v>588843.65535558888</c:v>
                </c:pt>
                <c:pt idx="477">
                  <c:v>602559.58607435878</c:v>
                </c:pt>
                <c:pt idx="478">
                  <c:v>616595.00186148309</c:v>
                </c:pt>
                <c:pt idx="479">
                  <c:v>630957.34448019415</c:v>
                </c:pt>
                <c:pt idx="480">
                  <c:v>645654.22903465747</c:v>
                </c:pt>
                <c:pt idx="481">
                  <c:v>660693.44800759677</c:v>
                </c:pt>
                <c:pt idx="482">
                  <c:v>676082.97539198259</c:v>
                </c:pt>
                <c:pt idx="483">
                  <c:v>691830.97091893724</c:v>
                </c:pt>
                <c:pt idx="484">
                  <c:v>707945.78438413853</c:v>
                </c:pt>
                <c:pt idx="485">
                  <c:v>724435.96007499192</c:v>
                </c:pt>
                <c:pt idx="486">
                  <c:v>741310.24130091805</c:v>
                </c:pt>
                <c:pt idx="487">
                  <c:v>758577.57502918423</c:v>
                </c:pt>
                <c:pt idx="488">
                  <c:v>776247.11662869214</c:v>
                </c:pt>
                <c:pt idx="489">
                  <c:v>794328.23472428333</c:v>
                </c:pt>
                <c:pt idx="490">
                  <c:v>812830.51616410096</c:v>
                </c:pt>
                <c:pt idx="491">
                  <c:v>831763.77110267128</c:v>
                </c:pt>
                <c:pt idx="492">
                  <c:v>851138.03820237669</c:v>
                </c:pt>
                <c:pt idx="493">
                  <c:v>870963.58995608077</c:v>
                </c:pt>
                <c:pt idx="494">
                  <c:v>891250.93813374708</c:v>
                </c:pt>
                <c:pt idx="495">
                  <c:v>912010.83935591124</c:v>
                </c:pt>
                <c:pt idx="496">
                  <c:v>933254.30079699249</c:v>
                </c:pt>
                <c:pt idx="497">
                  <c:v>954992.58602143743</c:v>
                </c:pt>
                <c:pt idx="498">
                  <c:v>977237.22095581202</c:v>
                </c:pt>
                <c:pt idx="499">
                  <c:v>1000000</c:v>
                </c:pt>
                <c:pt idx="500">
                  <c:v>1023292.9922807553</c:v>
                </c:pt>
                <c:pt idx="501">
                  <c:v>1047128.5480509007</c:v>
                </c:pt>
                <c:pt idx="502">
                  <c:v>1071519.3052376076</c:v>
                </c:pt>
                <c:pt idx="503">
                  <c:v>1096478.196143186</c:v>
                </c:pt>
                <c:pt idx="504">
                  <c:v>1122018.4543019643</c:v>
                </c:pt>
                <c:pt idx="505">
                  <c:v>1148153.6214968837</c:v>
                </c:pt>
                <c:pt idx="506">
                  <c:v>1174897.5549395324</c:v>
                </c:pt>
                <c:pt idx="507">
                  <c:v>1202264.4346174158</c:v>
                </c:pt>
                <c:pt idx="508">
                  <c:v>1230268.770812382</c:v>
                </c:pt>
                <c:pt idx="509">
                  <c:v>1258925.4117941677</c:v>
                </c:pt>
                <c:pt idx="510">
                  <c:v>1288249.5516931366</c:v>
                </c:pt>
                <c:pt idx="511">
                  <c:v>1318256.7385564097</c:v>
                </c:pt>
                <c:pt idx="512">
                  <c:v>1348962.8825916562</c:v>
                </c:pt>
                <c:pt idx="513">
                  <c:v>1380384.2646028849</c:v>
                </c:pt>
                <c:pt idx="514">
                  <c:v>1412537.5446227565</c:v>
                </c:pt>
                <c:pt idx="515">
                  <c:v>1445439.7707459298</c:v>
                </c:pt>
                <c:pt idx="516">
                  <c:v>1479108.3881682095</c:v>
                </c:pt>
                <c:pt idx="517">
                  <c:v>1513561.2484362102</c:v>
                </c:pt>
                <c:pt idx="518">
                  <c:v>1548816.6189124861</c:v>
                </c:pt>
                <c:pt idx="519">
                  <c:v>1584893.1924611153</c:v>
                </c:pt>
                <c:pt idx="520">
                  <c:v>1621810.0973589318</c:v>
                </c:pt>
                <c:pt idx="521">
                  <c:v>1659586.9074375622</c:v>
                </c:pt>
                <c:pt idx="522">
                  <c:v>1698243.6524617488</c:v>
                </c:pt>
                <c:pt idx="523">
                  <c:v>1737800.8287493798</c:v>
                </c:pt>
                <c:pt idx="524">
                  <c:v>1778279.4100389241</c:v>
                </c:pt>
                <c:pt idx="525">
                  <c:v>1819700.8586099846</c:v>
                </c:pt>
                <c:pt idx="526">
                  <c:v>1862087.1366628683</c:v>
                </c:pt>
                <c:pt idx="527">
                  <c:v>1905460.7179632513</c:v>
                </c:pt>
                <c:pt idx="528">
                  <c:v>1949844.5997580495</c:v>
                </c:pt>
                <c:pt idx="529">
                  <c:v>1995262.31496888</c:v>
                </c:pt>
                <c:pt idx="530">
                  <c:v>2041737.9446695296</c:v>
                </c:pt>
                <c:pt idx="531">
                  <c:v>2089296.1308540432</c:v>
                </c:pt>
                <c:pt idx="532">
                  <c:v>2137962.0895022359</c:v>
                </c:pt>
                <c:pt idx="533">
                  <c:v>2187761.6239495561</c:v>
                </c:pt>
                <c:pt idx="534">
                  <c:v>2238721.1385683389</c:v>
                </c:pt>
                <c:pt idx="535">
                  <c:v>2290867.6527677765</c:v>
                </c:pt>
                <c:pt idx="536">
                  <c:v>2344228.8153199251</c:v>
                </c:pt>
                <c:pt idx="537">
                  <c:v>2398832.9190194933</c:v>
                </c:pt>
                <c:pt idx="538">
                  <c:v>2454708.915685033</c:v>
                </c:pt>
                <c:pt idx="539">
                  <c:v>2511886.431509587</c:v>
                </c:pt>
                <c:pt idx="540">
                  <c:v>2570395.782768866</c:v>
                </c:pt>
                <c:pt idx="541">
                  <c:v>2630267.9918953842</c:v>
                </c:pt>
              </c:numCache>
            </c:numRef>
          </c:xVal>
          <c:yVal>
            <c:numRef>
              <c:f>CCM_Loop_Modeling_Isolated!$AW$19:$AW$560</c:f>
              <c:numCache>
                <c:formatCode>0.000</c:formatCode>
                <c:ptCount val="542"/>
                <c:pt idx="0">
                  <c:v>93.796652833848754</c:v>
                </c:pt>
                <c:pt idx="1">
                  <c:v>93.779335630008774</c:v>
                </c:pt>
                <c:pt idx="2">
                  <c:v>93.761277270838207</c:v>
                </c:pt>
                <c:pt idx="3">
                  <c:v>93.742448809036972</c:v>
                </c:pt>
                <c:pt idx="4">
                  <c:v>93.722820454789883</c:v>
                </c:pt>
                <c:pt idx="5">
                  <c:v>93.702361574350221</c:v>
                </c:pt>
                <c:pt idx="6">
                  <c:v>93.681040690996028</c:v>
                </c:pt>
                <c:pt idx="7">
                  <c:v>93.658825488557596</c:v>
                </c:pt>
                <c:pt idx="8">
                  <c:v>93.635682817719243</c:v>
                </c:pt>
                <c:pt idx="9">
                  <c:v>93.611578705299706</c:v>
                </c:pt>
                <c:pt idx="10">
                  <c:v>93.586478366718183</c:v>
                </c:pt>
                <c:pt idx="11">
                  <c:v>93.560346221850992</c:v>
                </c:pt>
                <c:pt idx="12">
                  <c:v>93.533145914482873</c:v>
                </c:pt>
                <c:pt idx="13">
                  <c:v>93.504840335551251</c:v>
                </c:pt>
                <c:pt idx="14">
                  <c:v>93.475391650375443</c:v>
                </c:pt>
                <c:pt idx="15">
                  <c:v>93.444761330053723</c:v>
                </c:pt>
                <c:pt idx="16">
                  <c:v>93.412910187198236</c:v>
                </c:pt>
                <c:pt idx="17">
                  <c:v>93.379798416163709</c:v>
                </c:pt>
                <c:pt idx="18">
                  <c:v>93.345385637907142</c:v>
                </c:pt>
                <c:pt idx="19">
                  <c:v>93.309630949594975</c:v>
                </c:pt>
                <c:pt idx="20">
                  <c:v>93.27249297904892</c:v>
                </c:pt>
                <c:pt idx="21">
                  <c:v>93.233929944095308</c:v>
                </c:pt>
                <c:pt idx="22">
                  <c:v>93.193899716848165</c:v>
                </c:pt>
                <c:pt idx="23">
                  <c:v>93.152359892927706</c:v>
                </c:pt>
                <c:pt idx="24">
                  <c:v>93.109267865568739</c:v>
                </c:pt>
                <c:pt idx="25">
                  <c:v>93.064580904543988</c:v>
                </c:pt>
                <c:pt idx="26">
                  <c:v>93.018256239771873</c:v>
                </c:pt>
                <c:pt idx="27">
                  <c:v>92.970251149441452</c:v>
                </c:pt>
                <c:pt idx="28">
                  <c:v>92.920523052432088</c:v>
                </c:pt>
                <c:pt idx="29">
                  <c:v>92.869029604758566</c:v>
                </c:pt>
                <c:pt idx="30">
                  <c:v>92.815728799720759</c:v>
                </c:pt>
                <c:pt idx="31">
                  <c:v>92.760579071382082</c:v>
                </c:pt>
                <c:pt idx="32">
                  <c:v>92.703539400953971</c:v>
                </c:pt>
                <c:pt idx="33">
                  <c:v>92.644569425608722</c:v>
                </c:pt>
                <c:pt idx="34">
                  <c:v>92.583629549195592</c:v>
                </c:pt>
                <c:pt idx="35">
                  <c:v>92.520681054288417</c:v>
                </c:pt>
                <c:pt idx="36">
                  <c:v>92.455686214951299</c:v>
                </c:pt>
                <c:pt idx="37">
                  <c:v>92.388608409568405</c:v>
                </c:pt>
                <c:pt idx="38">
                  <c:v>92.31941223305148</c:v>
                </c:pt>
                <c:pt idx="39">
                  <c:v>92.248063607713235</c:v>
                </c:pt>
                <c:pt idx="40">
                  <c:v>92.174529892072954</c:v>
                </c:pt>
                <c:pt idx="41">
                  <c:v>92.098779986849152</c:v>
                </c:pt>
                <c:pt idx="42">
                  <c:v>92.020784437391129</c:v>
                </c:pt>
                <c:pt idx="43">
                  <c:v>91.940515531805403</c:v>
                </c:pt>
                <c:pt idx="44">
                  <c:v>91.857947394048324</c:v>
                </c:pt>
                <c:pt idx="45">
                  <c:v>91.773056071279399</c:v>
                </c:pt>
                <c:pt idx="46">
                  <c:v>91.685819614804629</c:v>
                </c:pt>
                <c:pt idx="47">
                  <c:v>91.596218153981766</c:v>
                </c:pt>
                <c:pt idx="48">
                  <c:v>91.504233962510554</c:v>
                </c:pt>
                <c:pt idx="49">
                  <c:v>91.409851516594102</c:v>
                </c:pt>
                <c:pt idx="50">
                  <c:v>91.313057544524952</c:v>
                </c:pt>
                <c:pt idx="51">
                  <c:v>91.213841067324907</c:v>
                </c:pt>
                <c:pt idx="52">
                  <c:v>91.112193430150853</c:v>
                </c:pt>
                <c:pt idx="53">
                  <c:v>91.008108324264398</c:v>
                </c:pt>
                <c:pt idx="54">
                  <c:v>90.901581799453908</c:v>
                </c:pt>
                <c:pt idx="55">
                  <c:v>90.792612266889194</c:v>
                </c:pt>
                <c:pt idx="56">
                  <c:v>90.681200492483583</c:v>
                </c:pt>
                <c:pt idx="57">
                  <c:v>90.567349580926816</c:v>
                </c:pt>
                <c:pt idx="58">
                  <c:v>90.451064950646554</c:v>
                </c:pt>
                <c:pt idx="59">
                  <c:v>90.332354300038432</c:v>
                </c:pt>
                <c:pt idx="60">
                  <c:v>90.211227565386224</c:v>
                </c:pt>
                <c:pt idx="61">
                  <c:v>90.087696870970547</c:v>
                </c:pt>
                <c:pt idx="62">
                  <c:v>89.961776471926242</c:v>
                </c:pt>
                <c:pt idx="63">
                  <c:v>89.833482690472977</c:v>
                </c:pt>
                <c:pt idx="64">
                  <c:v>89.702833846186763</c:v>
                </c:pt>
                <c:pt idx="65">
                  <c:v>89.569850181022574</c:v>
                </c:pt>
                <c:pt idx="66">
                  <c:v>89.43455377982508</c:v>
                </c:pt>
                <c:pt idx="67">
                  <c:v>89.296968487082268</c:v>
                </c:pt>
                <c:pt idx="68">
                  <c:v>89.157119820683377</c:v>
                </c:pt>
                <c:pt idx="69">
                  <c:v>89.015034883440336</c:v>
                </c:pt>
                <c:pt idx="70">
                  <c:v>88.870742273114161</c:v>
                </c:pt>
                <c:pt idx="71">
                  <c:v>88.724271991669198</c:v>
                </c:pt>
                <c:pt idx="72">
                  <c:v>88.575655354439419</c:v>
                </c:pt>
                <c:pt idx="73">
                  <c:v>88.424924899853806</c:v>
                </c:pt>
                <c:pt idx="74">
                  <c:v>88.272114300316176</c:v>
                </c:pt>
                <c:pt idx="75">
                  <c:v>88.117258274780284</c:v>
                </c:pt>
                <c:pt idx="76">
                  <c:v>87.960392503499648</c:v>
                </c:pt>
                <c:pt idx="77">
                  <c:v>87.801553545365906</c:v>
                </c:pt>
                <c:pt idx="78">
                  <c:v>87.640778758180147</c:v>
                </c:pt>
                <c:pt idx="79">
                  <c:v>87.4781062221318</c:v>
                </c:pt>
                <c:pt idx="80">
                  <c:v>87.313574666686662</c:v>
                </c:pt>
                <c:pt idx="81">
                  <c:v>87.147223401012639</c:v>
                </c:pt>
                <c:pt idx="82">
                  <c:v>86.979092248004761</c:v>
                </c:pt>
                <c:pt idx="83">
                  <c:v>86.809221481897538</c:v>
                </c:pt>
                <c:pt idx="84">
                  <c:v>86.637651769392335</c:v>
                </c:pt>
                <c:pt idx="85">
                  <c:v>86.464424114163819</c:v>
                </c:pt>
                <c:pt idx="86">
                  <c:v>86.289579804553938</c:v>
                </c:pt>
                <c:pt idx="87">
                  <c:v>86.113160364214011</c:v>
                </c:pt>
                <c:pt idx="88">
                  <c:v>85.935207505410858</c:v>
                </c:pt>
                <c:pt idx="89">
                  <c:v>85.755763084676516</c:v>
                </c:pt>
                <c:pt idx="90">
                  <c:v>85.574869060454901</c:v>
                </c:pt>
                <c:pt idx="91">
                  <c:v>85.392567452377108</c:v>
                </c:pt>
                <c:pt idx="92">
                  <c:v>85.208900301784936</c:v>
                </c:pt>
                <c:pt idx="93">
                  <c:v>85.023909633122059</c:v>
                </c:pt>
                <c:pt idx="94">
                  <c:v>84.837637415811727</c:v>
                </c:pt>
                <c:pt idx="95">
                  <c:v>84.650125526260382</c:v>
                </c:pt>
                <c:pt idx="96">
                  <c:v>84.461415709640718</c:v>
                </c:pt>
                <c:pt idx="97">
                  <c:v>84.271549541142576</c:v>
                </c:pt>
                <c:pt idx="98">
                  <c:v>84.080568386411073</c:v>
                </c:pt>
                <c:pt idx="99">
                  <c:v>83.888513360936088</c:v>
                </c:pt>
                <c:pt idx="100">
                  <c:v>83.695425288202188</c:v>
                </c:pt>
                <c:pt idx="101">
                  <c:v>83.501344656460347</c:v>
                </c:pt>
                <c:pt idx="102">
                  <c:v>83.306311574036556</c:v>
                </c:pt>
                <c:pt idx="103">
                  <c:v>83.110365723148448</c:v>
                </c:pt>
                <c:pt idx="104">
                  <c:v>82.913546312258006</c:v>
                </c:pt>
                <c:pt idx="105">
                  <c:v>82.715892027045129</c:v>
                </c:pt>
                <c:pt idx="106">
                  <c:v>82.517440980141984</c:v>
                </c:pt>
                <c:pt idx="107">
                  <c:v>82.318230659817175</c:v>
                </c:pt>
                <c:pt idx="108">
                  <c:v>82.118297877850637</c:v>
                </c:pt>
                <c:pt idx="109">
                  <c:v>81.917678716878299</c:v>
                </c:pt>
                <c:pt idx="110">
                  <c:v>81.716408477525576</c:v>
                </c:pt>
                <c:pt idx="111">
                  <c:v>81.514521625675826</c:v>
                </c:pt>
                <c:pt idx="112">
                  <c:v>81.31205174024376</c:v>
                </c:pt>
                <c:pt idx="113">
                  <c:v>81.109031461837816</c:v>
                </c:pt>
                <c:pt idx="114">
                  <c:v>80.90549244270025</c:v>
                </c:pt>
                <c:pt idx="115">
                  <c:v>80.701465298317117</c:v>
                </c:pt>
                <c:pt idx="116">
                  <c:v>80.496979561071953</c:v>
                </c:pt>
                <c:pt idx="117">
                  <c:v>80.292063636309891</c:v>
                </c:pt>
                <c:pt idx="118">
                  <c:v>80.086744761147173</c:v>
                </c:pt>
                <c:pt idx="119">
                  <c:v>79.881048966333083</c:v>
                </c:pt>
                <c:pt idx="120">
                  <c:v>79.675001041438009</c:v>
                </c:pt>
                <c:pt idx="121">
                  <c:v>79.468624503595279</c:v>
                </c:pt>
                <c:pt idx="122">
                  <c:v>79.261941569985225</c:v>
                </c:pt>
                <c:pt idx="123">
                  <c:v>79.054973134201077</c:v>
                </c:pt>
                <c:pt idx="124">
                  <c:v>78.847738746586288</c:v>
                </c:pt>
                <c:pt idx="125">
                  <c:v>78.640256598589914</c:v>
                </c:pt>
                <c:pt idx="126">
                  <c:v>78.432543511130291</c:v>
                </c:pt>
                <c:pt idx="127">
                  <c:v>78.224614926918974</c:v>
                </c:pt>
                <c:pt idx="128">
                  <c:v>78.016484906645417</c:v>
                </c:pt>
                <c:pt idx="129">
                  <c:v>77.808166128887265</c:v>
                </c:pt>
                <c:pt idx="130">
                  <c:v>77.599669893569626</c:v>
                </c:pt>
                <c:pt idx="131">
                  <c:v>77.391006128764928</c:v>
                </c:pt>
                <c:pt idx="132">
                  <c:v>77.182183400596131</c:v>
                </c:pt>
                <c:pt idx="133">
                  <c:v>76.973208925982405</c:v>
                </c:pt>
                <c:pt idx="134">
                  <c:v>76.764088587945054</c:v>
                </c:pt>
                <c:pt idx="135">
                  <c:v>76.554826953181205</c:v>
                </c:pt>
                <c:pt idx="136">
                  <c:v>76.345427291600686</c:v>
                </c:pt>
                <c:pt idx="137">
                  <c:v>76.135891597517926</c:v>
                </c:pt>
                <c:pt idx="138">
                  <c:v>75.926220612191045</c:v>
                </c:pt>
                <c:pt idx="139">
                  <c:v>75.716413847404567</c:v>
                </c:pt>
                <c:pt idx="140">
                  <c:v>75.506469609799765</c:v>
                </c:pt>
                <c:pt idx="141">
                  <c:v>75.296385025668158</c:v>
                </c:pt>
                <c:pt idx="142">
                  <c:v>75.086156065938411</c:v>
                </c:pt>
                <c:pt idx="143">
                  <c:v>74.87577757110347</c:v>
                </c:pt>
                <c:pt idx="144">
                  <c:v>74.665243275853257</c:v>
                </c:pt>
                <c:pt idx="145">
                  <c:v>74.454545833200555</c:v>
                </c:pt>
                <c:pt idx="146">
                  <c:v>74.2436768379076</c:v>
                </c:pt>
                <c:pt idx="147">
                  <c:v>74.032626849045087</c:v>
                </c:pt>
                <c:pt idx="148">
                  <c:v>73.82138541153904</c:v>
                </c:pt>
                <c:pt idx="149">
                  <c:v>73.609941076583709</c:v>
                </c:pt>
                <c:pt idx="150">
                  <c:v>73.398281420823025</c:v>
                </c:pt>
                <c:pt idx="151">
                  <c:v>73.186393064226522</c:v>
                </c:pt>
                <c:pt idx="152">
                  <c:v>72.974261686609651</c:v>
                </c:pt>
                <c:pt idx="153">
                  <c:v>72.761872042768886</c:v>
                </c:pt>
                <c:pt idx="154">
                  <c:v>72.549207976225958</c:v>
                </c:pt>
                <c:pt idx="155">
                  <c:v>72.33625243159652</c:v>
                </c:pt>
                <c:pt idx="156">
                  <c:v>72.122987465616774</c:v>
                </c:pt>
                <c:pt idx="157">
                  <c:v>71.909394256882351</c:v>
                </c:pt>
                <c:pt idx="158">
                  <c:v>71.695453114373805</c:v>
                </c:pt>
                <c:pt idx="159">
                  <c:v>71.481143484856659</c:v>
                </c:pt>
                <c:pt idx="160">
                  <c:v>71.26644395926337</c:v>
                </c:pt>
                <c:pt idx="161">
                  <c:v>71.051332278180737</c:v>
                </c:pt>
                <c:pt idx="162">
                  <c:v>70.835785336577374</c:v>
                </c:pt>
                <c:pt idx="163">
                  <c:v>70.619779187925403</c:v>
                </c:pt>
                <c:pt idx="164">
                  <c:v>70.403289047877649</c:v>
                </c:pt>
                <c:pt idx="165">
                  <c:v>70.186289297679409</c:v>
                </c:pt>
                <c:pt idx="166">
                  <c:v>69.968753487501402</c:v>
                </c:pt>
                <c:pt idx="167">
                  <c:v>69.750654339893075</c:v>
                </c:pt>
                <c:pt idx="168">
                  <c:v>69.531963753566259</c:v>
                </c:pt>
                <c:pt idx="169">
                  <c:v>69.312652807725826</c:v>
                </c:pt>
                <c:pt idx="170">
                  <c:v>69.092691767174614</c:v>
                </c:pt>
                <c:pt idx="171">
                  <c:v>68.872050088426889</c:v>
                </c:pt>
                <c:pt idx="172">
                  <c:v>68.65069642706986</c:v>
                </c:pt>
                <c:pt idx="173">
                  <c:v>68.428598646620259</c:v>
                </c:pt>
                <c:pt idx="174">
                  <c:v>68.205723829125432</c:v>
                </c:pt>
                <c:pt idx="175">
                  <c:v>67.982038287762009</c:v>
                </c:pt>
                <c:pt idx="176">
                  <c:v>67.757507581689239</c:v>
                </c:pt>
                <c:pt idx="177">
                  <c:v>67.532096533408733</c:v>
                </c:pt>
                <c:pt idx="178">
                  <c:v>67.305769248887472</c:v>
                </c:pt>
                <c:pt idx="179">
                  <c:v>67.078489140691687</c:v>
                </c:pt>
                <c:pt idx="180">
                  <c:v>66.850218954378875</c:v>
                </c:pt>
                <c:pt idx="181">
                  <c:v>66.620920798381619</c:v>
                </c:pt>
                <c:pt idx="182">
                  <c:v>66.390556177612737</c:v>
                </c:pt>
                <c:pt idx="183">
                  <c:v>66.159086031004108</c:v>
                </c:pt>
                <c:pt idx="184">
                  <c:v>65.926470773177911</c:v>
                </c:pt>
                <c:pt idx="185">
                  <c:v>65.692670340430396</c:v>
                </c:pt>
                <c:pt idx="186">
                  <c:v>65.457644241184568</c:v>
                </c:pt>
                <c:pt idx="187">
                  <c:v>65.221351611047268</c:v>
                </c:pt>
                <c:pt idx="188">
                  <c:v>64.98375127257377</c:v>
                </c:pt>
                <c:pt idx="189">
                  <c:v>64.7448017998137</c:v>
                </c:pt>
                <c:pt idx="190">
                  <c:v>64.504461587676502</c:v>
                </c:pt>
                <c:pt idx="191">
                  <c:v>64.262688926117477</c:v>
                </c:pt>
                <c:pt idx="192">
                  <c:v>64.019442079101552</c:v>
                </c:pt>
                <c:pt idx="193">
                  <c:v>63.774679368260728</c:v>
                </c:pt>
                <c:pt idx="194">
                  <c:v>63.528359261111135</c:v>
                </c:pt>
                <c:pt idx="195">
                  <c:v>63.280440463648404</c:v>
                </c:pt>
                <c:pt idx="196">
                  <c:v>63.030882017086761</c:v>
                </c:pt>
                <c:pt idx="197">
                  <c:v>62.779643398455704</c:v>
                </c:pt>
                <c:pt idx="198">
                  <c:v>62.526684624712843</c:v>
                </c:pt>
                <c:pt idx="199">
                  <c:v>62.271966359978926</c:v>
                </c:pt>
                <c:pt idx="200">
                  <c:v>62.015450025445048</c:v>
                </c:pt>
                <c:pt idx="201">
                  <c:v>61.757097911452838</c:v>
                </c:pt>
                <c:pt idx="202">
                  <c:v>61.496873291193815</c:v>
                </c:pt>
                <c:pt idx="203">
                  <c:v>61.234740535431584</c:v>
                </c:pt>
                <c:pt idx="204">
                  <c:v>60.970665227601572</c:v>
                </c:pt>
                <c:pt idx="205">
                  <c:v>60.704614278609156</c:v>
                </c:pt>
                <c:pt idx="206">
                  <c:v>60.436556040610043</c:v>
                </c:pt>
                <c:pt idx="207">
                  <c:v>60.166460419032461</c:v>
                </c:pt>
                <c:pt idx="208">
                  <c:v>59.894298982079803</c:v>
                </c:pt>
                <c:pt idx="209">
                  <c:v>59.620045066941245</c:v>
                </c:pt>
                <c:pt idx="210">
                  <c:v>59.343673881936056</c:v>
                </c:pt>
                <c:pt idx="211">
                  <c:v>59.065162603821747</c:v>
                </c:pt>
                <c:pt idx="212">
                  <c:v>58.784490469513045</c:v>
                </c:pt>
                <c:pt idx="213">
                  <c:v>58.501638861483414</c:v>
                </c:pt>
                <c:pt idx="214">
                  <c:v>58.216591386155528</c:v>
                </c:pt>
                <c:pt idx="215">
                  <c:v>57.92933394463175</c:v>
                </c:pt>
                <c:pt idx="216">
                  <c:v>57.639854795167516</c:v>
                </c:pt>
                <c:pt idx="217">
                  <c:v>57.348144606853715</c:v>
                </c:pt>
                <c:pt idx="218">
                  <c:v>57.054196504041911</c:v>
                </c:pt>
                <c:pt idx="219">
                  <c:v>56.758006101122938</c:v>
                </c:pt>
                <c:pt idx="220">
                  <c:v>56.45957152735204</c:v>
                </c:pt>
                <c:pt idx="221">
                  <c:v>56.158893441497156</c:v>
                </c:pt>
                <c:pt idx="222">
                  <c:v>55.855975036179053</c:v>
                </c:pt>
                <c:pt idx="223">
                  <c:v>55.550822031864001</c:v>
                </c:pt>
                <c:pt idx="224">
                  <c:v>55.243442660555438</c:v>
                </c:pt>
                <c:pt idx="225">
                  <c:v>54.93384763933183</c:v>
                </c:pt>
                <c:pt idx="226">
                  <c:v>54.622050133954346</c:v>
                </c:pt>
                <c:pt idx="227">
                  <c:v>54.308065712863687</c:v>
                </c:pt>
                <c:pt idx="228">
                  <c:v>53.991912291954463</c:v>
                </c:pt>
                <c:pt idx="229">
                  <c:v>53.673610070598379</c:v>
                </c:pt>
                <c:pt idx="230">
                  <c:v>53.3531814594458</c:v>
                </c:pt>
                <c:pt idx="231">
                  <c:v>53.03065100059689</c:v>
                </c:pt>
                <c:pt idx="232">
                  <c:v>52.706045280782156</c:v>
                </c:pt>
                <c:pt idx="233">
                  <c:v>52.379392838233017</c:v>
                </c:pt>
                <c:pt idx="234">
                  <c:v>52.050724063950213</c:v>
                </c:pt>
                <c:pt idx="235">
                  <c:v>51.720071098103631</c:v>
                </c:pt>
                <c:pt idx="236">
                  <c:v>51.387467722304443</c:v>
                </c:pt>
                <c:pt idx="237">
                  <c:v>51.052949248494315</c:v>
                </c:pt>
                <c:pt idx="238">
                  <c:v>50.716552405188224</c:v>
                </c:pt>
                <c:pt idx="239">
                  <c:v>50.378315221795241</c:v>
                </c:pt>
                <c:pt idx="240">
                  <c:v>50.038276911714092</c:v>
                </c:pt>
                <c:pt idx="241">
                  <c:v>49.696477754874451</c:v>
                </c:pt>
                <c:pt idx="242">
                  <c:v>49.352958980358189</c:v>
                </c:pt>
                <c:pt idx="243">
                  <c:v>49.007762649691308</c:v>
                </c:pt>
                <c:pt idx="244">
                  <c:v>48.660931541356575</c:v>
                </c:pt>
                <c:pt idx="245">
                  <c:v>48.312509037023979</c:v>
                </c:pt>
                <c:pt idx="246">
                  <c:v>47.962539009949253</c:v>
                </c:pt>
                <c:pt idx="247">
                  <c:v>47.611065715934529</c:v>
                </c:pt>
                <c:pt idx="248">
                  <c:v>47.258133687197954</c:v>
                </c:pt>
                <c:pt idx="249">
                  <c:v>46.903787629440494</c:v>
                </c:pt>
                <c:pt idx="250">
                  <c:v>46.548072322352255</c:v>
                </c:pt>
                <c:pt idx="251">
                  <c:v>46.191032523748319</c:v>
                </c:pt>
                <c:pt idx="252">
                  <c:v>45.83271287747781</c:v>
                </c:pt>
                <c:pt idx="253">
                  <c:v>45.473157825205625</c:v>
                </c:pt>
                <c:pt idx="254">
                  <c:v>45.112411522125726</c:v>
                </c:pt>
                <c:pt idx="255">
                  <c:v>44.750517756627175</c:v>
                </c:pt>
                <c:pt idx="256">
                  <c:v>44.387519873903585</c:v>
                </c:pt>
                <c:pt idx="257">
                  <c:v>44.023460703461495</c:v>
                </c:pt>
                <c:pt idx="258">
                  <c:v>43.6583824904693</c:v>
                </c:pt>
                <c:pt idx="259">
                  <c:v>43.292326830856723</c:v>
                </c:pt>
                <c:pt idx="260">
                  <c:v>42.925334610068674</c:v>
                </c:pt>
                <c:pt idx="261">
                  <c:v>42.557445945361685</c:v>
                </c:pt>
                <c:pt idx="262">
                  <c:v>42.188700131524747</c:v>
                </c:pt>
                <c:pt idx="263">
                  <c:v>41.81913558990621</c:v>
                </c:pt>
                <c:pt idx="264">
                  <c:v>41.4487898206267</c:v>
                </c:pt>
                <c:pt idx="265">
                  <c:v>41.077699357865356</c:v>
                </c:pt>
                <c:pt idx="266">
                  <c:v>40.705899728114716</c:v>
                </c:pt>
                <c:pt idx="267">
                  <c:v>40.3334254113092</c:v>
                </c:pt>
                <c:pt idx="268">
                  <c:v>39.960309804750679</c:v>
                </c:pt>
                <c:pt idx="269">
                  <c:v>39.586585189765032</c:v>
                </c:pt>
                <c:pt idx="270">
                  <c:v>39.212282701046966</c:v>
                </c:pt>
                <c:pt idx="271">
                  <c:v>38.837432298667295</c:v>
                </c:pt>
                <c:pt idx="272">
                  <c:v>38.462062742737906</c:v>
                </c:pt>
                <c:pt idx="273">
                  <c:v>38.086201570750276</c:v>
                </c:pt>
                <c:pt idx="274">
                  <c:v>37.70987507762235</c:v>
                </c:pt>
                <c:pt idx="275">
                  <c:v>37.333108298512897</c:v>
                </c:pt>
                <c:pt idx="276">
                  <c:v>36.955924994472824</c:v>
                </c:pt>
                <c:pt idx="277">
                  <c:v>36.578347641028664</c:v>
                </c:pt>
                <c:pt idx="278">
                  <c:v>36.200397419798954</c:v>
                </c:pt>
                <c:pt idx="279">
                  <c:v>35.822094213261543</c:v>
                </c:pt>
                <c:pt idx="280">
                  <c:v>35.443456602794861</c:v>
                </c:pt>
                <c:pt idx="281">
                  <c:v>35.064501870119486</c:v>
                </c:pt>
                <c:pt idx="282">
                  <c:v>34.685246002268585</c:v>
                </c:pt>
                <c:pt idx="283">
                  <c:v>34.305703700208994</c:v>
                </c:pt>
                <c:pt idx="284">
                  <c:v>33.925888391227083</c:v>
                </c:pt>
                <c:pt idx="285">
                  <c:v>33.545812245177672</c:v>
                </c:pt>
                <c:pt idx="286">
                  <c:v>33.165486194678031</c:v>
                </c:pt>
                <c:pt idx="287">
                  <c:v>32.784919959302918</c:v>
                </c:pt>
                <c:pt idx="288">
                  <c:v>32.404122073811465</c:v>
                </c:pt>
                <c:pt idx="289">
                  <c:v>32.023099920402551</c:v>
                </c:pt>
                <c:pt idx="290">
                  <c:v>31.641859764961971</c:v>
                </c:pt>
                <c:pt idx="291">
                  <c:v>31.260406797224604</c:v>
                </c:pt>
                <c:pt idx="292">
                  <c:v>30.878745174734728</c:v>
                </c:pt>
                <c:pt idx="293">
                  <c:v>30.496878070446524</c:v>
                </c:pt>
                <c:pt idx="294">
                  <c:v>30.114807723761263</c:v>
                </c:pt>
                <c:pt idx="295">
                  <c:v>29.732535494756803</c:v>
                </c:pt>
                <c:pt idx="296">
                  <c:v>29.350061921323629</c:v>
                </c:pt>
                <c:pt idx="297">
                  <c:v>28.967386778880368</c:v>
                </c:pt>
                <c:pt idx="298">
                  <c:v>28.584509142306246</c:v>
                </c:pt>
                <c:pt idx="299">
                  <c:v>28.201427449696471</c:v>
                </c:pt>
                <c:pt idx="300">
                  <c:v>27.818139567515129</c:v>
                </c:pt>
                <c:pt idx="301">
                  <c:v>27.434642856702567</c:v>
                </c:pt>
                <c:pt idx="302">
                  <c:v>27.050934239271808</c:v>
                </c:pt>
                <c:pt idx="303">
                  <c:v>26.667010264924986</c:v>
                </c:pt>
                <c:pt idx="304">
                  <c:v>26.28286717721106</c:v>
                </c:pt>
                <c:pt idx="305">
                  <c:v>25.898500978755266</c:v>
                </c:pt>
                <c:pt idx="306">
                  <c:v>25.513907495096593</c:v>
                </c:pt>
                <c:pt idx="307">
                  <c:v>25.129082436691643</c:v>
                </c:pt>
                <c:pt idx="308">
                  <c:v>24.744021458660374</c:v>
                </c:pt>
                <c:pt idx="309">
                  <c:v>24.358720217886752</c:v>
                </c:pt>
                <c:pt idx="310">
                  <c:v>23.973174427114113</c:v>
                </c:pt>
                <c:pt idx="311">
                  <c:v>23.587379905720173</c:v>
                </c:pt>
                <c:pt idx="312">
                  <c:v>23.201332626895535</c:v>
                </c:pt>
                <c:pt idx="313">
                  <c:v>22.815028760998626</c:v>
                </c:pt>
                <c:pt idx="314">
                  <c:v>22.428464714904042</c:v>
                </c:pt>
                <c:pt idx="315">
                  <c:v>22.041637167213878</c:v>
                </c:pt>
                <c:pt idx="316">
                  <c:v>21.654543099246023</c:v>
                </c:pt>
                <c:pt idx="317">
                  <c:v>21.267179821764216</c:v>
                </c:pt>
                <c:pt idx="318">
                  <c:v>20.879544997461394</c:v>
                </c:pt>
                <c:pt idx="319">
                  <c:v>20.491636659247106</c:v>
                </c:pt>
                <c:pt idx="320">
                  <c:v>20.103453224437121</c:v>
                </c:pt>
                <c:pt idx="321">
                  <c:v>19.714993504975197</c:v>
                </c:pt>
                <c:pt idx="322">
                  <c:v>19.326256713853205</c:v>
                </c:pt>
                <c:pt idx="323">
                  <c:v>18.937242467925305</c:v>
                </c:pt>
                <c:pt idx="324">
                  <c:v>18.547950787332127</c:v>
                </c:pt>
                <c:pt idx="325">
                  <c:v>18.158382091779007</c:v>
                </c:pt>
                <c:pt idx="326">
                  <c:v>17.768537193918341</c:v>
                </c:pt>
                <c:pt idx="327">
                  <c:v>17.378417290105372</c:v>
                </c:pt>
                <c:pt idx="328">
                  <c:v>16.988023948797611</c:v>
                </c:pt>
                <c:pt idx="329">
                  <c:v>16.597359096873809</c:v>
                </c:pt>
                <c:pt idx="330">
                  <c:v>16.206425004148937</c:v>
                </c:pt>
                <c:pt idx="331">
                  <c:v>15.815224266350327</c:v>
                </c:pt>
                <c:pt idx="332">
                  <c:v>15.423759786822739</c:v>
                </c:pt>
                <c:pt idx="333">
                  <c:v>15.032034757211232</c:v>
                </c:pt>
                <c:pt idx="334">
                  <c:v>14.640052637363461</c:v>
                </c:pt>
                <c:pt idx="335">
                  <c:v>14.247817134678552</c:v>
                </c:pt>
                <c:pt idx="336">
                  <c:v>13.855332183112969</c:v>
                </c:pt>
                <c:pt idx="337">
                  <c:v>13.462601922037781</c:v>
                </c:pt>
                <c:pt idx="338">
                  <c:v>13.069630675125101</c:v>
                </c:pt>
                <c:pt idx="339">
                  <c:v>12.676422929425925</c:v>
                </c:pt>
                <c:pt idx="340">
                  <c:v>12.282983314778868</c:v>
                </c:pt>
                <c:pt idx="341">
                  <c:v>11.889316583678022</c:v>
                </c:pt>
                <c:pt idx="342">
                  <c:v>11.495427591707713</c:v>
                </c:pt>
                <c:pt idx="343">
                  <c:v>11.10132127863656</c:v>
                </c:pt>
                <c:pt idx="344">
                  <c:v>10.707002650247556</c:v>
                </c:pt>
                <c:pt idx="345">
                  <c:v>10.31247676096732</c:v>
                </c:pt>
                <c:pt idx="346">
                  <c:v>9.9177486973407252</c:v>
                </c:pt>
                <c:pt idx="347">
                  <c:v>9.5228235623916611</c:v>
                </c:pt>
                <c:pt idx="348">
                  <c:v>9.1277064608868219</c:v>
                </c:pt>
                <c:pt idx="349">
                  <c:v>8.7324024855236999</c:v>
                </c:pt>
                <c:pt idx="350">
                  <c:v>8.3369167040417924</c:v>
                </c:pt>
                <c:pt idx="351">
                  <c:v>7.9412541472554965</c:v>
                </c:pt>
                <c:pt idx="352">
                  <c:v>7.5454197979958968</c:v>
                </c:pt>
                <c:pt idx="353">
                  <c:v>7.1494185809445066</c:v>
                </c:pt>
                <c:pt idx="354">
                  <c:v>6.7532553533333859</c:v>
                </c:pt>
                <c:pt idx="355">
                  <c:v>6.3569348964878278</c:v>
                </c:pt>
                <c:pt idx="356">
                  <c:v>5.9604619081741337</c:v>
                </c:pt>
                <c:pt idx="357">
                  <c:v>5.5638409957221393</c:v>
                </c:pt>
                <c:pt idx="358">
                  <c:v>5.1670766698842225</c:v>
                </c:pt>
                <c:pt idx="359">
                  <c:v>4.7701733393900261</c:v>
                </c:pt>
                <c:pt idx="360">
                  <c:v>4.3731353061583658</c:v>
                </c:pt>
                <c:pt idx="361">
                  <c:v>3.9759667611263239</c:v>
                </c:pt>
                <c:pt idx="362">
                  <c:v>3.578671780651578</c:v>
                </c:pt>
                <c:pt idx="363">
                  <c:v>3.1812543234502138</c:v>
                </c:pt>
                <c:pt idx="364">
                  <c:v>2.7837182280272419</c:v>
                </c:pt>
                <c:pt idx="365">
                  <c:v>2.3860672105613014</c:v>
                </c:pt>
                <c:pt idx="366">
                  <c:v>1.9883048632028206</c:v>
                </c:pt>
                <c:pt idx="367">
                  <c:v>1.5904346527517874</c:v>
                </c:pt>
                <c:pt idx="368">
                  <c:v>1.1924599196722632</c:v>
                </c:pt>
                <c:pt idx="369">
                  <c:v>0.79438387741602012</c:v>
                </c:pt>
                <c:pt idx="370">
                  <c:v>0.39620961201527483</c:v>
                </c:pt>
                <c:pt idx="371">
                  <c:v>-2.059918083618197E-3</c:v>
                </c:pt>
                <c:pt idx="372">
                  <c:v>-0.40042188197924544</c:v>
                </c:pt>
                <c:pt idx="373">
                  <c:v>-0.79887357609170717</c:v>
                </c:pt>
                <c:pt idx="374">
                  <c:v>-1.1974124237891939</c:v>
                </c:pt>
                <c:pt idx="375">
                  <c:v>-1.5960359748865032</c:v>
                </c:pt>
                <c:pt idx="376">
                  <c:v>-1.9947419050421562</c:v>
                </c:pt>
                <c:pt idx="377">
                  <c:v>-2.3935280150760687</c:v>
                </c:pt>
                <c:pt idx="378">
                  <c:v>-2.7923922302291757</c:v>
                </c:pt>
                <c:pt idx="379">
                  <c:v>-3.1913325993865556</c:v>
                </c:pt>
                <c:pt idx="380">
                  <c:v>-3.5903472942805781</c:v>
                </c:pt>
                <c:pt idx="381">
                  <c:v>-3.9894346086937778</c:v>
                </c:pt>
                <c:pt idx="382">
                  <c:v>-4.388592957677055</c:v>
                </c:pt>
                <c:pt idx="383">
                  <c:v>-4.787820876798289</c:v>
                </c:pt>
                <c:pt idx="384">
                  <c:v>-5.1871170214365687</c:v>
                </c:pt>
                <c:pt idx="385">
                  <c:v>-5.5864801661340593</c:v>
                </c:pt>
                <c:pt idx="386">
                  <c:v>-5.9859092040197295</c:v>
                </c:pt>
                <c:pt idx="387">
                  <c:v>-6.3854031463146921</c:v>
                </c:pt>
                <c:pt idx="388">
                  <c:v>-6.7849611219322572</c:v>
                </c:pt>
                <c:pt idx="389">
                  <c:v>-7.1845823771810959</c:v>
                </c:pt>
                <c:pt idx="390">
                  <c:v>-7.5842662755815402</c:v>
                </c:pt>
                <c:pt idx="391">
                  <c:v>-7.9840122978050365</c:v>
                </c:pt>
                <c:pt idx="392">
                  <c:v>-8.3838200417446824</c:v>
                </c:pt>
                <c:pt idx="393">
                  <c:v>-8.7836892227246324</c:v>
                </c:pt>
                <c:pt idx="394">
                  <c:v>-9.1836196738563096</c:v>
                </c:pt>
                <c:pt idx="395">
                  <c:v>-9.5836113465501001</c:v>
                </c:pt>
                <c:pt idx="396">
                  <c:v>-9.9836643111869243</c:v>
                </c:pt>
                <c:pt idx="397">
                  <c:v>-10.383778757959341</c:v>
                </c:pt>
                <c:pt idx="398">
                  <c:v>-10.783954997887463</c:v>
                </c:pt>
                <c:pt idx="399">
                  <c:v>-11.184193464015873</c:v>
                </c:pt>
                <c:pt idx="400">
                  <c:v>-11.584494712798946</c:v>
                </c:pt>
                <c:pt idx="401">
                  <c:v>-11.984859425679682</c:v>
                </c:pt>
                <c:pt idx="402">
                  <c:v>-12.385288410869375</c:v>
                </c:pt>
                <c:pt idx="403">
                  <c:v>-12.785782605332949</c:v>
                </c:pt>
                <c:pt idx="404">
                  <c:v>-13.186343076987834</c:v>
                </c:pt>
                <c:pt idx="405">
                  <c:v>-13.586971027120073</c:v>
                </c:pt>
                <c:pt idx="406">
                  <c:v>-13.987667793026649</c:v>
                </c:pt>
                <c:pt idx="407">
                  <c:v>-14.388434850887188</c:v>
                </c:pt>
                <c:pt idx="408">
                  <c:v>-14.789273818874214</c:v>
                </c:pt>
                <c:pt idx="409">
                  <c:v>-15.190186460505789</c:v>
                </c:pt>
                <c:pt idx="410">
                  <c:v>-15.591174688248589</c:v>
                </c:pt>
                <c:pt idx="411">
                  <c:v>-15.99224056737711</c:v>
                </c:pt>
                <c:pt idx="412">
                  <c:v>-16.393386320095122</c:v>
                </c:pt>
                <c:pt idx="413">
                  <c:v>-16.794614329927466</c:v>
                </c:pt>
                <c:pt idx="414">
                  <c:v>-17.195927146386992</c:v>
                </c:pt>
                <c:pt idx="415">
                  <c:v>-17.597327489924638</c:v>
                </c:pt>
                <c:pt idx="416">
                  <c:v>-17.998818257169699</c:v>
                </c:pt>
                <c:pt idx="417">
                  <c:v>-18.400402526465889</c:v>
                </c:pt>
                <c:pt idx="418">
                  <c:v>-18.802083563711207</c:v>
                </c:pt>
                <c:pt idx="419">
                  <c:v>-19.203864828507822</c:v>
                </c:pt>
                <c:pt idx="420">
                  <c:v>-19.605749980630168</c:v>
                </c:pt>
                <c:pt idx="421">
                  <c:v>-20.007742886815944</c:v>
                </c:pt>
                <c:pt idx="422">
                  <c:v>-20.409847627889441</c:v>
                </c:pt>
                <c:pt idx="423">
                  <c:v>-20.812068506221017</c:v>
                </c:pt>
                <c:pt idx="424">
                  <c:v>-21.214410053532369</c:v>
                </c:pt>
                <c:pt idx="425">
                  <c:v>-21.616877039051055</c:v>
                </c:pt>
                <c:pt idx="426">
                  <c:v>-22.019474478022708</c:v>
                </c:pt>
                <c:pt idx="427">
                  <c:v>-22.422207640584489</c:v>
                </c:pt>
                <c:pt idx="428">
                  <c:v>-22.825082061006896</c:v>
                </c:pt>
                <c:pt idx="429">
                  <c:v>-23.22810354730948</c:v>
                </c:pt>
                <c:pt idx="430">
                  <c:v>-23.631278191249862</c:v>
                </c:pt>
                <c:pt idx="431">
                  <c:v>-24.034612378698121</c:v>
                </c:pt>
                <c:pt idx="432">
                  <c:v>-24.438112800390769</c:v>
                </c:pt>
                <c:pt idx="433">
                  <c:v>-24.841786463072872</c:v>
                </c:pt>
                <c:pt idx="434">
                  <c:v>-25.245640701026176</c:v>
                </c:pt>
                <c:pt idx="435">
                  <c:v>-25.649683187983893</c:v>
                </c:pt>
                <c:pt idx="436">
                  <c:v>-26.053921949431324</c:v>
                </c:pt>
                <c:pt idx="437">
                  <c:v>-26.458365375289183</c:v>
                </c:pt>
                <c:pt idx="438">
                  <c:v>-26.863022232976348</c:v>
                </c:pt>
                <c:pt idx="439">
                  <c:v>-27.267901680843785</c:v>
                </c:pt>
                <c:pt idx="440">
                  <c:v>-27.673013281975159</c:v>
                </c:pt>
                <c:pt idx="441">
                  <c:v>-28.078367018340884</c:v>
                </c:pt>
                <c:pt idx="442">
                  <c:v>-28.483973305295159</c:v>
                </c:pt>
                <c:pt idx="443">
                  <c:v>-28.889843006399886</c:v>
                </c:pt>
                <c:pt idx="444">
                  <c:v>-29.295987448559071</c:v>
                </c:pt>
                <c:pt idx="445">
                  <c:v>-29.702418437440123</c:v>
                </c:pt>
                <c:pt idx="446">
                  <c:v>-30.109148273161324</c:v>
                </c:pt>
                <c:pt idx="447">
                  <c:v>-30.516189766214303</c:v>
                </c:pt>
                <c:pt idx="448">
                  <c:v>-30.923556253591524</c:v>
                </c:pt>
                <c:pt idx="449">
                  <c:v>-31.33126161508152</c:v>
                </c:pt>
                <c:pt idx="450">
                  <c:v>-31.739320289692493</c:v>
                </c:pt>
                <c:pt idx="451">
                  <c:v>-32.147747292157028</c:v>
                </c:pt>
                <c:pt idx="452">
                  <c:v>-32.556558229467441</c:v>
                </c:pt>
                <c:pt idx="453">
                  <c:v>-32.965769317387213</c:v>
                </c:pt>
                <c:pt idx="454">
                  <c:v>-33.37539739687243</c:v>
                </c:pt>
                <c:pt idx="455">
                  <c:v>-33.785459950338947</c:v>
                </c:pt>
                <c:pt idx="456">
                  <c:v>-34.195975117694715</c:v>
                </c:pt>
                <c:pt idx="457">
                  <c:v>-34.606961712061597</c:v>
                </c:pt>
                <c:pt idx="458">
                  <c:v>-35.018439235090149</c:v>
                </c:pt>
                <c:pt idx="459">
                  <c:v>-35.430427891776773</c:v>
                </c:pt>
                <c:pt idx="460">
                  <c:v>-35.84294860467373</c:v>
                </c:pt>
                <c:pt idx="461">
                  <c:v>-36.256023027381353</c:v>
                </c:pt>
                <c:pt idx="462">
                  <c:v>-36.669673557201691</c:v>
                </c:pt>
                <c:pt idx="463">
                  <c:v>-37.083923346822246</c:v>
                </c:pt>
                <c:pt idx="464">
                  <c:v>-37.49879631489393</c:v>
                </c:pt>
                <c:pt idx="465">
                  <c:v>-37.914317155355391</c:v>
                </c:pt>
                <c:pt idx="466">
                  <c:v>-38.330511345349677</c:v>
                </c:pt>
                <c:pt idx="467">
                  <c:v>-38.747405151569048</c:v>
                </c:pt>
                <c:pt idx="468">
                  <c:v>-39.165025634858893</c:v>
                </c:pt>
                <c:pt idx="469">
                  <c:v>-39.583400652898618</c:v>
                </c:pt>
                <c:pt idx="470">
                  <c:v>-40.002558860778088</c:v>
                </c:pt>
                <c:pt idx="471">
                  <c:v>-40.422529709272716</c:v>
                </c:pt>
                <c:pt idx="472">
                  <c:v>-40.843343440622746</c:v>
                </c:pt>
                <c:pt idx="473">
                  <c:v>-41.265031081611525</c:v>
                </c:pt>
                <c:pt idx="474">
                  <c:v>-41.68762443373852</c:v>
                </c:pt>
                <c:pt idx="475">
                  <c:v>-42.11115606027694</c:v>
                </c:pt>
                <c:pt idx="476">
                  <c:v>-42.535659270007919</c:v>
                </c:pt>
                <c:pt idx="477">
                  <c:v>-42.961168097422458</c:v>
                </c:pt>
                <c:pt idx="478">
                  <c:v>-43.387717279187335</c:v>
                </c:pt>
                <c:pt idx="479">
                  <c:v>-43.81534222667355</c:v>
                </c:pt>
                <c:pt idx="480">
                  <c:v>-44.244078994356769</c:v>
                </c:pt>
                <c:pt idx="481">
                  <c:v>-44.673964243906603</c:v>
                </c:pt>
                <c:pt idx="482">
                  <c:v>-45.105035203797286</c:v>
                </c:pt>
                <c:pt idx="483">
                  <c:v>-45.53732962428473</c:v>
                </c:pt>
                <c:pt idx="484">
                  <c:v>-45.970885727618381</c:v>
                </c:pt>
                <c:pt idx="485">
                  <c:v>-46.405742153374554</c:v>
                </c:pt>
                <c:pt idx="486">
                  <c:v>-46.841937898826828</c:v>
                </c:pt>
                <c:pt idx="487">
                  <c:v>-47.27951225429684</c:v>
                </c:pt>
                <c:pt idx="488">
                  <c:v>-47.718504733459909</c:v>
                </c:pt>
                <c:pt idx="489">
                  <c:v>-48.15895499861967</c:v>
                </c:pt>
                <c:pt idx="490">
                  <c:v>-48.600902781001452</c:v>
                </c:pt>
                <c:pt idx="491">
                  <c:v>-49.044387796158375</c:v>
                </c:pt>
                <c:pt idx="492">
                  <c:v>-49.48944965462843</c:v>
                </c:pt>
                <c:pt idx="493">
                  <c:v>-49.936127768029237</c:v>
                </c:pt>
                <c:pt idx="494">
                  <c:v>-50.384461250827016</c:v>
                </c:pt>
                <c:pt idx="495">
                  <c:v>-50.834488818065076</c:v>
                </c:pt>
                <c:pt idx="496">
                  <c:v>-51.286248679395655</c:v>
                </c:pt>
                <c:pt idx="497">
                  <c:v>-51.739778429803849</c:v>
                </c:pt>
                <c:pt idx="498">
                  <c:v>-52.195114937472283</c:v>
                </c:pt>
                <c:pt idx="499">
                  <c:v>-52.652294229281729</c:v>
                </c:pt>
                <c:pt idx="500">
                  <c:v>-53.111351374495257</c:v>
                </c:pt>
                <c:pt idx="501">
                  <c:v>-53.572320367218644</c:v>
                </c:pt>
                <c:pt idx="502">
                  <c:v>-54.035234008275239</c:v>
                </c:pt>
                <c:pt idx="503">
                  <c:v>-54.500123787167752</c:v>
                </c:pt>
                <c:pt idx="504">
                  <c:v>-54.967019764838305</c:v>
                </c:pt>
                <c:pt idx="505">
                  <c:v>-55.435950457959478</c:v>
                </c:pt>
                <c:pt idx="506">
                  <c:v>-55.90694272551297</c:v>
                </c:pt>
                <c:pt idx="507">
                  <c:v>-56.380021658419032</c:v>
                </c:pt>
                <c:pt idx="508">
                  <c:v>-56.855210472991082</c:v>
                </c:pt>
                <c:pt idx="509">
                  <c:v>-57.332530408973753</c:v>
                </c:pt>
                <c:pt idx="510">
                  <c:v>-57.812000632917233</c:v>
                </c:pt>
                <c:pt idx="511">
                  <c:v>-58.293638147608846</c:v>
                </c:pt>
                <c:pt idx="512">
                  <c:v>-58.777457708254055</c:v>
                </c:pt>
                <c:pt idx="513">
                  <c:v>-59.263471746049412</c:v>
                </c:pt>
                <c:pt idx="514">
                  <c:v>-59.751690299744446</c:v>
                </c:pt>
                <c:pt idx="515">
                  <c:v>-60.242120955719649</c:v>
                </c:pt>
                <c:pt idx="516">
                  <c:v>-60.734768797047266</c:v>
                </c:pt>
                <c:pt idx="517">
                  <c:v>-61.229636361918111</c:v>
                </c:pt>
                <c:pt idx="518">
                  <c:v>-61.726723611740738</c:v>
                </c:pt>
                <c:pt idx="519">
                  <c:v>-62.226027909129144</c:v>
                </c:pt>
                <c:pt idx="520">
                  <c:v>-62.727544005908001</c:v>
                </c:pt>
                <c:pt idx="521">
                  <c:v>-63.231264041169425</c:v>
                </c:pt>
                <c:pt idx="522">
                  <c:v>-63.73717754932423</c:v>
                </c:pt>
                <c:pt idx="523">
                  <c:v>-64.245271477997562</c:v>
                </c:pt>
                <c:pt idx="524">
                  <c:v>-64.75553021553219</c:v>
                </c:pt>
                <c:pt idx="525">
                  <c:v>-65.267935627768651</c:v>
                </c:pt>
                <c:pt idx="526">
                  <c:v>-65.782467103700512</c:v>
                </c:pt>
                <c:pt idx="527">
                  <c:v>-66.299101609518573</c:v>
                </c:pt>
                <c:pt idx="528">
                  <c:v>-66.817813750495333</c:v>
                </c:pt>
                <c:pt idx="529">
                  <c:v>-67.338575840099267</c:v>
                </c:pt>
                <c:pt idx="530">
                  <c:v>-67.861357975672007</c:v>
                </c:pt>
                <c:pt idx="531">
                  <c:v>-68.386128119970408</c:v>
                </c:pt>
                <c:pt idx="532">
                  <c:v>-68.912852187827355</c:v>
                </c:pt>
                <c:pt idx="533">
                  <c:v>-69.441494137177585</c:v>
                </c:pt>
                <c:pt idx="534">
                  <c:v>-69.972016063668391</c:v>
                </c:pt>
                <c:pt idx="535">
                  <c:v>-70.504378298078748</c:v>
                </c:pt>
                <c:pt idx="536">
                  <c:v>-71.038539505770871</c:v>
                </c:pt>
                <c:pt idx="537">
                  <c:v>-71.574456787417958</c:v>
                </c:pt>
                <c:pt idx="538">
                  <c:v>-72.112085780264607</c:v>
                </c:pt>
                <c:pt idx="539">
                  <c:v>-72.651380759213339</c:v>
                </c:pt>
                <c:pt idx="540">
                  <c:v>-73.192294737060635</c:v>
                </c:pt>
                <c:pt idx="541">
                  <c:v>-73.734779563251379</c:v>
                </c:pt>
              </c:numCache>
            </c:numRef>
          </c:yVal>
          <c:smooth val="1"/>
          <c:extLst>
            <c:ext xmlns:c16="http://schemas.microsoft.com/office/drawing/2014/chart" uri="{C3380CC4-5D6E-409C-BE32-E72D297353CC}">
              <c16:uniqueId val="{00000000-2366-45D5-89AB-25312676E0B6}"/>
            </c:ext>
          </c:extLst>
        </c:ser>
        <c:ser>
          <c:idx val="2"/>
          <c:order val="2"/>
          <c:tx>
            <c:v>f_LP</c:v>
          </c:tx>
          <c:spPr>
            <a:ln w="38100" cmpd="sng"/>
          </c:spPr>
          <c:marker>
            <c:symbol val="x"/>
            <c:size val="7"/>
            <c:spPr>
              <a:noFill/>
            </c:spPr>
          </c:marker>
          <c:dPt>
            <c:idx val="0"/>
            <c:marker>
              <c:spPr>
                <a:noFill/>
                <a:ln w="19050">
                  <a:solidFill>
                    <a:schemeClr val="tx1"/>
                  </a:solidFill>
                </a:ln>
              </c:spPr>
            </c:marker>
            <c:bubble3D val="0"/>
            <c:extLst>
              <c:ext xmlns:c16="http://schemas.microsoft.com/office/drawing/2014/chart" uri="{C3380CC4-5D6E-409C-BE32-E72D297353CC}">
                <c16:uniqueId val="{00000001-2366-45D5-89AB-25312676E0B6}"/>
              </c:ext>
            </c:extLst>
          </c:dPt>
          <c:dLbls>
            <c:dLbl>
              <c:idx val="0"/>
              <c:tx>
                <c:rich>
                  <a:bodyPr/>
                  <a:lstStyle/>
                  <a:p>
                    <a:r>
                      <a:rPr lang="en-US" sz="1100" b="1"/>
                      <a:t>f</a:t>
                    </a:r>
                    <a:r>
                      <a:rPr lang="en-US" sz="1100" b="1" baseline="-25000"/>
                      <a:t>LP</a:t>
                    </a:r>
                    <a:endParaRPr lang="en-US" b="1" baseline="-25000"/>
                  </a:p>
                </c:rich>
              </c:tx>
              <c:dLblPos val="b"/>
              <c:showLegendKey val="0"/>
              <c:showVal val="0"/>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366-45D5-89AB-25312676E0B6}"/>
                </c:ext>
              </c:extLst>
            </c:dLbl>
            <c:spPr>
              <a:noFill/>
              <a:ln>
                <a:noFill/>
              </a:ln>
              <a:effectLst/>
            </c:spPr>
            <c:dLblPos val="b"/>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CCM_Loop_Modeling_Isolated!$O$11</c:f>
              <c:numCache>
                <c:formatCode>0</c:formatCode>
                <c:ptCount val="1"/>
                <c:pt idx="0">
                  <c:v>34.057847904438518</c:v>
                </c:pt>
              </c:numCache>
            </c:numRef>
          </c:xVal>
          <c:yVal>
            <c:numRef>
              <c:f>CCM_Loop_Modeling_Isolated!$AW$11</c:f>
              <c:numCache>
                <c:formatCode>0.000</c:formatCode>
                <c:ptCount val="1"/>
                <c:pt idx="0">
                  <c:v>91.089326143903193</c:v>
                </c:pt>
              </c:numCache>
            </c:numRef>
          </c:yVal>
          <c:smooth val="0"/>
          <c:extLst>
            <c:ext xmlns:c16="http://schemas.microsoft.com/office/drawing/2014/chart" uri="{C3380CC4-5D6E-409C-BE32-E72D297353CC}">
              <c16:uniqueId val="{00000002-2366-45D5-89AB-25312676E0B6}"/>
            </c:ext>
          </c:extLst>
        </c:ser>
        <c:ser>
          <c:idx val="3"/>
          <c:order val="3"/>
          <c:tx>
            <c:v>fz_rhp</c:v>
          </c:tx>
          <c:spPr>
            <a:ln>
              <a:solidFill>
                <a:schemeClr val="tx1"/>
              </a:solidFill>
            </a:ln>
          </c:spPr>
          <c:marker>
            <c:symbol val="circle"/>
            <c:size val="7"/>
            <c:spPr>
              <a:noFill/>
              <a:ln w="19050">
                <a:solidFill>
                  <a:schemeClr val="tx1"/>
                </a:solidFill>
              </a:ln>
            </c:spPr>
          </c:marker>
          <c:dLbls>
            <c:dLbl>
              <c:idx val="0"/>
              <c:layout>
                <c:manualLayout>
                  <c:x val="8.0501209561423519E-3"/>
                  <c:y val="-1.5493667278504181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2366-45D5-89AB-25312676E0B6}"/>
                </c:ext>
              </c:extLst>
            </c:dLbl>
            <c:spPr>
              <a:noFill/>
              <a:ln>
                <a:noFill/>
              </a:ln>
              <a:effectLst/>
            </c:spPr>
            <c:txPr>
              <a:bodyPr/>
              <a:lstStyle/>
              <a:p>
                <a:pPr>
                  <a:defRPr b="1"/>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CCM_Loop_Modeling_Isolated!$O$9</c:f>
              <c:numCache>
                <c:formatCode>0</c:formatCode>
                <c:ptCount val="1"/>
                <c:pt idx="0">
                  <c:v>9824.3792032034162</c:v>
                </c:pt>
              </c:numCache>
            </c:numRef>
          </c:xVal>
          <c:yVal>
            <c:numRef>
              <c:f>CCM_Loop_Modeling_Isolated!$AW$9</c:f>
              <c:numCache>
                <c:formatCode>0.000</c:formatCode>
                <c:ptCount val="1"/>
                <c:pt idx="0">
                  <c:v>28.49622249251501</c:v>
                </c:pt>
              </c:numCache>
            </c:numRef>
          </c:yVal>
          <c:smooth val="1"/>
          <c:extLst>
            <c:ext xmlns:c16="http://schemas.microsoft.com/office/drawing/2014/chart" uri="{C3380CC4-5D6E-409C-BE32-E72D297353CC}">
              <c16:uniqueId val="{00000004-2366-45D5-89AB-25312676E0B6}"/>
            </c:ext>
          </c:extLst>
        </c:ser>
        <c:ser>
          <c:idx val="4"/>
          <c:order val="4"/>
          <c:tx>
            <c:v>f_esr</c:v>
          </c:tx>
          <c:spPr>
            <a:ln>
              <a:noFill/>
            </a:ln>
          </c:spPr>
          <c:marker>
            <c:symbol val="circle"/>
            <c:size val="5"/>
            <c:spPr>
              <a:noFill/>
              <a:ln w="19050">
                <a:solidFill>
                  <a:schemeClr val="tx1"/>
                </a:solidFill>
              </a:ln>
            </c:spPr>
          </c:marker>
          <c:dPt>
            <c:idx val="0"/>
            <c:marker>
              <c:symbol val="circle"/>
              <c:size val="7"/>
            </c:marker>
            <c:bubble3D val="0"/>
            <c:extLst>
              <c:ext xmlns:c16="http://schemas.microsoft.com/office/drawing/2014/chart" uri="{C3380CC4-5D6E-409C-BE32-E72D297353CC}">
                <c16:uniqueId val="{00000005-2366-45D5-89AB-25312676E0B6}"/>
              </c:ext>
            </c:extLst>
          </c:dPt>
          <c:dLbls>
            <c:dLbl>
              <c:idx val="0"/>
              <c:layout>
                <c:manualLayout>
                  <c:x val="-5.990474489899654E-2"/>
                  <c:y val="-1.2457193490087108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2366-45D5-89AB-25312676E0B6}"/>
                </c:ext>
              </c:extLst>
            </c:dLbl>
            <c:spPr>
              <a:noFill/>
              <a:ln>
                <a:noFill/>
              </a:ln>
              <a:effectLst/>
            </c:spPr>
            <c:txPr>
              <a:bodyPr/>
              <a:lstStyle/>
              <a:p>
                <a:pPr>
                  <a:defRPr b="1"/>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CCM_Loop_Modeling_Isolated!$O$10</c:f>
              <c:numCache>
                <c:formatCode>0</c:formatCode>
                <c:ptCount val="1"/>
                <c:pt idx="0">
                  <c:v>15931425.734924462</c:v>
                </c:pt>
              </c:numCache>
            </c:numRef>
          </c:xVal>
          <c:yVal>
            <c:numRef>
              <c:f>CCM_Loop_Modeling_Isolated!$AW$10</c:f>
              <c:numCache>
                <c:formatCode>0.000</c:formatCode>
                <c:ptCount val="1"/>
                <c:pt idx="0">
                  <c:v>-116.52609825227333</c:v>
                </c:pt>
              </c:numCache>
            </c:numRef>
          </c:yVal>
          <c:smooth val="1"/>
          <c:extLst>
            <c:ext xmlns:c16="http://schemas.microsoft.com/office/drawing/2014/chart" uri="{C3380CC4-5D6E-409C-BE32-E72D297353CC}">
              <c16:uniqueId val="{00000006-2366-45D5-89AB-25312676E0B6}"/>
            </c:ext>
          </c:extLst>
        </c:ser>
        <c:ser>
          <c:idx val="5"/>
          <c:order val="5"/>
          <c:tx>
            <c:v>fz_ea</c:v>
          </c:tx>
          <c:marker>
            <c:symbol val="circle"/>
            <c:size val="8"/>
            <c:spPr>
              <a:noFill/>
              <a:ln w="25400">
                <a:solidFill>
                  <a:srgbClr val="00B0F0"/>
                </a:solidFill>
              </a:ln>
            </c:spPr>
          </c:marker>
          <c:dLbls>
            <c:dLbl>
              <c:idx val="0"/>
              <c:spPr/>
              <c:txPr>
                <a:bodyPr/>
                <a:lstStyle/>
                <a:p>
                  <a:pPr>
                    <a:defRPr b="1"/>
                  </a:pPr>
                  <a:endParaRPr lang="en-US"/>
                </a:p>
              </c:txPr>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2366-45D5-89AB-25312676E0B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CCM_Loop_Modeling_Isolated!$O$12</c:f>
              <c:numCache>
                <c:formatCode>General</c:formatCode>
                <c:ptCount val="1"/>
                <c:pt idx="0">
                  <c:v>137.01355293723773</c:v>
                </c:pt>
              </c:numCache>
            </c:numRef>
          </c:xVal>
          <c:yVal>
            <c:numRef>
              <c:f>CCM_Loop_Modeling_Isolated!$AW$12</c:f>
              <c:numCache>
                <c:formatCode>0.000</c:formatCode>
                <c:ptCount val="1"/>
                <c:pt idx="0">
                  <c:v>81.174796684756814</c:v>
                </c:pt>
              </c:numCache>
            </c:numRef>
          </c:yVal>
          <c:smooth val="1"/>
          <c:extLst>
            <c:ext xmlns:c16="http://schemas.microsoft.com/office/drawing/2014/chart" uri="{C3380CC4-5D6E-409C-BE32-E72D297353CC}">
              <c16:uniqueId val="{00000008-2366-45D5-89AB-25312676E0B6}"/>
            </c:ext>
          </c:extLst>
        </c:ser>
        <c:dLbls>
          <c:showLegendKey val="0"/>
          <c:showVal val="0"/>
          <c:showCatName val="0"/>
          <c:showSerName val="0"/>
          <c:showPercent val="0"/>
          <c:showBubbleSize val="0"/>
        </c:dLbls>
        <c:axId val="589404800"/>
        <c:axId val="589419264"/>
      </c:scatterChart>
      <c:scatterChart>
        <c:scatterStyle val="smoothMarker"/>
        <c:varyColors val="0"/>
        <c:ser>
          <c:idx val="1"/>
          <c:order val="1"/>
          <c:tx>
            <c:v>Phase (deg)</c:v>
          </c:tx>
          <c:spPr>
            <a:ln w="28575">
              <a:solidFill>
                <a:schemeClr val="tx1">
                  <a:lumMod val="95000"/>
                  <a:lumOff val="5000"/>
                </a:schemeClr>
              </a:solidFill>
              <a:prstDash val="sysDash"/>
            </a:ln>
          </c:spPr>
          <c:marker>
            <c:symbol val="none"/>
          </c:marker>
          <c:xVal>
            <c:numRef>
              <c:f>CCM_Loop_Modeling_Isolated!$O$19:$O$560</c:f>
              <c:numCache>
                <c:formatCode>0.00</c:formatCode>
                <c:ptCount val="542"/>
                <c:pt idx="0">
                  <c:v>10.232929922807543</c:v>
                </c:pt>
                <c:pt idx="1">
                  <c:v>10.471285480509</c:v>
                </c:pt>
                <c:pt idx="2">
                  <c:v>10.715193052376069</c:v>
                </c:pt>
                <c:pt idx="3">
                  <c:v>10.964781961431854</c:v>
                </c:pt>
                <c:pt idx="4">
                  <c:v>11.220184543019636</c:v>
                </c:pt>
                <c:pt idx="5">
                  <c:v>11.481536214968834</c:v>
                </c:pt>
                <c:pt idx="6">
                  <c:v>11.748975549395301</c:v>
                </c:pt>
                <c:pt idx="7">
                  <c:v>12.022644346174133</c:v>
                </c:pt>
                <c:pt idx="8">
                  <c:v>12.302687708123818</c:v>
                </c:pt>
                <c:pt idx="9">
                  <c:v>12.58925411794168</c:v>
                </c:pt>
                <c:pt idx="10">
                  <c:v>12.882495516931346</c:v>
                </c:pt>
                <c:pt idx="11">
                  <c:v>13.182567385564075</c:v>
                </c:pt>
                <c:pt idx="12">
                  <c:v>13.489628825916535</c:v>
                </c:pt>
                <c:pt idx="13">
                  <c:v>13.803842646028857</c:v>
                </c:pt>
                <c:pt idx="14">
                  <c:v>14.125375446227544</c:v>
                </c:pt>
                <c:pt idx="15">
                  <c:v>14.454397707459275</c:v>
                </c:pt>
                <c:pt idx="16">
                  <c:v>14.791083881682074</c:v>
                </c:pt>
                <c:pt idx="17">
                  <c:v>15.135612484362087</c:v>
                </c:pt>
                <c:pt idx="18">
                  <c:v>15.488166189124817</c:v>
                </c:pt>
                <c:pt idx="19">
                  <c:v>15.848931924611136</c:v>
                </c:pt>
                <c:pt idx="20">
                  <c:v>16.218100973589298</c:v>
                </c:pt>
                <c:pt idx="21">
                  <c:v>16.595869074375614</c:v>
                </c:pt>
                <c:pt idx="22">
                  <c:v>16.982436524617448</c:v>
                </c:pt>
                <c:pt idx="23">
                  <c:v>17.378008287493756</c:v>
                </c:pt>
                <c:pt idx="24">
                  <c:v>17.782794100389236</c:v>
                </c:pt>
                <c:pt idx="25">
                  <c:v>18.197008586099841</c:v>
                </c:pt>
                <c:pt idx="26">
                  <c:v>18.62087136662868</c:v>
                </c:pt>
                <c:pt idx="27">
                  <c:v>19.054607179632477</c:v>
                </c:pt>
                <c:pt idx="28">
                  <c:v>19.498445997580465</c:v>
                </c:pt>
                <c:pt idx="29">
                  <c:v>19.952623149688804</c:v>
                </c:pt>
                <c:pt idx="30">
                  <c:v>20.4173794466953</c:v>
                </c:pt>
                <c:pt idx="31">
                  <c:v>20.8929613085404</c:v>
                </c:pt>
                <c:pt idx="32">
                  <c:v>21.379620895022335</c:v>
                </c:pt>
                <c:pt idx="33">
                  <c:v>21.877616239495538</c:v>
                </c:pt>
                <c:pt idx="34">
                  <c:v>22.387211385683404</c:v>
                </c:pt>
                <c:pt idx="35">
                  <c:v>22.908676527677727</c:v>
                </c:pt>
                <c:pt idx="36">
                  <c:v>23.442288153199236</c:v>
                </c:pt>
                <c:pt idx="37">
                  <c:v>23.988329190194907</c:v>
                </c:pt>
                <c:pt idx="38">
                  <c:v>24.547089156850316</c:v>
                </c:pt>
                <c:pt idx="39">
                  <c:v>25.118864315095799</c:v>
                </c:pt>
                <c:pt idx="40">
                  <c:v>25.703957827688647</c:v>
                </c:pt>
                <c:pt idx="41">
                  <c:v>26.302679918953825</c:v>
                </c:pt>
                <c:pt idx="42">
                  <c:v>26.915348039269158</c:v>
                </c:pt>
                <c:pt idx="43">
                  <c:v>27.542287033381665</c:v>
                </c:pt>
                <c:pt idx="44">
                  <c:v>28.183829312644548</c:v>
                </c:pt>
                <c:pt idx="45">
                  <c:v>28.840315031266066</c:v>
                </c:pt>
                <c:pt idx="46">
                  <c:v>29.512092266663863</c:v>
                </c:pt>
                <c:pt idx="47">
                  <c:v>30.199517204020164</c:v>
                </c:pt>
                <c:pt idx="48">
                  <c:v>30.902954325135919</c:v>
                </c:pt>
                <c:pt idx="49">
                  <c:v>31.622776601683803</c:v>
                </c:pt>
                <c:pt idx="50">
                  <c:v>32.359365692962832</c:v>
                </c:pt>
                <c:pt idx="51">
                  <c:v>33.113112148259127</c:v>
                </c:pt>
                <c:pt idx="52">
                  <c:v>33.884415613920268</c:v>
                </c:pt>
                <c:pt idx="53">
                  <c:v>34.67368504525318</c:v>
                </c:pt>
                <c:pt idx="54">
                  <c:v>35.481338923357555</c:v>
                </c:pt>
                <c:pt idx="55">
                  <c:v>36.307805477010156</c:v>
                </c:pt>
                <c:pt idx="56">
                  <c:v>37.15352290971726</c:v>
                </c:pt>
                <c:pt idx="57">
                  <c:v>38.018939632056139</c:v>
                </c:pt>
                <c:pt idx="58">
                  <c:v>38.904514499428053</c:v>
                </c:pt>
                <c:pt idx="59">
                  <c:v>39.810717055349755</c:v>
                </c:pt>
                <c:pt idx="60">
                  <c:v>40.738027780411279</c:v>
                </c:pt>
                <c:pt idx="61">
                  <c:v>41.686938347033561</c:v>
                </c:pt>
                <c:pt idx="62">
                  <c:v>42.657951880159267</c:v>
                </c:pt>
                <c:pt idx="63">
                  <c:v>43.651583224016633</c:v>
                </c:pt>
                <c:pt idx="64">
                  <c:v>44.668359215096324</c:v>
                </c:pt>
                <c:pt idx="65">
                  <c:v>45.70881896148753</c:v>
                </c:pt>
                <c:pt idx="66">
                  <c:v>46.773514128719818</c:v>
                </c:pt>
                <c:pt idx="67">
                  <c:v>47.863009232263877</c:v>
                </c:pt>
                <c:pt idx="68">
                  <c:v>48.977881936844632</c:v>
                </c:pt>
                <c:pt idx="69">
                  <c:v>50.118723362727238</c:v>
                </c:pt>
                <c:pt idx="70">
                  <c:v>51.28613839913649</c:v>
                </c:pt>
                <c:pt idx="71">
                  <c:v>52.480746024977286</c:v>
                </c:pt>
                <c:pt idx="72">
                  <c:v>53.703179637025293</c:v>
                </c:pt>
                <c:pt idx="73">
                  <c:v>54.95408738576247</c:v>
                </c:pt>
                <c:pt idx="74">
                  <c:v>56.234132519034915</c:v>
                </c:pt>
                <c:pt idx="75">
                  <c:v>57.543993733715695</c:v>
                </c:pt>
                <c:pt idx="76">
                  <c:v>58.884365535558949</c:v>
                </c:pt>
                <c:pt idx="77">
                  <c:v>60.255958607435822</c:v>
                </c:pt>
                <c:pt idx="78">
                  <c:v>61.659500186148257</c:v>
                </c:pt>
                <c:pt idx="79">
                  <c:v>63.095734448019364</c:v>
                </c:pt>
                <c:pt idx="80">
                  <c:v>64.565422903465588</c:v>
                </c:pt>
                <c:pt idx="81">
                  <c:v>66.069344800759623</c:v>
                </c:pt>
                <c:pt idx="82">
                  <c:v>67.60829753919819</c:v>
                </c:pt>
                <c:pt idx="83">
                  <c:v>69.183097091893657</c:v>
                </c:pt>
                <c:pt idx="84">
                  <c:v>70.794578438413865</c:v>
                </c:pt>
                <c:pt idx="85">
                  <c:v>72.443596007499011</c:v>
                </c:pt>
                <c:pt idx="86">
                  <c:v>74.131024130091816</c:v>
                </c:pt>
                <c:pt idx="87">
                  <c:v>75.857757502918361</c:v>
                </c:pt>
                <c:pt idx="88">
                  <c:v>77.624711662869217</c:v>
                </c:pt>
                <c:pt idx="89">
                  <c:v>79.432823472428197</c:v>
                </c:pt>
                <c:pt idx="90">
                  <c:v>81.283051616409963</c:v>
                </c:pt>
                <c:pt idx="91">
                  <c:v>83.176377110267126</c:v>
                </c:pt>
                <c:pt idx="92">
                  <c:v>85.113803820237734</c:v>
                </c:pt>
                <c:pt idx="93">
                  <c:v>87.096358995608071</c:v>
                </c:pt>
                <c:pt idx="94">
                  <c:v>89.125093813374562</c:v>
                </c:pt>
                <c:pt idx="95">
                  <c:v>91.201083935590972</c:v>
                </c:pt>
                <c:pt idx="96">
                  <c:v>93.325430079699174</c:v>
                </c:pt>
                <c:pt idx="97">
                  <c:v>95.499258602143655</c:v>
                </c:pt>
                <c:pt idx="98">
                  <c:v>97.723722095581124</c:v>
                </c:pt>
                <c:pt idx="99">
                  <c:v>100</c:v>
                </c:pt>
                <c:pt idx="100">
                  <c:v>102.32929922807544</c:v>
                </c:pt>
                <c:pt idx="101">
                  <c:v>104.71285480508998</c:v>
                </c:pt>
                <c:pt idx="102">
                  <c:v>107.15193052376065</c:v>
                </c:pt>
                <c:pt idx="103">
                  <c:v>109.64781961431861</c:v>
                </c:pt>
                <c:pt idx="104">
                  <c:v>112.20184543019634</c:v>
                </c:pt>
                <c:pt idx="105">
                  <c:v>114.81536214968835</c:v>
                </c:pt>
                <c:pt idx="106">
                  <c:v>117.48975549395293</c:v>
                </c:pt>
                <c:pt idx="107">
                  <c:v>120.22644346174135</c:v>
                </c:pt>
                <c:pt idx="108">
                  <c:v>123.02687708123821</c:v>
                </c:pt>
                <c:pt idx="109">
                  <c:v>125.89254117941677</c:v>
                </c:pt>
                <c:pt idx="110">
                  <c:v>128.82495516931343</c:v>
                </c:pt>
                <c:pt idx="111">
                  <c:v>131.82567385564084</c:v>
                </c:pt>
                <c:pt idx="112">
                  <c:v>134.89628825916537</c:v>
                </c:pt>
                <c:pt idx="113">
                  <c:v>138.0384264602886</c:v>
                </c:pt>
                <c:pt idx="114">
                  <c:v>141.25375446227542</c:v>
                </c:pt>
                <c:pt idx="115">
                  <c:v>144.54397707459285</c:v>
                </c:pt>
                <c:pt idx="116">
                  <c:v>147.91083881682084</c:v>
                </c:pt>
                <c:pt idx="117">
                  <c:v>151.3561248436209</c:v>
                </c:pt>
                <c:pt idx="118">
                  <c:v>154.8816618912482</c:v>
                </c:pt>
                <c:pt idx="119">
                  <c:v>158.48931924611153</c:v>
                </c:pt>
                <c:pt idx="120">
                  <c:v>162.18100973589304</c:v>
                </c:pt>
                <c:pt idx="121">
                  <c:v>165.95869074375622</c:v>
                </c:pt>
                <c:pt idx="122">
                  <c:v>169.82436524617444</c:v>
                </c:pt>
                <c:pt idx="123">
                  <c:v>173.78008287493768</c:v>
                </c:pt>
                <c:pt idx="124">
                  <c:v>177.82794100389242</c:v>
                </c:pt>
                <c:pt idx="125">
                  <c:v>181.9700858609983</c:v>
                </c:pt>
                <c:pt idx="126">
                  <c:v>186.20871366628685</c:v>
                </c:pt>
                <c:pt idx="127">
                  <c:v>190.54607179632498</c:v>
                </c:pt>
                <c:pt idx="128">
                  <c:v>194.98445997580458</c:v>
                </c:pt>
                <c:pt idx="129">
                  <c:v>199.52623149688802</c:v>
                </c:pt>
                <c:pt idx="130">
                  <c:v>204.17379446695315</c:v>
                </c:pt>
                <c:pt idx="131">
                  <c:v>208.92961308540396</c:v>
                </c:pt>
                <c:pt idx="132">
                  <c:v>213.79620895022339</c:v>
                </c:pt>
                <c:pt idx="133">
                  <c:v>218.77616239495524</c:v>
                </c:pt>
                <c:pt idx="134">
                  <c:v>223.87211385683412</c:v>
                </c:pt>
                <c:pt idx="135">
                  <c:v>229.08676527677744</c:v>
                </c:pt>
                <c:pt idx="136">
                  <c:v>234.42288153199232</c:v>
                </c:pt>
                <c:pt idx="137">
                  <c:v>239.88329190194912</c:v>
                </c:pt>
                <c:pt idx="138">
                  <c:v>245.4708915685033</c:v>
                </c:pt>
                <c:pt idx="139">
                  <c:v>251.18864315095806</c:v>
                </c:pt>
                <c:pt idx="140">
                  <c:v>257.03957827688663</c:v>
                </c:pt>
                <c:pt idx="141">
                  <c:v>263.02679918953817</c:v>
                </c:pt>
                <c:pt idx="142">
                  <c:v>269.15348039269179</c:v>
                </c:pt>
                <c:pt idx="143">
                  <c:v>275.42287033381683</c:v>
                </c:pt>
                <c:pt idx="144">
                  <c:v>281.83829312644554</c:v>
                </c:pt>
                <c:pt idx="145">
                  <c:v>288.40315031266073</c:v>
                </c:pt>
                <c:pt idx="146">
                  <c:v>295.12092266663871</c:v>
                </c:pt>
                <c:pt idx="147">
                  <c:v>301.99517204020168</c:v>
                </c:pt>
                <c:pt idx="148">
                  <c:v>309.02954325135937</c:v>
                </c:pt>
                <c:pt idx="149">
                  <c:v>316.22776601683825</c:v>
                </c:pt>
                <c:pt idx="150">
                  <c:v>323.59365692962825</c:v>
                </c:pt>
                <c:pt idx="151">
                  <c:v>331.13112148259137</c:v>
                </c:pt>
                <c:pt idx="152">
                  <c:v>338.84415613920277</c:v>
                </c:pt>
                <c:pt idx="153">
                  <c:v>346.73685045253183</c:v>
                </c:pt>
                <c:pt idx="154">
                  <c:v>354.81338923357566</c:v>
                </c:pt>
                <c:pt idx="155">
                  <c:v>363.07805477010152</c:v>
                </c:pt>
                <c:pt idx="156">
                  <c:v>371.53522909717265</c:v>
                </c:pt>
                <c:pt idx="157">
                  <c:v>380.18939632056163</c:v>
                </c:pt>
                <c:pt idx="158">
                  <c:v>389.04514499428063</c:v>
                </c:pt>
                <c:pt idx="159">
                  <c:v>398.10717055349761</c:v>
                </c:pt>
                <c:pt idx="160">
                  <c:v>407.38027780411272</c:v>
                </c:pt>
                <c:pt idx="161">
                  <c:v>416.86938347033572</c:v>
                </c:pt>
                <c:pt idx="162">
                  <c:v>426.57951880159294</c:v>
                </c:pt>
                <c:pt idx="163">
                  <c:v>436.51583224016622</c:v>
                </c:pt>
                <c:pt idx="164">
                  <c:v>446.68359215096331</c:v>
                </c:pt>
                <c:pt idx="165">
                  <c:v>457.0881896148756</c:v>
                </c:pt>
                <c:pt idx="166">
                  <c:v>467.7351412871983</c:v>
                </c:pt>
                <c:pt idx="167">
                  <c:v>478.63009232263886</c:v>
                </c:pt>
                <c:pt idx="168">
                  <c:v>489.77881936844625</c:v>
                </c:pt>
                <c:pt idx="169">
                  <c:v>501.18723362727269</c:v>
                </c:pt>
                <c:pt idx="170">
                  <c:v>512.86138399136519</c:v>
                </c:pt>
                <c:pt idx="171">
                  <c:v>524.80746024977248</c:v>
                </c:pt>
                <c:pt idx="172">
                  <c:v>537.03179637025301</c:v>
                </c:pt>
                <c:pt idx="173">
                  <c:v>549.54087385762534</c:v>
                </c:pt>
                <c:pt idx="174">
                  <c:v>562.34132519034927</c:v>
                </c:pt>
                <c:pt idx="175">
                  <c:v>575.43993733715706</c:v>
                </c:pt>
                <c:pt idx="176">
                  <c:v>588.84365535558959</c:v>
                </c:pt>
                <c:pt idx="177">
                  <c:v>602.55958607435832</c:v>
                </c:pt>
                <c:pt idx="178">
                  <c:v>616.59500186148273</c:v>
                </c:pt>
                <c:pt idx="179">
                  <c:v>630.95734448019323</c:v>
                </c:pt>
                <c:pt idx="180">
                  <c:v>645.65422903465594</c:v>
                </c:pt>
                <c:pt idx="181">
                  <c:v>660.69344800759643</c:v>
                </c:pt>
                <c:pt idx="182">
                  <c:v>676.08297539198213</c:v>
                </c:pt>
                <c:pt idx="183">
                  <c:v>691.83097091893671</c:v>
                </c:pt>
                <c:pt idx="184">
                  <c:v>707.94578438413873</c:v>
                </c:pt>
                <c:pt idx="185">
                  <c:v>724.43596007499025</c:v>
                </c:pt>
                <c:pt idx="186">
                  <c:v>741.31024130091828</c:v>
                </c:pt>
                <c:pt idx="187">
                  <c:v>758.57757502918378</c:v>
                </c:pt>
                <c:pt idx="188">
                  <c:v>776.24711662869231</c:v>
                </c:pt>
                <c:pt idx="189">
                  <c:v>794.32823472428208</c:v>
                </c:pt>
                <c:pt idx="190">
                  <c:v>812.83051616409978</c:v>
                </c:pt>
                <c:pt idx="191">
                  <c:v>831.7637711026714</c:v>
                </c:pt>
                <c:pt idx="192">
                  <c:v>851.13803820237763</c:v>
                </c:pt>
                <c:pt idx="193">
                  <c:v>870.96358995608091</c:v>
                </c:pt>
                <c:pt idx="194">
                  <c:v>891.25093813374656</c:v>
                </c:pt>
                <c:pt idx="195">
                  <c:v>912.01083935590987</c:v>
                </c:pt>
                <c:pt idx="196">
                  <c:v>933.25430079699106</c:v>
                </c:pt>
                <c:pt idx="197">
                  <c:v>954.99258602143675</c:v>
                </c:pt>
                <c:pt idx="198">
                  <c:v>977.23722095581138</c:v>
                </c:pt>
                <c:pt idx="199">
                  <c:v>1000</c:v>
                </c:pt>
                <c:pt idx="200">
                  <c:v>1023.2929922807547</c:v>
                </c:pt>
                <c:pt idx="201">
                  <c:v>1047.1285480509</c:v>
                </c:pt>
                <c:pt idx="202">
                  <c:v>1071.5193052376069</c:v>
                </c:pt>
                <c:pt idx="203">
                  <c:v>1096.4781961431863</c:v>
                </c:pt>
                <c:pt idx="204">
                  <c:v>1122.0184543019636</c:v>
                </c:pt>
                <c:pt idx="205">
                  <c:v>1148.1536214968839</c:v>
                </c:pt>
                <c:pt idx="206">
                  <c:v>1174.8975549395295</c:v>
                </c:pt>
                <c:pt idx="207">
                  <c:v>1202.2644346174138</c:v>
                </c:pt>
                <c:pt idx="208">
                  <c:v>1230.2687708123824</c:v>
                </c:pt>
                <c:pt idx="209">
                  <c:v>1258.925411794168</c:v>
                </c:pt>
                <c:pt idx="210">
                  <c:v>1288.2495516931347</c:v>
                </c:pt>
                <c:pt idx="211">
                  <c:v>1318.2567385564089</c:v>
                </c:pt>
                <c:pt idx="212">
                  <c:v>1348.9628825916541</c:v>
                </c:pt>
                <c:pt idx="213">
                  <c:v>1380.3842646028863</c:v>
                </c:pt>
                <c:pt idx="214">
                  <c:v>1412.5375446227545</c:v>
                </c:pt>
                <c:pt idx="215">
                  <c:v>1445.4397707459289</c:v>
                </c:pt>
                <c:pt idx="216">
                  <c:v>1479.1083881682086</c:v>
                </c:pt>
                <c:pt idx="217">
                  <c:v>1513.5612484362093</c:v>
                </c:pt>
                <c:pt idx="218">
                  <c:v>1548.8166189124822</c:v>
                </c:pt>
                <c:pt idx="219">
                  <c:v>1584.8931924611156</c:v>
                </c:pt>
                <c:pt idx="220">
                  <c:v>1621.8100973589308</c:v>
                </c:pt>
                <c:pt idx="221">
                  <c:v>1659.5869074375626</c:v>
                </c:pt>
                <c:pt idx="222">
                  <c:v>1698.2436524617447</c:v>
                </c:pt>
                <c:pt idx="223">
                  <c:v>1737.8008287493772</c:v>
                </c:pt>
                <c:pt idx="224">
                  <c:v>1778.2794100389244</c:v>
                </c:pt>
                <c:pt idx="225">
                  <c:v>1819.7008586099832</c:v>
                </c:pt>
                <c:pt idx="226">
                  <c:v>1862.0871366628687</c:v>
                </c:pt>
                <c:pt idx="227">
                  <c:v>1905.4607179632501</c:v>
                </c:pt>
                <c:pt idx="228">
                  <c:v>1949.8445997580463</c:v>
                </c:pt>
                <c:pt idx="229">
                  <c:v>1995.2623149688804</c:v>
                </c:pt>
                <c:pt idx="230">
                  <c:v>2041.7379446695318</c:v>
                </c:pt>
                <c:pt idx="231">
                  <c:v>2089.2961308540398</c:v>
                </c:pt>
                <c:pt idx="232">
                  <c:v>2137.9620895022344</c:v>
                </c:pt>
                <c:pt idx="233">
                  <c:v>2187.7616239495528</c:v>
                </c:pt>
                <c:pt idx="234">
                  <c:v>2238.7211385683418</c:v>
                </c:pt>
                <c:pt idx="235">
                  <c:v>2290.8676527677749</c:v>
                </c:pt>
                <c:pt idx="236">
                  <c:v>2344.2288153199238</c:v>
                </c:pt>
                <c:pt idx="237">
                  <c:v>2398.8329190194918</c:v>
                </c:pt>
                <c:pt idx="238">
                  <c:v>2454.7089156850338</c:v>
                </c:pt>
                <c:pt idx="239">
                  <c:v>2511.8864315095811</c:v>
                </c:pt>
                <c:pt idx="240">
                  <c:v>2570.3957827688669</c:v>
                </c:pt>
                <c:pt idx="241">
                  <c:v>2630.2679918953822</c:v>
                </c:pt>
                <c:pt idx="242">
                  <c:v>2691.5348039269184</c:v>
                </c:pt>
                <c:pt idx="243">
                  <c:v>2754.228703338169</c:v>
                </c:pt>
                <c:pt idx="244">
                  <c:v>2818.3829312644561</c:v>
                </c:pt>
                <c:pt idx="245">
                  <c:v>2884.0315031266077</c:v>
                </c:pt>
                <c:pt idx="246">
                  <c:v>2951.2092266663876</c:v>
                </c:pt>
                <c:pt idx="247">
                  <c:v>3019.9517204020176</c:v>
                </c:pt>
                <c:pt idx="248">
                  <c:v>3090.295432513592</c:v>
                </c:pt>
                <c:pt idx="249">
                  <c:v>3162.2776601683804</c:v>
                </c:pt>
                <c:pt idx="250">
                  <c:v>3235.9365692962833</c:v>
                </c:pt>
                <c:pt idx="251">
                  <c:v>3311.3112148259115</c:v>
                </c:pt>
                <c:pt idx="252">
                  <c:v>3388.4415613920314</c:v>
                </c:pt>
                <c:pt idx="253">
                  <c:v>3467.3685045253224</c:v>
                </c:pt>
                <c:pt idx="254">
                  <c:v>3548.1338923357539</c:v>
                </c:pt>
                <c:pt idx="255">
                  <c:v>3630.7805477010188</c:v>
                </c:pt>
                <c:pt idx="256">
                  <c:v>3715.352290971724</c:v>
                </c:pt>
                <c:pt idx="257">
                  <c:v>3801.8939632056172</c:v>
                </c:pt>
                <c:pt idx="258">
                  <c:v>3890.451449942811</c:v>
                </c:pt>
                <c:pt idx="259">
                  <c:v>3981.0717055349769</c:v>
                </c:pt>
                <c:pt idx="260">
                  <c:v>4073.8027780411317</c:v>
                </c:pt>
                <c:pt idx="261">
                  <c:v>4168.6938347033583</c:v>
                </c:pt>
                <c:pt idx="262">
                  <c:v>4265.7951880159299</c:v>
                </c:pt>
                <c:pt idx="263">
                  <c:v>4365.1583224016631</c:v>
                </c:pt>
                <c:pt idx="264">
                  <c:v>4466.8359215096343</c:v>
                </c:pt>
                <c:pt idx="265">
                  <c:v>4570.8818961487532</c:v>
                </c:pt>
                <c:pt idx="266">
                  <c:v>4677.3514128719844</c:v>
                </c:pt>
                <c:pt idx="267">
                  <c:v>4786.3009232263848</c:v>
                </c:pt>
                <c:pt idx="268">
                  <c:v>4897.7881936844633</c:v>
                </c:pt>
                <c:pt idx="269">
                  <c:v>5011.8723362727324</c:v>
                </c:pt>
                <c:pt idx="270">
                  <c:v>5128.6138399136489</c:v>
                </c:pt>
                <c:pt idx="271">
                  <c:v>5248.0746024977261</c:v>
                </c:pt>
                <c:pt idx="272">
                  <c:v>5370.3179637025269</c:v>
                </c:pt>
                <c:pt idx="273">
                  <c:v>5495.4087385762541</c:v>
                </c:pt>
                <c:pt idx="274">
                  <c:v>5623.4132519034993</c:v>
                </c:pt>
                <c:pt idx="275">
                  <c:v>5754.399373371567</c:v>
                </c:pt>
                <c:pt idx="276">
                  <c:v>5888.4365535558973</c:v>
                </c:pt>
                <c:pt idx="277">
                  <c:v>6025.595860743585</c:v>
                </c:pt>
                <c:pt idx="278">
                  <c:v>6165.9500186148289</c:v>
                </c:pt>
                <c:pt idx="279">
                  <c:v>6309.5734448019384</c:v>
                </c:pt>
                <c:pt idx="280">
                  <c:v>6456.5422903465615</c:v>
                </c:pt>
                <c:pt idx="281">
                  <c:v>6606.9344800759654</c:v>
                </c:pt>
                <c:pt idx="282">
                  <c:v>6760.8297539198229</c:v>
                </c:pt>
                <c:pt idx="283">
                  <c:v>6918.3097091893687</c:v>
                </c:pt>
                <c:pt idx="284">
                  <c:v>7079.4578438413828</c:v>
                </c:pt>
                <c:pt idx="285">
                  <c:v>7244.3596007499036</c:v>
                </c:pt>
                <c:pt idx="286">
                  <c:v>7413.1024130091773</c:v>
                </c:pt>
                <c:pt idx="287">
                  <c:v>7585.7757502918394</c:v>
                </c:pt>
                <c:pt idx="288">
                  <c:v>7762.4711662869322</c:v>
                </c:pt>
                <c:pt idx="289">
                  <c:v>7943.2823472428154</c:v>
                </c:pt>
                <c:pt idx="290">
                  <c:v>8128.3051616410066</c:v>
                </c:pt>
                <c:pt idx="291">
                  <c:v>8317.6377110267094</c:v>
                </c:pt>
                <c:pt idx="292">
                  <c:v>8511.3803820237772</c:v>
                </c:pt>
                <c:pt idx="293">
                  <c:v>8709.6358995608189</c:v>
                </c:pt>
                <c:pt idx="294">
                  <c:v>8912.5093813374679</c:v>
                </c:pt>
                <c:pt idx="295">
                  <c:v>9120.1083935591087</c:v>
                </c:pt>
                <c:pt idx="296">
                  <c:v>9332.5430079699217</c:v>
                </c:pt>
                <c:pt idx="297">
                  <c:v>9549.9258602143691</c:v>
                </c:pt>
                <c:pt idx="298">
                  <c:v>9772.3722095581161</c:v>
                </c:pt>
                <c:pt idx="299">
                  <c:v>10000</c:v>
                </c:pt>
                <c:pt idx="300">
                  <c:v>10232.929922807549</c:v>
                </c:pt>
                <c:pt idx="301">
                  <c:v>10471.285480509003</c:v>
                </c:pt>
                <c:pt idx="302">
                  <c:v>10715.193052376071</c:v>
                </c:pt>
                <c:pt idx="303">
                  <c:v>10964.781961431856</c:v>
                </c:pt>
                <c:pt idx="304">
                  <c:v>11220.184543019639</c:v>
                </c:pt>
                <c:pt idx="305">
                  <c:v>11481.536214968832</c:v>
                </c:pt>
                <c:pt idx="306">
                  <c:v>11748.975549395318</c:v>
                </c:pt>
                <c:pt idx="307">
                  <c:v>12022.644346174151</c:v>
                </c:pt>
                <c:pt idx="308">
                  <c:v>12302.687708123816</c:v>
                </c:pt>
                <c:pt idx="309">
                  <c:v>12589.254117941671</c:v>
                </c:pt>
                <c:pt idx="310">
                  <c:v>12882.49551693136</c:v>
                </c:pt>
                <c:pt idx="311">
                  <c:v>13182.567385564091</c:v>
                </c:pt>
                <c:pt idx="312">
                  <c:v>13489.628825916556</c:v>
                </c:pt>
                <c:pt idx="313">
                  <c:v>13803.842646028841</c:v>
                </c:pt>
                <c:pt idx="314">
                  <c:v>14125.375446227561</c:v>
                </c:pt>
                <c:pt idx="315">
                  <c:v>14454.397707459291</c:v>
                </c:pt>
                <c:pt idx="316">
                  <c:v>14791.083881682089</c:v>
                </c:pt>
                <c:pt idx="317">
                  <c:v>15135.612484362096</c:v>
                </c:pt>
                <c:pt idx="318">
                  <c:v>15488.166189124853</c:v>
                </c:pt>
                <c:pt idx="319">
                  <c:v>15848.931924611146</c:v>
                </c:pt>
                <c:pt idx="320">
                  <c:v>16218.100973589309</c:v>
                </c:pt>
                <c:pt idx="321">
                  <c:v>16595.869074375616</c:v>
                </c:pt>
                <c:pt idx="322">
                  <c:v>16982.436524617482</c:v>
                </c:pt>
                <c:pt idx="323">
                  <c:v>17378.008287493791</c:v>
                </c:pt>
                <c:pt idx="324">
                  <c:v>17782.794100389234</c:v>
                </c:pt>
                <c:pt idx="325">
                  <c:v>18197.008586099837</c:v>
                </c:pt>
                <c:pt idx="326">
                  <c:v>18620.871366628675</c:v>
                </c:pt>
                <c:pt idx="327">
                  <c:v>19054.607179632505</c:v>
                </c:pt>
                <c:pt idx="328">
                  <c:v>19498.445997580486</c:v>
                </c:pt>
                <c:pt idx="329">
                  <c:v>19952.623149688792</c:v>
                </c:pt>
                <c:pt idx="330">
                  <c:v>20417.379446695286</c:v>
                </c:pt>
                <c:pt idx="331">
                  <c:v>20892.961308540423</c:v>
                </c:pt>
                <c:pt idx="332">
                  <c:v>21379.620895022348</c:v>
                </c:pt>
                <c:pt idx="333">
                  <c:v>21877.61623949555</c:v>
                </c:pt>
                <c:pt idx="334">
                  <c:v>22387.211385683382</c:v>
                </c:pt>
                <c:pt idx="335">
                  <c:v>22908.676527677751</c:v>
                </c:pt>
                <c:pt idx="336">
                  <c:v>23442.288153199243</c:v>
                </c:pt>
                <c:pt idx="337">
                  <c:v>23988.329190194923</c:v>
                </c:pt>
                <c:pt idx="338">
                  <c:v>24547.089156850321</c:v>
                </c:pt>
                <c:pt idx="339">
                  <c:v>25118.86431509586</c:v>
                </c:pt>
                <c:pt idx="340">
                  <c:v>25703.95782768865</c:v>
                </c:pt>
                <c:pt idx="341">
                  <c:v>26302.679918953829</c:v>
                </c:pt>
                <c:pt idx="342">
                  <c:v>26915.348039269167</c:v>
                </c:pt>
                <c:pt idx="343">
                  <c:v>27542.287033381719</c:v>
                </c:pt>
                <c:pt idx="344">
                  <c:v>28183.829312644593</c:v>
                </c:pt>
                <c:pt idx="345">
                  <c:v>28840.315031266062</c:v>
                </c:pt>
                <c:pt idx="346">
                  <c:v>29512.092266663854</c:v>
                </c:pt>
                <c:pt idx="347">
                  <c:v>30199.517204020212</c:v>
                </c:pt>
                <c:pt idx="348">
                  <c:v>30902.954325135954</c:v>
                </c:pt>
                <c:pt idx="349">
                  <c:v>31622.77660168384</c:v>
                </c:pt>
                <c:pt idx="350">
                  <c:v>32359.365692962871</c:v>
                </c:pt>
                <c:pt idx="351">
                  <c:v>33113.11214825909</c:v>
                </c:pt>
                <c:pt idx="352">
                  <c:v>33884.41561392029</c:v>
                </c:pt>
                <c:pt idx="353">
                  <c:v>34673.685045253202</c:v>
                </c:pt>
                <c:pt idx="354">
                  <c:v>35481.33892335758</c:v>
                </c:pt>
                <c:pt idx="355">
                  <c:v>36307.805477010232</c:v>
                </c:pt>
                <c:pt idx="356">
                  <c:v>37153.522909717351</c:v>
                </c:pt>
                <c:pt idx="357">
                  <c:v>38018.939632056143</c:v>
                </c:pt>
                <c:pt idx="358">
                  <c:v>38904.514499428085</c:v>
                </c:pt>
                <c:pt idx="359">
                  <c:v>39810.717055349742</c:v>
                </c:pt>
                <c:pt idx="360">
                  <c:v>40738.027780411358</c:v>
                </c:pt>
                <c:pt idx="361">
                  <c:v>41686.938347033625</c:v>
                </c:pt>
                <c:pt idx="362">
                  <c:v>42657.951880159271</c:v>
                </c:pt>
                <c:pt idx="363">
                  <c:v>43651.583224016598</c:v>
                </c:pt>
                <c:pt idx="364">
                  <c:v>44668.359215096389</c:v>
                </c:pt>
                <c:pt idx="365">
                  <c:v>45708.818961487581</c:v>
                </c:pt>
                <c:pt idx="366">
                  <c:v>46773.514128719893</c:v>
                </c:pt>
                <c:pt idx="367">
                  <c:v>47863.009232263823</c:v>
                </c:pt>
                <c:pt idx="368">
                  <c:v>48977.881936844598</c:v>
                </c:pt>
                <c:pt idx="369">
                  <c:v>50118.723362727294</c:v>
                </c:pt>
                <c:pt idx="370">
                  <c:v>51286.138399136544</c:v>
                </c:pt>
                <c:pt idx="371">
                  <c:v>52480.746024977314</c:v>
                </c:pt>
                <c:pt idx="372">
                  <c:v>53703.179637025423</c:v>
                </c:pt>
                <c:pt idx="373">
                  <c:v>54954.087385762505</c:v>
                </c:pt>
                <c:pt idx="374">
                  <c:v>56234.132519034953</c:v>
                </c:pt>
                <c:pt idx="375">
                  <c:v>57543.993733715732</c:v>
                </c:pt>
                <c:pt idx="376">
                  <c:v>58884.365535558936</c:v>
                </c:pt>
                <c:pt idx="377">
                  <c:v>60255.95860743591</c:v>
                </c:pt>
                <c:pt idx="378">
                  <c:v>61659.500186148245</c:v>
                </c:pt>
                <c:pt idx="379">
                  <c:v>63095.734448019342</c:v>
                </c:pt>
                <c:pt idx="380">
                  <c:v>64565.422903465682</c:v>
                </c:pt>
                <c:pt idx="381">
                  <c:v>66069.344800759733</c:v>
                </c:pt>
                <c:pt idx="382">
                  <c:v>67608.297539198305</c:v>
                </c:pt>
                <c:pt idx="383">
                  <c:v>69183.097091893651</c:v>
                </c:pt>
                <c:pt idx="384">
                  <c:v>70794.578438413781</c:v>
                </c:pt>
                <c:pt idx="385">
                  <c:v>72443.596007499116</c:v>
                </c:pt>
                <c:pt idx="386">
                  <c:v>74131.024130091857</c:v>
                </c:pt>
                <c:pt idx="387">
                  <c:v>75857.757502918481</c:v>
                </c:pt>
                <c:pt idx="388">
                  <c:v>77624.711662869129</c:v>
                </c:pt>
                <c:pt idx="389">
                  <c:v>79432.823472428237</c:v>
                </c:pt>
                <c:pt idx="390">
                  <c:v>81283.051616410012</c:v>
                </c:pt>
                <c:pt idx="391">
                  <c:v>83176.377110267174</c:v>
                </c:pt>
                <c:pt idx="392">
                  <c:v>85113.803820237721</c:v>
                </c:pt>
                <c:pt idx="393">
                  <c:v>87096.358995608127</c:v>
                </c:pt>
                <c:pt idx="394">
                  <c:v>89125.093813374609</c:v>
                </c:pt>
                <c:pt idx="395">
                  <c:v>91201.083935591028</c:v>
                </c:pt>
                <c:pt idx="396">
                  <c:v>93325.430079699145</c:v>
                </c:pt>
                <c:pt idx="397">
                  <c:v>95499.258602143804</c:v>
                </c:pt>
                <c:pt idx="398">
                  <c:v>97723.722095581266</c:v>
                </c:pt>
                <c:pt idx="399">
                  <c:v>100000</c:v>
                </c:pt>
                <c:pt idx="400">
                  <c:v>102329.29922807543</c:v>
                </c:pt>
                <c:pt idx="401">
                  <c:v>104712.85480508996</c:v>
                </c:pt>
                <c:pt idx="402">
                  <c:v>107151.93052376082</c:v>
                </c:pt>
                <c:pt idx="403">
                  <c:v>109647.81961431868</c:v>
                </c:pt>
                <c:pt idx="404">
                  <c:v>112201.84543019651</c:v>
                </c:pt>
                <c:pt idx="405">
                  <c:v>114815.36214968823</c:v>
                </c:pt>
                <c:pt idx="406">
                  <c:v>117489.75549395311</c:v>
                </c:pt>
                <c:pt idx="407">
                  <c:v>120226.44346174144</c:v>
                </c:pt>
                <c:pt idx="408">
                  <c:v>123026.87708123829</c:v>
                </c:pt>
                <c:pt idx="409">
                  <c:v>125892.54117941685</c:v>
                </c:pt>
                <c:pt idx="410">
                  <c:v>128824.95516931375</c:v>
                </c:pt>
                <c:pt idx="411">
                  <c:v>131825.67385564081</c:v>
                </c:pt>
                <c:pt idx="412">
                  <c:v>134896.28825916545</c:v>
                </c:pt>
                <c:pt idx="413">
                  <c:v>138038.42646028858</c:v>
                </c:pt>
                <c:pt idx="414">
                  <c:v>141253.75446227577</c:v>
                </c:pt>
                <c:pt idx="415">
                  <c:v>144543.97707459307</c:v>
                </c:pt>
                <c:pt idx="416">
                  <c:v>147910.83881682079</c:v>
                </c:pt>
                <c:pt idx="417">
                  <c:v>151356.12484362084</c:v>
                </c:pt>
                <c:pt idx="418">
                  <c:v>154881.66189124843</c:v>
                </c:pt>
                <c:pt idx="419">
                  <c:v>158489.31924611164</c:v>
                </c:pt>
                <c:pt idx="420">
                  <c:v>162181.00973589328</c:v>
                </c:pt>
                <c:pt idx="421">
                  <c:v>165958.69074375604</c:v>
                </c:pt>
                <c:pt idx="422">
                  <c:v>169824.36524617471</c:v>
                </c:pt>
                <c:pt idx="423">
                  <c:v>173780.0828749378</c:v>
                </c:pt>
                <c:pt idx="424">
                  <c:v>177827.94100389251</c:v>
                </c:pt>
                <c:pt idx="425">
                  <c:v>181970.08586099857</c:v>
                </c:pt>
                <c:pt idx="426">
                  <c:v>186208.71366628664</c:v>
                </c:pt>
                <c:pt idx="427">
                  <c:v>190546.07179632492</c:v>
                </c:pt>
                <c:pt idx="428">
                  <c:v>194984.45997580473</c:v>
                </c:pt>
                <c:pt idx="429">
                  <c:v>199526.23149688813</c:v>
                </c:pt>
                <c:pt idx="430">
                  <c:v>204173.79446695308</c:v>
                </c:pt>
                <c:pt idx="431">
                  <c:v>208929.61308540447</c:v>
                </c:pt>
                <c:pt idx="432">
                  <c:v>213796.20895022334</c:v>
                </c:pt>
                <c:pt idx="433">
                  <c:v>218776.16239495538</c:v>
                </c:pt>
                <c:pt idx="434">
                  <c:v>223872.11385683404</c:v>
                </c:pt>
                <c:pt idx="435">
                  <c:v>229086.76527677779</c:v>
                </c:pt>
                <c:pt idx="436">
                  <c:v>234422.88153199267</c:v>
                </c:pt>
                <c:pt idx="437">
                  <c:v>239883.29190194907</c:v>
                </c:pt>
                <c:pt idx="438">
                  <c:v>245470.89156850305</c:v>
                </c:pt>
                <c:pt idx="439">
                  <c:v>251188.64315095844</c:v>
                </c:pt>
                <c:pt idx="440">
                  <c:v>257039.57827688678</c:v>
                </c:pt>
                <c:pt idx="441">
                  <c:v>263026.79918953858</c:v>
                </c:pt>
                <c:pt idx="442">
                  <c:v>269153.48039269145</c:v>
                </c:pt>
                <c:pt idx="443">
                  <c:v>275422.87033381703</c:v>
                </c:pt>
                <c:pt idx="444">
                  <c:v>281838.29312644573</c:v>
                </c:pt>
                <c:pt idx="445">
                  <c:v>288403.1503126609</c:v>
                </c:pt>
                <c:pt idx="446">
                  <c:v>295120.92266663886</c:v>
                </c:pt>
                <c:pt idx="447">
                  <c:v>301995.17204020242</c:v>
                </c:pt>
                <c:pt idx="448">
                  <c:v>309029.54325135931</c:v>
                </c:pt>
                <c:pt idx="449">
                  <c:v>316227.7660168382</c:v>
                </c:pt>
                <c:pt idx="450">
                  <c:v>323593.65692962846</c:v>
                </c:pt>
                <c:pt idx="451">
                  <c:v>331131.12148259126</c:v>
                </c:pt>
                <c:pt idx="452">
                  <c:v>338844.15613920329</c:v>
                </c:pt>
                <c:pt idx="453">
                  <c:v>346736.85045253241</c:v>
                </c:pt>
                <c:pt idx="454">
                  <c:v>354813.38923357555</c:v>
                </c:pt>
                <c:pt idx="455">
                  <c:v>363078.05477010203</c:v>
                </c:pt>
                <c:pt idx="456">
                  <c:v>371535.2290971732</c:v>
                </c:pt>
                <c:pt idx="457">
                  <c:v>380189.39632056188</c:v>
                </c:pt>
                <c:pt idx="458">
                  <c:v>389045.14499428123</c:v>
                </c:pt>
                <c:pt idx="459">
                  <c:v>398107.17055349716</c:v>
                </c:pt>
                <c:pt idx="460">
                  <c:v>407380.27780411334</c:v>
                </c:pt>
                <c:pt idx="461">
                  <c:v>416869.38347033598</c:v>
                </c:pt>
                <c:pt idx="462">
                  <c:v>426579.51880159322</c:v>
                </c:pt>
                <c:pt idx="463">
                  <c:v>436515.83224016649</c:v>
                </c:pt>
                <c:pt idx="464">
                  <c:v>446683.59215096442</c:v>
                </c:pt>
                <c:pt idx="465">
                  <c:v>457088.18961487547</c:v>
                </c:pt>
                <c:pt idx="466">
                  <c:v>467735.14128719864</c:v>
                </c:pt>
                <c:pt idx="467">
                  <c:v>478630.09232263872</c:v>
                </c:pt>
                <c:pt idx="468">
                  <c:v>489778.81936844654</c:v>
                </c:pt>
                <c:pt idx="469">
                  <c:v>501187.23362727347</c:v>
                </c:pt>
                <c:pt idx="470">
                  <c:v>512861.38399136515</c:v>
                </c:pt>
                <c:pt idx="471">
                  <c:v>524807.46024977288</c:v>
                </c:pt>
                <c:pt idx="472">
                  <c:v>537031.7963702539</c:v>
                </c:pt>
                <c:pt idx="473">
                  <c:v>549540.87385762564</c:v>
                </c:pt>
                <c:pt idx="474">
                  <c:v>562341.32519035018</c:v>
                </c:pt>
                <c:pt idx="475">
                  <c:v>575439.93733715697</c:v>
                </c:pt>
                <c:pt idx="476">
                  <c:v>588843.65535558888</c:v>
                </c:pt>
                <c:pt idx="477">
                  <c:v>602559.58607435878</c:v>
                </c:pt>
                <c:pt idx="478">
                  <c:v>616595.00186148309</c:v>
                </c:pt>
                <c:pt idx="479">
                  <c:v>630957.34448019415</c:v>
                </c:pt>
                <c:pt idx="480">
                  <c:v>645654.22903465747</c:v>
                </c:pt>
                <c:pt idx="481">
                  <c:v>660693.44800759677</c:v>
                </c:pt>
                <c:pt idx="482">
                  <c:v>676082.97539198259</c:v>
                </c:pt>
                <c:pt idx="483">
                  <c:v>691830.97091893724</c:v>
                </c:pt>
                <c:pt idx="484">
                  <c:v>707945.78438413853</c:v>
                </c:pt>
                <c:pt idx="485">
                  <c:v>724435.96007499192</c:v>
                </c:pt>
                <c:pt idx="486">
                  <c:v>741310.24130091805</c:v>
                </c:pt>
                <c:pt idx="487">
                  <c:v>758577.57502918423</c:v>
                </c:pt>
                <c:pt idx="488">
                  <c:v>776247.11662869214</c:v>
                </c:pt>
                <c:pt idx="489">
                  <c:v>794328.23472428333</c:v>
                </c:pt>
                <c:pt idx="490">
                  <c:v>812830.51616410096</c:v>
                </c:pt>
                <c:pt idx="491">
                  <c:v>831763.77110267128</c:v>
                </c:pt>
                <c:pt idx="492">
                  <c:v>851138.03820237669</c:v>
                </c:pt>
                <c:pt idx="493">
                  <c:v>870963.58995608077</c:v>
                </c:pt>
                <c:pt idx="494">
                  <c:v>891250.93813374708</c:v>
                </c:pt>
                <c:pt idx="495">
                  <c:v>912010.83935591124</c:v>
                </c:pt>
                <c:pt idx="496">
                  <c:v>933254.30079699249</c:v>
                </c:pt>
                <c:pt idx="497">
                  <c:v>954992.58602143743</c:v>
                </c:pt>
                <c:pt idx="498">
                  <c:v>977237.22095581202</c:v>
                </c:pt>
                <c:pt idx="499">
                  <c:v>1000000</c:v>
                </c:pt>
                <c:pt idx="500">
                  <c:v>1023292.9922807553</c:v>
                </c:pt>
                <c:pt idx="501">
                  <c:v>1047128.5480509007</c:v>
                </c:pt>
                <c:pt idx="502">
                  <c:v>1071519.3052376076</c:v>
                </c:pt>
                <c:pt idx="503">
                  <c:v>1096478.196143186</c:v>
                </c:pt>
                <c:pt idx="504">
                  <c:v>1122018.4543019643</c:v>
                </c:pt>
                <c:pt idx="505">
                  <c:v>1148153.6214968837</c:v>
                </c:pt>
                <c:pt idx="506">
                  <c:v>1174897.5549395324</c:v>
                </c:pt>
                <c:pt idx="507">
                  <c:v>1202264.4346174158</c:v>
                </c:pt>
                <c:pt idx="508">
                  <c:v>1230268.770812382</c:v>
                </c:pt>
                <c:pt idx="509">
                  <c:v>1258925.4117941677</c:v>
                </c:pt>
                <c:pt idx="510">
                  <c:v>1288249.5516931366</c:v>
                </c:pt>
                <c:pt idx="511">
                  <c:v>1318256.7385564097</c:v>
                </c:pt>
                <c:pt idx="512">
                  <c:v>1348962.8825916562</c:v>
                </c:pt>
                <c:pt idx="513">
                  <c:v>1380384.2646028849</c:v>
                </c:pt>
                <c:pt idx="514">
                  <c:v>1412537.5446227565</c:v>
                </c:pt>
                <c:pt idx="515">
                  <c:v>1445439.7707459298</c:v>
                </c:pt>
                <c:pt idx="516">
                  <c:v>1479108.3881682095</c:v>
                </c:pt>
                <c:pt idx="517">
                  <c:v>1513561.2484362102</c:v>
                </c:pt>
                <c:pt idx="518">
                  <c:v>1548816.6189124861</c:v>
                </c:pt>
                <c:pt idx="519">
                  <c:v>1584893.1924611153</c:v>
                </c:pt>
                <c:pt idx="520">
                  <c:v>1621810.0973589318</c:v>
                </c:pt>
                <c:pt idx="521">
                  <c:v>1659586.9074375622</c:v>
                </c:pt>
                <c:pt idx="522">
                  <c:v>1698243.6524617488</c:v>
                </c:pt>
                <c:pt idx="523">
                  <c:v>1737800.8287493798</c:v>
                </c:pt>
                <c:pt idx="524">
                  <c:v>1778279.4100389241</c:v>
                </c:pt>
                <c:pt idx="525">
                  <c:v>1819700.8586099846</c:v>
                </c:pt>
                <c:pt idx="526">
                  <c:v>1862087.1366628683</c:v>
                </c:pt>
                <c:pt idx="527">
                  <c:v>1905460.7179632513</c:v>
                </c:pt>
                <c:pt idx="528">
                  <c:v>1949844.5997580495</c:v>
                </c:pt>
                <c:pt idx="529">
                  <c:v>1995262.31496888</c:v>
                </c:pt>
                <c:pt idx="530">
                  <c:v>2041737.9446695296</c:v>
                </c:pt>
                <c:pt idx="531">
                  <c:v>2089296.1308540432</c:v>
                </c:pt>
                <c:pt idx="532">
                  <c:v>2137962.0895022359</c:v>
                </c:pt>
                <c:pt idx="533">
                  <c:v>2187761.6239495561</c:v>
                </c:pt>
                <c:pt idx="534">
                  <c:v>2238721.1385683389</c:v>
                </c:pt>
                <c:pt idx="535">
                  <c:v>2290867.6527677765</c:v>
                </c:pt>
                <c:pt idx="536">
                  <c:v>2344228.8153199251</c:v>
                </c:pt>
                <c:pt idx="537">
                  <c:v>2398832.9190194933</c:v>
                </c:pt>
                <c:pt idx="538">
                  <c:v>2454708.915685033</c:v>
                </c:pt>
                <c:pt idx="539">
                  <c:v>2511886.431509587</c:v>
                </c:pt>
                <c:pt idx="540">
                  <c:v>2570395.782768866</c:v>
                </c:pt>
                <c:pt idx="541">
                  <c:v>2630267.9918953842</c:v>
                </c:pt>
              </c:numCache>
            </c:numRef>
          </c:xVal>
          <c:yVal>
            <c:numRef>
              <c:f>CCM_Loop_Modeling_Isolated!$AX$19:$AX$560</c:f>
              <c:numCache>
                <c:formatCode>General</c:formatCode>
                <c:ptCount val="542"/>
                <c:pt idx="0">
                  <c:v>161.29135984544462</c:v>
                </c:pt>
                <c:pt idx="1">
                  <c:v>160.91963119532016</c:v>
                </c:pt>
                <c:pt idx="2">
                  <c:v>160.53980634932762</c:v>
                </c:pt>
                <c:pt idx="3">
                  <c:v>160.15181280548768</c:v>
                </c:pt>
                <c:pt idx="4">
                  <c:v>159.7555812559456</c:v>
                </c:pt>
                <c:pt idx="5">
                  <c:v>159.35104591335701</c:v>
                </c:pt>
                <c:pt idx="6">
                  <c:v>158.93814484856887</c:v>
                </c:pt>
                <c:pt idx="7">
                  <c:v>158.51682033910566</c:v>
                </c:pt>
                <c:pt idx="8">
                  <c:v>158.08701922785443</c:v>
                </c:pt>
                <c:pt idx="9">
                  <c:v>157.64869329121544</c:v>
                </c:pt>
                <c:pt idx="10">
                  <c:v>157.2017996158493</c:v>
                </c:pt>
                <c:pt idx="11">
                  <c:v>156.74630098301259</c:v>
                </c:pt>
                <c:pt idx="12">
                  <c:v>156.28216625932816</c:v>
                </c:pt>
                <c:pt idx="13">
                  <c:v>155.80937079267056</c:v>
                </c:pt>
                <c:pt idx="14">
                  <c:v>155.32789681170294</c:v>
                </c:pt>
                <c:pt idx="15">
                  <c:v>154.83773382742555</c:v>
                </c:pt>
                <c:pt idx="16">
                  <c:v>154.33887903493743</c:v>
                </c:pt>
                <c:pt idx="17">
                  <c:v>153.83133771344231</c:v>
                </c:pt>
                <c:pt idx="18">
                  <c:v>153.31512362237228</c:v>
                </c:pt>
                <c:pt idx="19">
                  <c:v>152.7902593913299</c:v>
                </c:pt>
                <c:pt idx="20">
                  <c:v>152.25677690140728</c:v>
                </c:pt>
                <c:pt idx="21">
                  <c:v>151.71471765528574</c:v>
                </c:pt>
                <c:pt idx="22">
                  <c:v>151.16413313339083</c:v>
                </c:pt>
                <c:pt idx="23">
                  <c:v>150.60508513325311</c:v>
                </c:pt>
                <c:pt idx="24">
                  <c:v>150.03764608913013</c:v>
                </c:pt>
                <c:pt idx="25">
                  <c:v>149.46189936885773</c:v>
                </c:pt>
                <c:pt idx="26">
                  <c:v>148.87793954484923</c:v>
                </c:pt>
                <c:pt idx="27">
                  <c:v>148.28587263613082</c:v>
                </c:pt>
                <c:pt idx="28">
                  <c:v>147.68581631830145</c:v>
                </c:pt>
                <c:pt idx="29">
                  <c:v>147.07790009835315</c:v>
                </c:pt>
                <c:pt idx="30">
                  <c:v>146.46226545134718</c:v>
                </c:pt>
                <c:pt idx="31">
                  <c:v>145.83906591606618</c:v>
                </c:pt>
                <c:pt idx="32">
                  <c:v>145.20846714691334</c:v>
                </c:pt>
                <c:pt idx="33">
                  <c:v>144.57064691951868</c:v>
                </c:pt>
                <c:pt idx="34">
                  <c:v>143.92579508776217</c:v>
                </c:pt>
                <c:pt idx="35">
                  <c:v>143.27411349019752</c:v>
                </c:pt>
                <c:pt idx="36">
                  <c:v>142.61581580418479</c:v>
                </c:pt>
                <c:pt idx="37">
                  <c:v>141.95112734640711</c:v>
                </c:pt>
                <c:pt idx="38">
                  <c:v>141.2802848188422</c:v>
                </c:pt>
                <c:pt idx="39">
                  <c:v>140.60353599970361</c:v>
                </c:pt>
                <c:pt idx="40">
                  <c:v>139.92113937931779</c:v>
                </c:pt>
                <c:pt idx="41">
                  <c:v>139.23336374140916</c:v>
                </c:pt>
                <c:pt idx="42">
                  <c:v>138.54048769075769</c:v>
                </c:pt>
                <c:pt idx="43">
                  <c:v>137.84279912872336</c:v>
                </c:pt>
                <c:pt idx="44">
                  <c:v>137.14059467864661</c:v>
                </c:pt>
                <c:pt idx="45">
                  <c:v>136.43417906365823</c:v>
                </c:pt>
                <c:pt idx="46">
                  <c:v>135.72386443993429</c:v>
                </c:pt>
                <c:pt idx="47">
                  <c:v>135.00996968891681</c:v>
                </c:pt>
                <c:pt idx="48">
                  <c:v>134.29281967247954</c:v>
                </c:pt>
                <c:pt idx="49">
                  <c:v>133.5727444554287</c:v>
                </c:pt>
                <c:pt idx="50">
                  <c:v>132.85007850010606</c:v>
                </c:pt>
                <c:pt idx="51">
                  <c:v>132.12515983817659</c:v>
                </c:pt>
                <c:pt idx="52">
                  <c:v>131.3983292249462</c:v>
                </c:pt>
                <c:pt idx="53">
                  <c:v>130.66992928173613</c:v>
                </c:pt>
                <c:pt idx="54">
                  <c:v>129.94030363199002</c:v>
                </c:pt>
                <c:pt idx="55">
                  <c:v>129.20979603681201</c:v>
                </c:pt>
                <c:pt idx="56">
                  <c:v>128.47874953564263</c:v>
                </c:pt>
                <c:pt idx="57">
                  <c:v>127.74750559765658</c:v>
                </c:pt>
                <c:pt idx="58">
                  <c:v>127.01640328932909</c:v>
                </c:pt>
                <c:pt idx="59">
                  <c:v>126.28577846334456</c:v>
                </c:pt>
                <c:pt idx="60">
                  <c:v>125.55596297375047</c:v>
                </c:pt>
                <c:pt idx="61">
                  <c:v>124.8272839218714</c:v>
                </c:pt>
                <c:pt idx="62">
                  <c:v>124.10006293708445</c:v>
                </c:pt>
                <c:pt idx="63">
                  <c:v>123.37461549609424</c:v>
                </c:pt>
                <c:pt idx="64">
                  <c:v>122.65125028382782</c:v>
                </c:pt>
                <c:pt idx="65">
                  <c:v>121.93026859854324</c:v>
                </c:pt>
                <c:pt idx="66">
                  <c:v>121.21196380317301</c:v>
                </c:pt>
                <c:pt idx="67">
                  <c:v>120.49662082435798</c:v>
                </c:pt>
                <c:pt idx="68">
                  <c:v>119.78451570005281</c:v>
                </c:pt>
                <c:pt idx="69">
                  <c:v>119.07591517600358</c:v>
                </c:pt>
                <c:pt idx="70">
                  <c:v>118.37107635084897</c:v>
                </c:pt>
                <c:pt idx="71">
                  <c:v>117.67024636906619</c:v>
                </c:pt>
                <c:pt idx="72">
                  <c:v>116.97366216046883</c:v>
                </c:pt>
                <c:pt idx="73">
                  <c:v>116.28155022450402</c:v>
                </c:pt>
                <c:pt idx="74">
                  <c:v>115.59412645718058</c:v>
                </c:pt>
                <c:pt idx="75">
                  <c:v>114.9115960180699</c:v>
                </c:pt>
                <c:pt idx="76">
                  <c:v>114.23415323451329</c:v>
                </c:pt>
                <c:pt idx="77">
                  <c:v>113.56198153990208</c:v>
                </c:pt>
                <c:pt idx="78">
                  <c:v>112.89525344268749</c:v>
                </c:pt>
                <c:pt idx="79">
                  <c:v>112.23413052262809</c:v>
                </c:pt>
                <c:pt idx="80">
                  <c:v>111.57876345071338</c:v>
                </c:pt>
                <c:pt idx="81">
                  <c:v>110.92929202915356</c:v>
                </c:pt>
                <c:pt idx="82">
                  <c:v>110.28584524787648</c:v>
                </c:pt>
                <c:pt idx="83">
                  <c:v>109.64854135405999</c:v>
                </c:pt>
                <c:pt idx="84">
                  <c:v>109.01748793136726</c:v>
                </c:pt>
                <c:pt idx="85">
                  <c:v>108.39278198575425</c:v>
                </c:pt>
                <c:pt idx="86">
                  <c:v>107.77451003495729</c:v>
                </c:pt>
                <c:pt idx="87">
                  <c:v>107.16274819905391</c:v>
                </c:pt>
                <c:pt idx="88">
                  <c:v>106.55756228980886</c:v>
                </c:pt>
                <c:pt idx="89">
                  <c:v>105.95900789686485</c:v>
                </c:pt>
                <c:pt idx="90">
                  <c:v>105.36713046921525</c:v>
                </c:pt>
                <c:pt idx="91">
                  <c:v>104.78196539078235</c:v>
                </c:pt>
                <c:pt idx="92">
                  <c:v>104.20353804932677</c:v>
                </c:pt>
                <c:pt idx="93">
                  <c:v>103.63186389831623</c:v>
                </c:pt>
                <c:pt idx="94">
                  <c:v>103.06694851177967</c:v>
                </c:pt>
                <c:pt idx="95">
                  <c:v>102.50878763255855</c:v>
                </c:pt>
                <c:pt idx="96">
                  <c:v>101.9573672147354</c:v>
                </c:pt>
                <c:pt idx="97">
                  <c:v>101.41266346135717</c:v>
                </c:pt>
                <c:pt idx="98">
                  <c:v>100.87464285888107</c:v>
                </c:pt>
                <c:pt idx="99">
                  <c:v>100.3432622100397</c:v>
                </c:pt>
                <c:pt idx="100">
                  <c:v>99.818468667045181</c:v>
                </c:pt>
                <c:pt idx="101">
                  <c:v>99.300199767230666</c:v>
                </c:pt>
                <c:pt idx="102">
                  <c:v>98.788383473349683</c:v>
                </c:pt>
                <c:pt idx="103">
                  <c:v>98.282938220827987</c:v>
                </c:pt>
                <c:pt idx="104">
                  <c:v>97.78377297427221</c:v>
                </c:pt>
                <c:pt idx="105">
                  <c:v>97.290787295503108</c:v>
                </c:pt>
                <c:pt idx="106">
                  <c:v>96.803871425280079</c:v>
                </c:pt>
                <c:pt idx="107">
                  <c:v>96.322906380742239</c:v>
                </c:pt>
                <c:pt idx="108">
                  <c:v>95.847764070388607</c:v>
                </c:pt>
                <c:pt idx="109">
                  <c:v>95.378307428183163</c:v>
                </c:pt>
                <c:pt idx="110">
                  <c:v>94.914390568089928</c:v>
                </c:pt>
                <c:pt idx="111">
                  <c:v>94.455858960037162</c:v>
                </c:pt>
                <c:pt idx="112">
                  <c:v>94.002549627966744</c:v>
                </c:pt>
                <c:pt idx="113">
                  <c:v>93.554291370286919</c:v>
                </c:pt>
                <c:pt idx="114">
                  <c:v>93.110905002672169</c:v>
                </c:pt>
                <c:pt idx="115">
                  <c:v>92.672203622810713</c:v>
                </c:pt>
                <c:pt idx="116">
                  <c:v>92.237992896333367</c:v>
                </c:pt>
                <c:pt idx="117">
                  <c:v>91.808071362831484</c:v>
                </c:pt>
                <c:pt idx="118">
                  <c:v>91.382230760558741</c:v>
                </c:pt>
                <c:pt idx="119">
                  <c:v>90.960256368112013</c:v>
                </c:pt>
                <c:pt idx="120">
                  <c:v>90.541927361161882</c:v>
                </c:pt>
                <c:pt idx="121">
                  <c:v>90.127017182062147</c:v>
                </c:pt>
                <c:pt idx="122">
                  <c:v>89.715293920023086</c:v>
                </c:pt>
                <c:pt idx="123">
                  <c:v>89.306520699392095</c:v>
                </c:pt>
                <c:pt idx="124">
                  <c:v>88.900456073509048</c:v>
                </c:pt>
                <c:pt idx="125">
                  <c:v>88.496854421574042</c:v>
                </c:pt>
                <c:pt idx="126">
                  <c:v>88.095466345966599</c:v>
                </c:pt>
                <c:pt idx="127">
                  <c:v>87.696039067511947</c:v>
                </c:pt>
                <c:pt idx="128">
                  <c:v>87.298316816275644</c:v>
                </c:pt>
                <c:pt idx="129">
                  <c:v>86.902041215606587</c:v>
                </c:pt>
                <c:pt idx="130">
                  <c:v>86.506951657284219</c:v>
                </c:pt>
                <c:pt idx="131">
                  <c:v>86.112785665835204</c:v>
                </c:pt>
                <c:pt idx="132">
                  <c:v>85.719279250268983</c:v>
                </c:pt>
                <c:pt idx="133">
                  <c:v>85.326167241726367</c:v>
                </c:pt>
                <c:pt idx="134">
                  <c:v>84.933183615749741</c:v>
                </c:pt>
                <c:pt idx="135">
                  <c:v>84.540061798147633</c:v>
                </c:pt>
                <c:pt idx="136">
                  <c:v>84.146534953654921</c:v>
                </c:pt>
                <c:pt idx="137">
                  <c:v>83.752336256844799</c:v>
                </c:pt>
                <c:pt idx="138">
                  <c:v>83.357199144985614</c:v>
                </c:pt>
                <c:pt idx="139">
                  <c:v>82.960857552761524</c:v>
                </c:pt>
                <c:pt idx="140">
                  <c:v>82.563046129003439</c:v>
                </c:pt>
                <c:pt idx="141">
                  <c:v>82.163500435771965</c:v>
                </c:pt>
                <c:pt idx="142">
                  <c:v>81.761957130333002</c:v>
                </c:pt>
                <c:pt idx="143">
                  <c:v>81.358154130729474</c:v>
                </c:pt>
                <c:pt idx="144">
                  <c:v>80.951830765812659</c:v>
                </c:pt>
                <c:pt idx="145">
                  <c:v>80.542727910731145</c:v>
                </c:pt>
                <c:pt idx="146">
                  <c:v>80.130588108988249</c:v>
                </c:pt>
                <c:pt idx="147">
                  <c:v>79.715155682278507</c:v>
                </c:pt>
                <c:pt idx="148">
                  <c:v>79.296176829396273</c:v>
                </c:pt>
                <c:pt idx="149">
                  <c:v>78.87339971556581</c:v>
                </c:pt>
                <c:pt idx="150">
                  <c:v>78.446574553591063</c:v>
                </c:pt>
                <c:pt idx="151">
                  <c:v>78.01545367825382</c:v>
                </c:pt>
                <c:pt idx="152">
                  <c:v>77.579791615402669</c:v>
                </c:pt>
                <c:pt idx="153">
                  <c:v>77.13934514717603</c:v>
                </c:pt>
                <c:pt idx="154">
                  <c:v>76.693873374796084</c:v>
                </c:pt>
                <c:pt idx="155">
                  <c:v>76.243137780345137</c:v>
                </c:pt>
                <c:pt idx="156">
                  <c:v>75.78690228890818</c:v>
                </c:pt>
                <c:pt idx="157">
                  <c:v>75.324933332418425</c:v>
                </c:pt>
                <c:pt idx="158">
                  <c:v>74.856999916506254</c:v>
                </c:pt>
                <c:pt idx="159">
                  <c:v>74.382873691579832</c:v>
                </c:pt>
                <c:pt idx="160">
                  <c:v>73.902329029319702</c:v>
                </c:pt>
                <c:pt idx="161">
                  <c:v>73.415143105686766</c:v>
                </c:pt>
                <c:pt idx="162">
                  <c:v>72.92109599148155</c:v>
                </c:pt>
                <c:pt idx="163">
                  <c:v>72.419970751400953</c:v>
                </c:pt>
                <c:pt idx="164">
                  <c:v>71.911553552467481</c:v>
                </c:pt>
                <c:pt idx="165">
                  <c:v>71.395633782603241</c:v>
                </c:pt>
                <c:pt idx="166">
                  <c:v>70.872004180040719</c:v>
                </c:pt>
                <c:pt idx="167">
                  <c:v>70.340460974150091</c:v>
                </c:pt>
                <c:pt idx="168">
                  <c:v>69.800804038173254</c:v>
                </c:pt>
                <c:pt idx="169">
                  <c:v>69.252837054231478</c:v>
                </c:pt>
                <c:pt idx="170">
                  <c:v>68.696367690872421</c:v>
                </c:pt>
                <c:pt idx="171">
                  <c:v>68.131207793296653</c:v>
                </c:pt>
                <c:pt idx="172">
                  <c:v>67.557173586278907</c:v>
                </c:pt>
                <c:pt idx="173">
                  <c:v>66.97408588967005</c:v>
                </c:pt>
                <c:pt idx="174">
                  <c:v>66.381770346230908</c:v>
                </c:pt>
                <c:pt idx="175">
                  <c:v>65.780057661404499</c:v>
                </c:pt>
                <c:pt idx="176">
                  <c:v>65.168783854484772</c:v>
                </c:pt>
                <c:pt idx="177">
                  <c:v>64.547790520488832</c:v>
                </c:pt>
                <c:pt idx="178">
                  <c:v>63.916925101878498</c:v>
                </c:pt>
                <c:pt idx="179">
                  <c:v>63.276041169111586</c:v>
                </c:pt>
                <c:pt idx="180">
                  <c:v>62.624998708840685</c:v>
                </c:pt>
                <c:pt idx="181">
                  <c:v>61.963664418393584</c:v>
                </c:pt>
                <c:pt idx="182">
                  <c:v>61.291912005011532</c:v>
                </c:pt>
                <c:pt idx="183">
                  <c:v>60.609622488128011</c:v>
                </c:pt>
                <c:pt idx="184">
                  <c:v>59.916684502809318</c:v>
                </c:pt>
                <c:pt idx="185">
                  <c:v>59.212994602294785</c:v>
                </c:pt>
                <c:pt idx="186">
                  <c:v>58.49845755741196</c:v>
                </c:pt>
                <c:pt idx="187">
                  <c:v>57.772986650474166</c:v>
                </c:pt>
                <c:pt idx="188">
                  <c:v>57.036503961112317</c:v>
                </c:pt>
                <c:pt idx="189">
                  <c:v>56.288940641355616</c:v>
                </c:pt>
                <c:pt idx="190">
                  <c:v>55.53023717713814</c:v>
                </c:pt>
                <c:pt idx="191">
                  <c:v>54.760343633302746</c:v>
                </c:pt>
                <c:pt idx="192">
                  <c:v>53.979219879080794</c:v>
                </c:pt>
                <c:pt idx="193">
                  <c:v>53.186835790954269</c:v>
                </c:pt>
                <c:pt idx="194">
                  <c:v>52.383171429774116</c:v>
                </c:pt>
                <c:pt idx="195">
                  <c:v>51.56821718899041</c:v>
                </c:pt>
                <c:pt idx="196">
                  <c:v>50.741973910878549</c:v>
                </c:pt>
                <c:pt idx="197">
                  <c:v>49.904452967700813</c:v>
                </c:pt>
                <c:pt idx="198">
                  <c:v>49.055676304843566</c:v>
                </c:pt>
                <c:pt idx="199">
                  <c:v>48.195676443107011</c:v>
                </c:pt>
                <c:pt idx="200">
                  <c:v>47.324496437503974</c:v>
                </c:pt>
                <c:pt idx="201">
                  <c:v>46.442189790159595</c:v>
                </c:pt>
                <c:pt idx="202">
                  <c:v>45.548820315154025</c:v>
                </c:pt>
                <c:pt idx="203">
                  <c:v>44.644461953486136</c:v>
                </c:pt>
                <c:pt idx="204">
                  <c:v>43.72919853667134</c:v>
                </c:pt>
                <c:pt idx="205">
                  <c:v>42.803123497899001</c:v>
                </c:pt>
                <c:pt idx="206">
                  <c:v>41.866339530098799</c:v>
                </c:pt>
                <c:pt idx="207">
                  <c:v>40.918958190741684</c:v>
                </c:pt>
                <c:pt idx="208">
                  <c:v>39.961099453693151</c:v>
                </c:pt>
                <c:pt idx="209">
                  <c:v>38.992891208962334</c:v>
                </c:pt>
                <c:pt idx="210">
                  <c:v>38.014468711727751</c:v>
                </c:pt>
                <c:pt idx="211">
                  <c:v>37.025973982571912</c:v>
                </c:pt>
                <c:pt idx="212">
                  <c:v>36.027555161410426</c:v>
                </c:pt>
                <c:pt idx="213">
                  <c:v>35.019365818144095</c:v>
                </c:pt>
                <c:pt idx="214">
                  <c:v>34.001564223604525</c:v>
                </c:pt>
                <c:pt idx="215">
                  <c:v>32.974312584867882</c:v>
                </c:pt>
                <c:pt idx="216">
                  <c:v>31.93777624949843</c:v>
                </c:pt>
                <c:pt idx="217">
                  <c:v>30.892122883724351</c:v>
                </c:pt>
                <c:pt idx="218">
                  <c:v>29.837521629945794</c:v>
                </c:pt>
                <c:pt idx="219">
                  <c:v>28.77414224931848</c:v>
                </c:pt>
                <c:pt idx="220">
                  <c:v>27.702154255445343</c:v>
                </c:pt>
                <c:pt idx="221">
                  <c:v>26.621726045421973</c:v>
                </c:pt>
                <c:pt idx="222">
                  <c:v>25.533024034645859</c:v>
                </c:pt>
                <c:pt idx="223">
                  <c:v>24.43621180186863</c:v>
                </c:pt>
                <c:pt idx="224">
                  <c:v>23.331449250999945</c:v>
                </c:pt>
                <c:pt idx="225">
                  <c:v>22.218891796089064</c:v>
                </c:pt>
                <c:pt idx="226">
                  <c:v>21.098689575797373</c:v>
                </c:pt>
                <c:pt idx="227">
                  <c:v>19.970986703472597</c:v>
                </c:pt>
                <c:pt idx="228">
                  <c:v>18.83592055866594</c:v>
                </c:pt>
                <c:pt idx="229">
                  <c:v>17.693621125616406</c:v>
                </c:pt>
                <c:pt idx="230">
                  <c:v>16.544210383870421</c:v>
                </c:pt>
                <c:pt idx="231">
                  <c:v>15.387801755748669</c:v>
                </c:pt>
                <c:pt idx="232">
                  <c:v>14.224499614960999</c:v>
                </c:pt>
                <c:pt idx="233">
                  <c:v>13.054398860137352</c:v>
                </c:pt>
                <c:pt idx="234">
                  <c:v>11.877584556572309</c:v>
                </c:pt>
                <c:pt idx="235">
                  <c:v>10.694131648922992</c:v>
                </c:pt>
                <c:pt idx="236">
                  <c:v>9.5041047470873838</c:v>
                </c:pt>
                <c:pt idx="237">
                  <c:v>8.3075579869523768</c:v>
                </c:pt>
                <c:pt idx="238">
                  <c:v>7.1045349671701947</c:v>
                </c:pt>
                <c:pt idx="239">
                  <c:v>5.8950687626170888</c:v>
                </c:pt>
                <c:pt idx="240">
                  <c:v>4.6791820146957024</c:v>
                </c:pt>
                <c:pt idx="241">
                  <c:v>3.456887098157956</c:v>
                </c:pt>
                <c:pt idx="242">
                  <c:v>2.2281863637056283</c:v>
                </c:pt>
                <c:pt idx="243">
                  <c:v>0.99307245518706766</c:v>
                </c:pt>
                <c:pt idx="244">
                  <c:v>-0.24847130015491009</c:v>
                </c:pt>
                <c:pt idx="245">
                  <c:v>-1.4964704302982506</c:v>
                </c:pt>
                <c:pt idx="246">
                  <c:v>-2.750958788132154</c:v>
                </c:pt>
                <c:pt idx="247">
                  <c:v>-4.0119779547452072</c:v>
                </c:pt>
                <c:pt idx="248">
                  <c:v>-5.2795765790741678</c:v>
                </c:pt>
                <c:pt idx="249">
                  <c:v>-6.5538096569187605</c:v>
                </c:pt>
                <c:pt idx="250">
                  <c:v>-7.8347377525283219</c:v>
                </c:pt>
                <c:pt idx="251">
                  <c:v>-9.1224261661501984</c:v>
                </c:pt>
                <c:pt idx="252">
                  <c:v>-10.416944051098072</c:v>
                </c:pt>
                <c:pt idx="253">
                  <c:v>-11.718363484046437</c:v>
                </c:pt>
                <c:pt idx="254">
                  <c:v>-13.026758492397114</c:v>
                </c:pt>
                <c:pt idx="255">
                  <c:v>-14.342204042693087</c:v>
                </c:pt>
                <c:pt idx="256">
                  <c:v>-15.664774994177012</c:v>
                </c:pt>
                <c:pt idx="257">
                  <c:v>-16.994545021727298</c:v>
                </c:pt>
                <c:pt idx="258">
                  <c:v>-18.331585512510564</c:v>
                </c:pt>
                <c:pt idx="259">
                  <c:v>-19.675964440829322</c:v>
                </c:pt>
                <c:pt idx="260">
                  <c:v>-21.02774522577046</c:v>
                </c:pt>
                <c:pt idx="261">
                  <c:v>-22.386985576397908</c:v>
                </c:pt>
                <c:pt idx="262">
                  <c:v>-23.753736329371851</c:v>
                </c:pt>
                <c:pt idx="263">
                  <c:v>-25.128040284036913</c:v>
                </c:pt>
                <c:pt idx="264">
                  <c:v>-26.509931040159415</c:v>
                </c:pt>
                <c:pt idx="265">
                  <c:v>-27.899431843671884</c:v>
                </c:pt>
                <c:pt idx="266">
                  <c:v>-29.296554445922968</c:v>
                </c:pt>
                <c:pt idx="267">
                  <c:v>-30.701297982109761</c:v>
                </c:pt>
                <c:pt idx="268">
                  <c:v>-32.113647874703226</c:v>
                </c:pt>
                <c:pt idx="269">
                  <c:v>-33.533574767838843</c:v>
                </c:pt>
                <c:pt idx="270">
                  <c:v>-34.961033498764607</c:v>
                </c:pt>
                <c:pt idx="271">
                  <c:v>-36.395962112558614</c:v>
                </c:pt>
                <c:pt idx="272">
                  <c:v>-37.838280926402234</c:v>
                </c:pt>
                <c:pt idx="273">
                  <c:v>-39.287891649772014</c:v>
                </c:pt>
                <c:pt idx="274">
                  <c:v>-40.744676566909909</c:v>
                </c:pt>
                <c:pt idx="275">
                  <c:v>-42.208497787923761</c:v>
                </c:pt>
                <c:pt idx="276">
                  <c:v>-43.679196574788321</c:v>
                </c:pt>
                <c:pt idx="277">
                  <c:v>-45.156592748390096</c:v>
                </c:pt>
                <c:pt idx="278">
                  <c:v>-46.640484182572628</c:v>
                </c:pt>
                <c:pt idx="279">
                  <c:v>-48.130646390875171</c:v>
                </c:pt>
                <c:pt idx="280">
                  <c:v>-49.626832211343611</c:v>
                </c:pt>
                <c:pt idx="281">
                  <c:v>-51.128771594380318</c:v>
                </c:pt>
                <c:pt idx="282">
                  <c:v>-52.636171498139618</c:v>
                </c:pt>
                <c:pt idx="283">
                  <c:v>-54.1487158954126</c:v>
                </c:pt>
                <c:pt idx="284">
                  <c:v>-55.666065895328586</c:v>
                </c:pt>
                <c:pt idx="285">
                  <c:v>-57.187859982498992</c:v>
                </c:pt>
                <c:pt idx="286">
                  <c:v>-58.713714375457727</c:v>
                </c:pt>
                <c:pt idx="287">
                  <c:v>-60.243223505429349</c:v>
                </c:pt>
                <c:pt idx="288">
                  <c:v>-61.775960615552101</c:v>
                </c:pt>
                <c:pt idx="289">
                  <c:v>-63.311478479765121</c:v>
                </c:pt>
                <c:pt idx="290">
                  <c:v>-64.849310239576994</c:v>
                </c:pt>
                <c:pt idx="291">
                  <c:v>-66.388970355939904</c:v>
                </c:pt>
                <c:pt idx="292">
                  <c:v>-67.929955672444649</c:v>
                </c:pt>
                <c:pt idx="293">
                  <c:v>-69.471746585026651</c:v>
                </c:pt>
                <c:pt idx="294">
                  <c:v>-71.013808312387383</c:v>
                </c:pt>
                <c:pt idx="295">
                  <c:v>-72.555592260365032</c:v>
                </c:pt>
                <c:pt idx="296">
                  <c:v>-74.096537472571356</c:v>
                </c:pt>
                <c:pt idx="297">
                  <c:v>-75.636072158750693</c:v>
                </c:pt>
                <c:pt idx="298">
                  <c:v>-77.173615291541282</c:v>
                </c:pt>
                <c:pt idx="299">
                  <c:v>-78.708578261620602</c:v>
                </c:pt>
                <c:pt idx="300">
                  <c:v>-80.240366580636206</c:v>
                </c:pt>
                <c:pt idx="301">
                  <c:v>-81.76838162083537</c:v>
                </c:pt>
                <c:pt idx="302">
                  <c:v>-83.292022379965843</c:v>
                </c:pt>
                <c:pt idx="303">
                  <c:v>-84.810687259777907</c:v>
                </c:pt>
                <c:pt idx="304">
                  <c:v>-86.323775846375597</c:v>
                </c:pt>
                <c:pt idx="305">
                  <c:v>-87.830690680699234</c:v>
                </c:pt>
                <c:pt idx="306">
                  <c:v>-89.330839007597845</c:v>
                </c:pt>
                <c:pt idx="307">
                  <c:v>-90.823634492248232</c:v>
                </c:pt>
                <c:pt idx="308">
                  <c:v>-92.30849889312131</c:v>
                </c:pt>
                <c:pt idx="309">
                  <c:v>-93.784863681223129</c:v>
                </c:pt>
                <c:pt idx="310">
                  <c:v>-95.252171596011834</c:v>
                </c:pt>
                <c:pt idx="311">
                  <c:v>-96.709878129134168</c:v>
                </c:pt>
                <c:pt idx="312">
                  <c:v>-98.157452927956399</c:v>
                </c:pt>
                <c:pt idx="313">
                  <c:v>-99.5943811117736</c:v>
                </c:pt>
                <c:pt idx="314">
                  <c:v>-101.02016449453366</c:v>
                </c:pt>
                <c:pt idx="315">
                  <c:v>-102.43432270891212</c:v>
                </c:pt>
                <c:pt idx="316">
                  <c:v>-103.83639422757871</c:v>
                </c:pt>
                <c:pt idx="317">
                  <c:v>-105.22593727854245</c:v>
                </c:pt>
                <c:pt idx="318">
                  <c:v>-106.60253065245368</c:v>
                </c:pt>
                <c:pt idx="319">
                  <c:v>-107.96577440075822</c:v>
                </c:pt>
                <c:pt idx="320">
                  <c:v>-109.31529042455104</c:v>
                </c:pt>
                <c:pt idx="321">
                  <c:v>-110.65072295488336</c:v>
                </c:pt>
                <c:pt idx="322">
                  <c:v>-111.97173892615703</c:v>
                </c:pt>
                <c:pt idx="323">
                  <c:v>-113.27802824501549</c:v>
                </c:pt>
                <c:pt idx="324">
                  <c:v>-114.5693039578757</c:v>
                </c:pt>
                <c:pt idx="325">
                  <c:v>-115.84530232088363</c:v>
                </c:pt>
                <c:pt idx="326">
                  <c:v>-117.10578277665131</c:v>
                </c:pt>
                <c:pt idx="327">
                  <c:v>-118.35052784261877</c:v>
                </c:pt>
                <c:pt idx="328">
                  <c:v>-119.57934291627362</c:v>
                </c:pt>
                <c:pt idx="329">
                  <c:v>-120.79205600281324</c:v>
                </c:pt>
                <c:pt idx="330">
                  <c:v>-121.98851737102561</c:v>
                </c:pt>
                <c:pt idx="331">
                  <c:v>-123.16859914340017</c:v>
                </c:pt>
                <c:pt idx="332">
                  <c:v>-124.33219482650401</c:v>
                </c:pt>
                <c:pt idx="333">
                  <c:v>-125.47921878775034</c:v>
                </c:pt>
                <c:pt idx="334">
                  <c:v>-126.60960568459552</c:v>
                </c:pt>
                <c:pt idx="335">
                  <c:v>-127.72330985216426</c:v>
                </c:pt>
                <c:pt idx="336">
                  <c:v>-128.82030465511721</c:v>
                </c:pt>
                <c:pt idx="337">
                  <c:v>-129.90058180943569</c:v>
                </c:pt>
                <c:pt idx="338">
                  <c:v>-130.96415067954393</c:v>
                </c:pt>
                <c:pt idx="339">
                  <c:v>-132.01103755596537</c:v>
                </c:pt>
                <c:pt idx="340">
                  <c:v>-133.04128491841828</c:v>
                </c:pt>
                <c:pt idx="341">
                  <c:v>-134.0549506889802</c:v>
                </c:pt>
                <c:pt idx="342">
                  <c:v>-135.05210747962022</c:v>
                </c:pt>
                <c:pt idx="343">
                  <c:v>-136.03284183810413</c:v>
                </c:pt>
                <c:pt idx="344">
                  <c:v>-136.99725349594002</c:v>
                </c:pt>
                <c:pt idx="345">
                  <c:v>-137.94545462172175</c:v>
                </c:pt>
                <c:pt idx="346">
                  <c:v>-138.8775690828995</c:v>
                </c:pt>
                <c:pt idx="347">
                  <c:v>-139.79373171869571</c:v>
                </c:pt>
                <c:pt idx="348">
                  <c:v>-140.69408762658924</c:v>
                </c:pt>
                <c:pt idx="349">
                  <c:v>-141.57879146448275</c:v>
                </c:pt>
                <c:pt idx="350">
                  <c:v>-142.44800677039655</c:v>
                </c:pt>
                <c:pt idx="351">
                  <c:v>-143.30190530126464</c:v>
                </c:pt>
                <c:pt idx="352">
                  <c:v>-144.14066639215213</c:v>
                </c:pt>
                <c:pt idx="353">
                  <c:v>-144.96447633698045</c:v>
                </c:pt>
                <c:pt idx="354">
                  <c:v>-145.77352779163147</c:v>
                </c:pt>
                <c:pt idx="355">
                  <c:v>-146.56801920008246</c:v>
                </c:pt>
                <c:pt idx="356">
                  <c:v>-147.34815424405812</c:v>
                </c:pt>
                <c:pt idx="357">
                  <c:v>-148.11414131650088</c:v>
                </c:pt>
                <c:pt idx="358">
                  <c:v>-148.8661930190074</c:v>
                </c:pt>
                <c:pt idx="359">
                  <c:v>-149.60452568324521</c:v>
                </c:pt>
                <c:pt idx="360">
                  <c:v>-150.32935891623859</c:v>
                </c:pt>
                <c:pt idx="361">
                  <c:v>-151.04091516929225</c:v>
                </c:pt>
                <c:pt idx="362">
                  <c:v>-151.73941933024119</c:v>
                </c:pt>
                <c:pt idx="363">
                  <c:v>-152.42509833861436</c:v>
                </c:pt>
                <c:pt idx="364">
                  <c:v>-153.09818082324009</c:v>
                </c:pt>
                <c:pt idx="365">
                  <c:v>-153.75889676174958</c:v>
                </c:pt>
                <c:pt idx="366">
                  <c:v>-154.40747716139137</c:v>
                </c:pt>
                <c:pt idx="367">
                  <c:v>-155.04415376052003</c:v>
                </c:pt>
                <c:pt idx="368">
                  <c:v>-155.66915875009735</c:v>
                </c:pt>
                <c:pt idx="369">
                  <c:v>-156.28272451450746</c:v>
                </c:pt>
                <c:pt idx="370">
                  <c:v>-156.88508339097939</c:v>
                </c:pt>
                <c:pt idx="371">
                  <c:v>-157.47646744688882</c:v>
                </c:pt>
                <c:pt idx="372">
                  <c:v>-158.05710827420975</c:v>
                </c:pt>
                <c:pt idx="373">
                  <c:v>-158.62723680038059</c:v>
                </c:pt>
                <c:pt idx="374">
                  <c:v>-159.18708311485281</c:v>
                </c:pt>
                <c:pt idx="375">
                  <c:v>-159.73687631059789</c:v>
                </c:pt>
                <c:pt idx="376">
                  <c:v>-160.27684433985272</c:v>
                </c:pt>
                <c:pt idx="377">
                  <c:v>-160.80721388340149</c:v>
                </c:pt>
                <c:pt idx="378">
                  <c:v>-161.32821023270148</c:v>
                </c:pt>
                <c:pt idx="379">
                  <c:v>-161.8400571841803</c:v>
                </c:pt>
                <c:pt idx="380">
                  <c:v>-162.34297694504599</c:v>
                </c:pt>
                <c:pt idx="381">
                  <c:v>-162.83719004997562</c:v>
                </c:pt>
                <c:pt idx="382">
                  <c:v>-163.3229152880628</c:v>
                </c:pt>
                <c:pt idx="383">
                  <c:v>-163.80036963943169</c:v>
                </c:pt>
                <c:pt idx="384">
                  <c:v>-164.26976822094068</c:v>
                </c:pt>
                <c:pt idx="385">
                  <c:v>-164.73132424042305</c:v>
                </c:pt>
                <c:pt idx="386">
                  <c:v>-165.18524895893668</c:v>
                </c:pt>
                <c:pt idx="387">
                  <c:v>-165.6317516605115</c:v>
                </c:pt>
                <c:pt idx="388">
                  <c:v>-166.07103962891077</c:v>
                </c:pt>
                <c:pt idx="389">
                  <c:v>-166.50331813093626</c:v>
                </c:pt>
                <c:pt idx="390">
                  <c:v>-166.92879040583867</c:v>
                </c:pt>
                <c:pt idx="391">
                  <c:v>-167.34765766040437</c:v>
                </c:pt>
                <c:pt idx="392">
                  <c:v>-167.76011906931799</c:v>
                </c:pt>
                <c:pt idx="393">
                  <c:v>-168.16637178041518</c:v>
                </c:pt>
                <c:pt idx="394">
                  <c:v>-168.56661092445958</c:v>
                </c:pt>
                <c:pt idx="395">
                  <c:v>-168.96102962909686</c:v>
                </c:pt>
                <c:pt idx="396">
                  <c:v>-169.3498190366555</c:v>
                </c:pt>
                <c:pt idx="397">
                  <c:v>-169.73316832548005</c:v>
                </c:pt>
                <c:pt idx="398">
                  <c:v>-170.11126473449812</c:v>
                </c:pt>
                <c:pt idx="399">
                  <c:v>-170.48429359073941</c:v>
                </c:pt>
                <c:pt idx="400">
                  <c:v>-170.85243833953595</c:v>
                </c:pt>
                <c:pt idx="401">
                  <c:v>-171.21588057714874</c:v>
                </c:pt>
                <c:pt idx="402">
                  <c:v>-171.57480008557656</c:v>
                </c:pt>
                <c:pt idx="403">
                  <c:v>-171.92937486931669</c:v>
                </c:pt>
                <c:pt idx="404">
                  <c:v>-172.279781193855</c:v>
                </c:pt>
                <c:pt idx="405">
                  <c:v>-172.626193625676</c:v>
                </c:pt>
                <c:pt idx="406">
                  <c:v>-172.9687850735915</c:v>
                </c:pt>
                <c:pt idx="407">
                  <c:v>-173.30772683119437</c:v>
                </c:pt>
                <c:pt idx="408">
                  <c:v>-173.64318862025283</c:v>
                </c:pt>
                <c:pt idx="409">
                  <c:v>-173.97533863486791</c:v>
                </c:pt>
                <c:pt idx="410">
                  <c:v>-174.30434358622102</c:v>
                </c:pt>
                <c:pt idx="411">
                  <c:v>-174.63036874774753</c:v>
                </c:pt>
                <c:pt idx="412">
                  <c:v>-174.95357800057283</c:v>
                </c:pt>
                <c:pt idx="413">
                  <c:v>-175.27413387905611</c:v>
                </c:pt>
                <c:pt idx="414">
                  <c:v>-175.59219761628597</c:v>
                </c:pt>
                <c:pt idx="415">
                  <c:v>-175.90792918937919</c:v>
                </c:pt>
                <c:pt idx="416">
                  <c:v>-176.22148736443219</c:v>
                </c:pt>
                <c:pt idx="417">
                  <c:v>-176.53302974097844</c:v>
                </c:pt>
                <c:pt idx="418">
                  <c:v>-176.8427127958054</c:v>
                </c:pt>
                <c:pt idx="419">
                  <c:v>-177.15069192598384</c:v>
                </c:pt>
                <c:pt idx="420">
                  <c:v>-177.45712149096335</c:v>
                </c:pt>
                <c:pt idx="421">
                  <c:v>-177.76215485358514</c:v>
                </c:pt>
                <c:pt idx="422">
                  <c:v>-178.06594441986184</c:v>
                </c:pt>
                <c:pt idx="423">
                  <c:v>-178.36864167737355</c:v>
                </c:pt>
                <c:pt idx="424">
                  <c:v>-178.67039723212159</c:v>
                </c:pt>
                <c:pt idx="425">
                  <c:v>-178.97136084368466</c:v>
                </c:pt>
                <c:pt idx="426">
                  <c:v>-179.27168145851144</c:v>
                </c:pt>
                <c:pt idx="427">
                  <c:v>-179.57150724118176</c:v>
                </c:pt>
                <c:pt idx="428">
                  <c:v>-179.870985603463</c:v>
                </c:pt>
                <c:pt idx="429">
                  <c:v>179.82973676901446</c:v>
                </c:pt>
                <c:pt idx="430">
                  <c:v>179.53051389265568</c:v>
                </c:pt>
                <c:pt idx="431">
                  <c:v>179.2312004645587</c:v>
                </c:pt>
                <c:pt idx="432">
                  <c:v>178.93165184413775</c:v>
                </c:pt>
                <c:pt idx="433">
                  <c:v>178.63172403791486</c:v>
                </c:pt>
                <c:pt idx="434">
                  <c:v>178.33127368770269</c:v>
                </c:pt>
                <c:pt idx="435">
                  <c:v>178.03015806239924</c:v>
                </c:pt>
                <c:pt idx="436">
                  <c:v>177.72823505363255</c:v>
                </c:pt>
                <c:pt idx="437">
                  <c:v>177.42536317549724</c:v>
                </c:pt>
                <c:pt idx="438">
                  <c:v>177.12140156864115</c:v>
                </c:pt>
                <c:pt idx="439">
                  <c:v>176.81621000896254</c:v>
                </c:pt>
                <c:pt idx="440">
                  <c:v>176.50964892119569</c:v>
                </c:pt>
                <c:pt idx="441">
                  <c:v>176.20157939766912</c:v>
                </c:pt>
                <c:pt idx="442">
                  <c:v>175.89186322253136</c:v>
                </c:pt>
                <c:pt idx="443">
                  <c:v>175.58036290175303</c:v>
                </c:pt>
                <c:pt idx="444">
                  <c:v>175.26694169921845</c:v>
                </c:pt>
                <c:pt idx="445">
                  <c:v>174.951463679234</c:v>
                </c:pt>
                <c:pt idx="446">
                  <c:v>174.63379375579072</c:v>
                </c:pt>
                <c:pt idx="447">
                  <c:v>174.31379774892207</c:v>
                </c:pt>
                <c:pt idx="448">
                  <c:v>173.99134244851265</c:v>
                </c:pt>
                <c:pt idx="449">
                  <c:v>173.66629568591409</c:v>
                </c:pt>
                <c:pt idx="450">
                  <c:v>173.3385264137375</c:v>
                </c:pt>
                <c:pt idx="451">
                  <c:v>173.00790479418924</c:v>
                </c:pt>
                <c:pt idx="452">
                  <c:v>172.67430229632561</c:v>
                </c:pt>
                <c:pt idx="453">
                  <c:v>172.33759180259824</c:v>
                </c:pt>
                <c:pt idx="454">
                  <c:v>171.997647725067</c:v>
                </c:pt>
                <c:pt idx="455">
                  <c:v>171.65434613164649</c:v>
                </c:pt>
                <c:pt idx="456">
                  <c:v>171.30756488275219</c:v>
                </c:pt>
                <c:pt idx="457">
                  <c:v>170.95718377869935</c:v>
                </c:pt>
                <c:pt idx="458">
                  <c:v>170.60308471819525</c:v>
                </c:pt>
                <c:pt idx="459">
                  <c:v>170.24515186825067</c:v>
                </c:pt>
                <c:pt idx="460">
                  <c:v>169.88327184581198</c:v>
                </c:pt>
                <c:pt idx="461">
                  <c:v>169.51733391139237</c:v>
                </c:pt>
                <c:pt idx="462">
                  <c:v>169.1472301749485</c:v>
                </c:pt>
                <c:pt idx="463">
                  <c:v>168.77285581421123</c:v>
                </c:pt>
                <c:pt idx="464">
                  <c:v>168.39410930563878</c:v>
                </c:pt>
                <c:pt idx="465">
                  <c:v>168.01089266810982</c:v>
                </c:pt>
                <c:pt idx="466">
                  <c:v>167.6231117194194</c:v>
                </c:pt>
                <c:pt idx="467">
                  <c:v>167.23067634557515</c:v>
                </c:pt>
                <c:pt idx="468">
                  <c:v>166.83350078282351</c:v>
                </c:pt>
                <c:pt idx="469">
                  <c:v>166.4315039122547</c:v>
                </c:pt>
                <c:pt idx="470">
                  <c:v>166.02460956674838</c:v>
                </c:pt>
                <c:pt idx="471">
                  <c:v>165.61274684992682</c:v>
                </c:pt>
                <c:pt idx="472">
                  <c:v>165.19585046667902</c:v>
                </c:pt>
                <c:pt idx="473">
                  <c:v>164.77386106470414</c:v>
                </c:pt>
                <c:pt idx="474">
                  <c:v>164.34672558640364</c:v>
                </c:pt>
                <c:pt idx="475">
                  <c:v>163.9143976303217</c:v>
                </c:pt>
                <c:pt idx="476">
                  <c:v>163.47683782119174</c:v>
                </c:pt>
                <c:pt idx="477">
                  <c:v>163.03401418750946</c:v>
                </c:pt>
                <c:pt idx="478">
                  <c:v>162.58590254539234</c:v>
                </c:pt>
                <c:pt idx="479">
                  <c:v>162.13248688733302</c:v>
                </c:pt>
                <c:pt idx="480">
                  <c:v>161.6737597742906</c:v>
                </c:pt>
                <c:pt idx="481">
                  <c:v>161.20972272939403</c:v>
                </c:pt>
                <c:pt idx="482">
                  <c:v>160.74038663136918</c:v>
                </c:pt>
                <c:pt idx="483">
                  <c:v>160.2657721056286</c:v>
                </c:pt>
                <c:pt idx="484">
                  <c:v>159.7859099107979</c:v>
                </c:pt>
                <c:pt idx="485">
                  <c:v>159.30084131829116</c:v>
                </c:pt>
                <c:pt idx="486">
                  <c:v>158.81061848239426</c:v>
                </c:pt>
                <c:pt idx="487">
                  <c:v>158.31530479816286</c:v>
                </c:pt>
                <c:pt idx="488">
                  <c:v>157.81497524431867</c:v>
                </c:pt>
                <c:pt idx="489">
                  <c:v>157.30971670819969</c:v>
                </c:pt>
                <c:pt idx="490">
                  <c:v>156.79962828972839</c:v>
                </c:pt>
                <c:pt idx="491">
                  <c:v>156.28482158128381</c:v>
                </c:pt>
                <c:pt idx="492">
                  <c:v>155.76542092030979</c:v>
                </c:pt>
                <c:pt idx="493">
                  <c:v>155.2415636114703</c:v>
                </c:pt>
                <c:pt idx="494">
                  <c:v>154.71340011517856</c:v>
                </c:pt>
                <c:pt idx="495">
                  <c:v>154.18109419935786</c:v>
                </c:pt>
                <c:pt idx="496">
                  <c:v>153.64482305138799</c:v>
                </c:pt>
                <c:pt idx="497">
                  <c:v>153.10477734730324</c:v>
                </c:pt>
                <c:pt idx="498">
                  <c:v>152.56116127547725</c:v>
                </c:pt>
                <c:pt idx="499">
                  <c:v>152.01419251222933</c:v>
                </c:pt>
                <c:pt idx="500">
                  <c:v>151.46410214704662</c:v>
                </c:pt>
                <c:pt idx="501">
                  <c:v>150.91113455539173</c:v>
                </c:pt>
                <c:pt idx="502">
                  <c:v>150.35554721742508</c:v>
                </c:pt>
                <c:pt idx="503">
                  <c:v>149.79761048131579</c:v>
                </c:pt>
                <c:pt idx="504">
                  <c:v>149.23760727025635</c:v>
                </c:pt>
                <c:pt idx="505">
                  <c:v>148.6758327327191</c:v>
                </c:pt>
                <c:pt idx="506">
                  <c:v>148.11259383598477</c:v>
                </c:pt>
                <c:pt idx="507">
                  <c:v>147.54820890346053</c:v>
                </c:pt>
                <c:pt idx="508">
                  <c:v>146.98300709683124</c:v>
                </c:pt>
                <c:pt idx="509">
                  <c:v>146.41732784460811</c:v>
                </c:pt>
                <c:pt idx="510">
                  <c:v>145.85152021917511</c:v>
                </c:pt>
                <c:pt idx="511">
                  <c:v>145.2859422649565</c:v>
                </c:pt>
                <c:pt idx="512">
                  <c:v>144.72096028084073</c:v>
                </c:pt>
                <c:pt idx="513">
                  <c:v>144.15694806049149</c:v>
                </c:pt>
                <c:pt idx="514">
                  <c:v>143.59428609463276</c:v>
                </c:pt>
                <c:pt idx="515">
                  <c:v>143.03336073982229</c:v>
                </c:pt>
                <c:pt idx="516">
                  <c:v>142.47456335859971</c:v>
                </c:pt>
                <c:pt idx="517">
                  <c:v>141.91828943622761</c:v>
                </c:pt>
                <c:pt idx="518">
                  <c:v>141.36493767950242</c:v>
                </c:pt>
                <c:pt idx="519">
                  <c:v>140.81490910331956</c:v>
                </c:pt>
                <c:pt idx="520">
                  <c:v>140.26860611080951</c:v>
                </c:pt>
                <c:pt idx="521">
                  <c:v>139.72643157292143</c:v>
                </c:pt>
                <c:pt idx="522">
                  <c:v>139.18878791333435</c:v>
                </c:pt>
                <c:pt idx="523">
                  <c:v>138.65607620447938</c:v>
                </c:pt>
                <c:pt idx="524">
                  <c:v>138.12869528032124</c:v>
                </c:pt>
                <c:pt idx="525">
                  <c:v>137.60704087132231</c:v>
                </c:pt>
                <c:pt idx="526">
                  <c:v>137.09150476673068</c:v>
                </c:pt>
                <c:pt idx="527">
                  <c:v>136.58247400899572</c:v>
                </c:pt>
                <c:pt idx="528">
                  <c:v>136.08033012472495</c:v>
                </c:pt>
                <c:pt idx="529">
                  <c:v>135.58544839614569</c:v>
                </c:pt>
                <c:pt idx="530">
                  <c:v>135.098197176582</c:v>
                </c:pt>
                <c:pt idx="531">
                  <c:v>134.61893725292765</c:v>
                </c:pt>
                <c:pt idx="532">
                  <c:v>134.14802125758843</c:v>
                </c:pt>
                <c:pt idx="533">
                  <c:v>133.68579313181513</c:v>
                </c:pt>
                <c:pt idx="534">
                  <c:v>133.23258764181753</c:v>
                </c:pt>
                <c:pt idx="535">
                  <c:v>132.7887299484922</c:v>
                </c:pt>
                <c:pt idx="536">
                  <c:v>132.35453523109294</c:v>
                </c:pt>
                <c:pt idx="537">
                  <c:v>131.9303083646297</c:v>
                </c:pt>
                <c:pt idx="538">
                  <c:v>131.51634365032649</c:v>
                </c:pt>
                <c:pt idx="539">
                  <c:v>131.11292459799063</c:v>
                </c:pt>
                <c:pt idx="540">
                  <c:v>130.72032375872774</c:v>
                </c:pt>
                <c:pt idx="541">
                  <c:v>130.33880260605537</c:v>
                </c:pt>
              </c:numCache>
            </c:numRef>
          </c:yVal>
          <c:smooth val="1"/>
          <c:extLst>
            <c:ext xmlns:c16="http://schemas.microsoft.com/office/drawing/2014/chart" uri="{C3380CC4-5D6E-409C-BE32-E72D297353CC}">
              <c16:uniqueId val="{00000009-2366-45D5-89AB-25312676E0B6}"/>
            </c:ext>
          </c:extLst>
        </c:ser>
        <c:dLbls>
          <c:showLegendKey val="0"/>
          <c:showVal val="0"/>
          <c:showCatName val="0"/>
          <c:showSerName val="0"/>
          <c:showPercent val="0"/>
          <c:showBubbleSize val="0"/>
        </c:dLbls>
        <c:axId val="589562624"/>
        <c:axId val="589421184"/>
      </c:scatterChart>
      <c:valAx>
        <c:axId val="589404800"/>
        <c:scaling>
          <c:logBase val="10"/>
          <c:orientation val="minMax"/>
          <c:max val="2000000"/>
          <c:min val="100"/>
        </c:scaling>
        <c:delete val="0"/>
        <c:axPos val="b"/>
        <c:minorGridlines/>
        <c:title>
          <c:tx>
            <c:rich>
              <a:bodyPr/>
              <a:lstStyle/>
              <a:p>
                <a:pPr>
                  <a:defRPr/>
                </a:pPr>
                <a:r>
                  <a:rPr lang="en-US"/>
                  <a:t>Frequency</a:t>
                </a:r>
                <a:r>
                  <a:rPr lang="en-US" baseline="0"/>
                  <a:t> (Hz)</a:t>
                </a:r>
                <a:endParaRPr lang="en-US"/>
              </a:p>
            </c:rich>
          </c:tx>
          <c:overlay val="0"/>
        </c:title>
        <c:numFmt formatCode="0" sourceLinked="0"/>
        <c:majorTickMark val="out"/>
        <c:minorTickMark val="none"/>
        <c:tickLblPos val="low"/>
        <c:txPr>
          <a:bodyPr/>
          <a:lstStyle/>
          <a:p>
            <a:pPr>
              <a:defRPr b="1"/>
            </a:pPr>
            <a:endParaRPr lang="en-US"/>
          </a:p>
        </c:txPr>
        <c:crossAx val="589419264"/>
        <c:crosses val="autoZero"/>
        <c:crossBetween val="midCat"/>
      </c:valAx>
      <c:valAx>
        <c:axId val="589419264"/>
        <c:scaling>
          <c:orientation val="minMax"/>
          <c:max val="40"/>
          <c:min val="-40"/>
        </c:scaling>
        <c:delete val="0"/>
        <c:axPos val="l"/>
        <c:majorGridlines/>
        <c:minorGridlines/>
        <c:title>
          <c:tx>
            <c:rich>
              <a:bodyPr rot="-5400000" vert="horz"/>
              <a:lstStyle/>
              <a:p>
                <a:pPr>
                  <a:defRPr/>
                </a:pPr>
                <a:r>
                  <a:rPr lang="en-US">
                    <a:solidFill>
                      <a:srgbClr val="FF0000"/>
                    </a:solidFill>
                  </a:rPr>
                  <a:t>Gain</a:t>
                </a:r>
                <a:r>
                  <a:rPr lang="en-US" baseline="0">
                    <a:solidFill>
                      <a:srgbClr val="FF0000"/>
                    </a:solidFill>
                  </a:rPr>
                  <a:t> (dB)</a:t>
                </a:r>
                <a:endParaRPr lang="en-US">
                  <a:solidFill>
                    <a:srgbClr val="FF0000"/>
                  </a:solidFill>
                </a:endParaRPr>
              </a:p>
            </c:rich>
          </c:tx>
          <c:overlay val="0"/>
        </c:title>
        <c:numFmt formatCode="General" sourceLinked="0"/>
        <c:majorTickMark val="out"/>
        <c:minorTickMark val="none"/>
        <c:tickLblPos val="nextTo"/>
        <c:txPr>
          <a:bodyPr/>
          <a:lstStyle/>
          <a:p>
            <a:pPr>
              <a:defRPr b="1">
                <a:solidFill>
                  <a:srgbClr val="FF0000"/>
                </a:solidFill>
              </a:defRPr>
            </a:pPr>
            <a:endParaRPr lang="en-US"/>
          </a:p>
        </c:txPr>
        <c:crossAx val="589404800"/>
        <c:crosses val="autoZero"/>
        <c:crossBetween val="midCat"/>
        <c:majorUnit val="20"/>
        <c:minorUnit val="10"/>
      </c:valAx>
      <c:valAx>
        <c:axId val="589421184"/>
        <c:scaling>
          <c:orientation val="minMax"/>
          <c:max val="180"/>
          <c:min val="-180"/>
        </c:scaling>
        <c:delete val="0"/>
        <c:axPos val="r"/>
        <c:title>
          <c:tx>
            <c:rich>
              <a:bodyPr rot="-5400000" vert="horz"/>
              <a:lstStyle/>
              <a:p>
                <a:pPr>
                  <a:defRPr/>
                </a:pPr>
                <a:r>
                  <a:rPr lang="en-US"/>
                  <a:t>Phase (deg)</a:t>
                </a:r>
              </a:p>
            </c:rich>
          </c:tx>
          <c:overlay val="0"/>
        </c:title>
        <c:numFmt formatCode="General" sourceLinked="1"/>
        <c:majorTickMark val="out"/>
        <c:minorTickMark val="none"/>
        <c:tickLblPos val="nextTo"/>
        <c:txPr>
          <a:bodyPr/>
          <a:lstStyle/>
          <a:p>
            <a:pPr>
              <a:defRPr b="1">
                <a:solidFill>
                  <a:schemeClr val="tx1">
                    <a:lumMod val="95000"/>
                    <a:lumOff val="5000"/>
                  </a:schemeClr>
                </a:solidFill>
              </a:defRPr>
            </a:pPr>
            <a:endParaRPr lang="en-US"/>
          </a:p>
        </c:txPr>
        <c:crossAx val="589562624"/>
        <c:crosses val="max"/>
        <c:crossBetween val="midCat"/>
        <c:majorUnit val="90"/>
        <c:minorUnit val="45"/>
      </c:valAx>
      <c:valAx>
        <c:axId val="589562624"/>
        <c:scaling>
          <c:logBase val="10"/>
          <c:orientation val="minMax"/>
        </c:scaling>
        <c:delete val="1"/>
        <c:axPos val="b"/>
        <c:numFmt formatCode="0.00" sourceLinked="1"/>
        <c:majorTickMark val="out"/>
        <c:minorTickMark val="none"/>
        <c:tickLblPos val="nextTo"/>
        <c:crossAx val="589421184"/>
        <c:crosses val="autoZero"/>
        <c:crossBetween val="midCat"/>
      </c:valAx>
    </c:plotArea>
    <c:legend>
      <c:legendPos val="r"/>
      <c:legendEntry>
        <c:idx val="1"/>
        <c:delete val="1"/>
      </c:legendEntry>
      <c:legendEntry>
        <c:idx val="2"/>
        <c:delete val="1"/>
      </c:legendEntry>
      <c:legendEntry>
        <c:idx val="3"/>
        <c:delete val="1"/>
      </c:legendEntry>
      <c:legendEntry>
        <c:idx val="4"/>
        <c:delete val="1"/>
      </c:legendEntry>
      <c:layout>
        <c:manualLayout>
          <c:xMode val="edge"/>
          <c:yMode val="edge"/>
          <c:x val="0.61392536510371165"/>
          <c:y val="7.0381012799940294E-3"/>
          <c:w val="0.28497500584606611"/>
          <c:h val="7.9643865606846526E-2"/>
        </c:manualLayout>
      </c:layout>
      <c:overlay val="1"/>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Error</a:t>
            </a:r>
            <a:r>
              <a:rPr lang="en-US" baseline="0"/>
              <a:t> Amplifier Transfer</a:t>
            </a:r>
          </a:p>
        </c:rich>
      </c:tx>
      <c:overlay val="0"/>
    </c:title>
    <c:autoTitleDeleted val="0"/>
    <c:plotArea>
      <c:layout/>
      <c:scatterChart>
        <c:scatterStyle val="smoothMarker"/>
        <c:varyColors val="0"/>
        <c:ser>
          <c:idx val="0"/>
          <c:order val="0"/>
          <c:marker>
            <c:symbol val="none"/>
          </c:marker>
          <c:xVal>
            <c:numRef>
              <c:f>CCM_Loop_Modeling_Isolated!$O$19:$O$560</c:f>
              <c:numCache>
                <c:formatCode>0.00</c:formatCode>
                <c:ptCount val="542"/>
                <c:pt idx="0">
                  <c:v>10.232929922807543</c:v>
                </c:pt>
                <c:pt idx="1">
                  <c:v>10.471285480509</c:v>
                </c:pt>
                <c:pt idx="2">
                  <c:v>10.715193052376069</c:v>
                </c:pt>
                <c:pt idx="3">
                  <c:v>10.964781961431854</c:v>
                </c:pt>
                <c:pt idx="4">
                  <c:v>11.220184543019636</c:v>
                </c:pt>
                <c:pt idx="5">
                  <c:v>11.481536214968834</c:v>
                </c:pt>
                <c:pt idx="6">
                  <c:v>11.748975549395301</c:v>
                </c:pt>
                <c:pt idx="7">
                  <c:v>12.022644346174133</c:v>
                </c:pt>
                <c:pt idx="8">
                  <c:v>12.302687708123818</c:v>
                </c:pt>
                <c:pt idx="9">
                  <c:v>12.58925411794168</c:v>
                </c:pt>
                <c:pt idx="10">
                  <c:v>12.882495516931346</c:v>
                </c:pt>
                <c:pt idx="11">
                  <c:v>13.182567385564075</c:v>
                </c:pt>
                <c:pt idx="12">
                  <c:v>13.489628825916535</c:v>
                </c:pt>
                <c:pt idx="13">
                  <c:v>13.803842646028857</c:v>
                </c:pt>
                <c:pt idx="14">
                  <c:v>14.125375446227544</c:v>
                </c:pt>
                <c:pt idx="15">
                  <c:v>14.454397707459275</c:v>
                </c:pt>
                <c:pt idx="16">
                  <c:v>14.791083881682074</c:v>
                </c:pt>
                <c:pt idx="17">
                  <c:v>15.135612484362087</c:v>
                </c:pt>
                <c:pt idx="18">
                  <c:v>15.488166189124817</c:v>
                </c:pt>
                <c:pt idx="19">
                  <c:v>15.848931924611136</c:v>
                </c:pt>
                <c:pt idx="20">
                  <c:v>16.218100973589298</c:v>
                </c:pt>
                <c:pt idx="21">
                  <c:v>16.595869074375614</c:v>
                </c:pt>
                <c:pt idx="22">
                  <c:v>16.982436524617448</c:v>
                </c:pt>
                <c:pt idx="23">
                  <c:v>17.378008287493756</c:v>
                </c:pt>
                <c:pt idx="24">
                  <c:v>17.782794100389236</c:v>
                </c:pt>
                <c:pt idx="25">
                  <c:v>18.197008586099841</c:v>
                </c:pt>
                <c:pt idx="26">
                  <c:v>18.62087136662868</c:v>
                </c:pt>
                <c:pt idx="27">
                  <c:v>19.054607179632477</c:v>
                </c:pt>
                <c:pt idx="28">
                  <c:v>19.498445997580465</c:v>
                </c:pt>
                <c:pt idx="29">
                  <c:v>19.952623149688804</c:v>
                </c:pt>
                <c:pt idx="30">
                  <c:v>20.4173794466953</c:v>
                </c:pt>
                <c:pt idx="31">
                  <c:v>20.8929613085404</c:v>
                </c:pt>
                <c:pt idx="32">
                  <c:v>21.379620895022335</c:v>
                </c:pt>
                <c:pt idx="33">
                  <c:v>21.877616239495538</c:v>
                </c:pt>
                <c:pt idx="34">
                  <c:v>22.387211385683404</c:v>
                </c:pt>
                <c:pt idx="35">
                  <c:v>22.908676527677727</c:v>
                </c:pt>
                <c:pt idx="36">
                  <c:v>23.442288153199236</c:v>
                </c:pt>
                <c:pt idx="37">
                  <c:v>23.988329190194907</c:v>
                </c:pt>
                <c:pt idx="38">
                  <c:v>24.547089156850316</c:v>
                </c:pt>
                <c:pt idx="39">
                  <c:v>25.118864315095799</c:v>
                </c:pt>
                <c:pt idx="40">
                  <c:v>25.703957827688647</c:v>
                </c:pt>
                <c:pt idx="41">
                  <c:v>26.302679918953825</c:v>
                </c:pt>
                <c:pt idx="42">
                  <c:v>26.915348039269158</c:v>
                </c:pt>
                <c:pt idx="43">
                  <c:v>27.542287033381665</c:v>
                </c:pt>
                <c:pt idx="44">
                  <c:v>28.183829312644548</c:v>
                </c:pt>
                <c:pt idx="45">
                  <c:v>28.840315031266066</c:v>
                </c:pt>
                <c:pt idx="46">
                  <c:v>29.512092266663863</c:v>
                </c:pt>
                <c:pt idx="47">
                  <c:v>30.199517204020164</c:v>
                </c:pt>
                <c:pt idx="48">
                  <c:v>30.902954325135919</c:v>
                </c:pt>
                <c:pt idx="49">
                  <c:v>31.622776601683803</c:v>
                </c:pt>
                <c:pt idx="50">
                  <c:v>32.359365692962832</c:v>
                </c:pt>
                <c:pt idx="51">
                  <c:v>33.113112148259127</c:v>
                </c:pt>
                <c:pt idx="52">
                  <c:v>33.884415613920268</c:v>
                </c:pt>
                <c:pt idx="53">
                  <c:v>34.67368504525318</c:v>
                </c:pt>
                <c:pt idx="54">
                  <c:v>35.481338923357555</c:v>
                </c:pt>
                <c:pt idx="55">
                  <c:v>36.307805477010156</c:v>
                </c:pt>
                <c:pt idx="56">
                  <c:v>37.15352290971726</c:v>
                </c:pt>
                <c:pt idx="57">
                  <c:v>38.018939632056139</c:v>
                </c:pt>
                <c:pt idx="58">
                  <c:v>38.904514499428053</c:v>
                </c:pt>
                <c:pt idx="59">
                  <c:v>39.810717055349755</c:v>
                </c:pt>
                <c:pt idx="60">
                  <c:v>40.738027780411279</c:v>
                </c:pt>
                <c:pt idx="61">
                  <c:v>41.686938347033561</c:v>
                </c:pt>
                <c:pt idx="62">
                  <c:v>42.657951880159267</c:v>
                </c:pt>
                <c:pt idx="63">
                  <c:v>43.651583224016633</c:v>
                </c:pt>
                <c:pt idx="64">
                  <c:v>44.668359215096324</c:v>
                </c:pt>
                <c:pt idx="65">
                  <c:v>45.70881896148753</c:v>
                </c:pt>
                <c:pt idx="66">
                  <c:v>46.773514128719818</c:v>
                </c:pt>
                <c:pt idx="67">
                  <c:v>47.863009232263877</c:v>
                </c:pt>
                <c:pt idx="68">
                  <c:v>48.977881936844632</c:v>
                </c:pt>
                <c:pt idx="69">
                  <c:v>50.118723362727238</c:v>
                </c:pt>
                <c:pt idx="70">
                  <c:v>51.28613839913649</c:v>
                </c:pt>
                <c:pt idx="71">
                  <c:v>52.480746024977286</c:v>
                </c:pt>
                <c:pt idx="72">
                  <c:v>53.703179637025293</c:v>
                </c:pt>
                <c:pt idx="73">
                  <c:v>54.95408738576247</c:v>
                </c:pt>
                <c:pt idx="74">
                  <c:v>56.234132519034915</c:v>
                </c:pt>
                <c:pt idx="75">
                  <c:v>57.543993733715695</c:v>
                </c:pt>
                <c:pt idx="76">
                  <c:v>58.884365535558949</c:v>
                </c:pt>
                <c:pt idx="77">
                  <c:v>60.255958607435822</c:v>
                </c:pt>
                <c:pt idx="78">
                  <c:v>61.659500186148257</c:v>
                </c:pt>
                <c:pt idx="79">
                  <c:v>63.095734448019364</c:v>
                </c:pt>
                <c:pt idx="80">
                  <c:v>64.565422903465588</c:v>
                </c:pt>
                <c:pt idx="81">
                  <c:v>66.069344800759623</c:v>
                </c:pt>
                <c:pt idx="82">
                  <c:v>67.60829753919819</c:v>
                </c:pt>
                <c:pt idx="83">
                  <c:v>69.183097091893657</c:v>
                </c:pt>
                <c:pt idx="84">
                  <c:v>70.794578438413865</c:v>
                </c:pt>
                <c:pt idx="85">
                  <c:v>72.443596007499011</c:v>
                </c:pt>
                <c:pt idx="86">
                  <c:v>74.131024130091816</c:v>
                </c:pt>
                <c:pt idx="87">
                  <c:v>75.857757502918361</c:v>
                </c:pt>
                <c:pt idx="88">
                  <c:v>77.624711662869217</c:v>
                </c:pt>
                <c:pt idx="89">
                  <c:v>79.432823472428197</c:v>
                </c:pt>
                <c:pt idx="90">
                  <c:v>81.283051616409963</c:v>
                </c:pt>
                <c:pt idx="91">
                  <c:v>83.176377110267126</c:v>
                </c:pt>
                <c:pt idx="92">
                  <c:v>85.113803820237734</c:v>
                </c:pt>
                <c:pt idx="93">
                  <c:v>87.096358995608071</c:v>
                </c:pt>
                <c:pt idx="94">
                  <c:v>89.125093813374562</c:v>
                </c:pt>
                <c:pt idx="95">
                  <c:v>91.201083935590972</c:v>
                </c:pt>
                <c:pt idx="96">
                  <c:v>93.325430079699174</c:v>
                </c:pt>
                <c:pt idx="97">
                  <c:v>95.499258602143655</c:v>
                </c:pt>
                <c:pt idx="98">
                  <c:v>97.723722095581124</c:v>
                </c:pt>
                <c:pt idx="99">
                  <c:v>100</c:v>
                </c:pt>
                <c:pt idx="100">
                  <c:v>102.32929922807544</c:v>
                </c:pt>
                <c:pt idx="101">
                  <c:v>104.71285480508998</c:v>
                </c:pt>
                <c:pt idx="102">
                  <c:v>107.15193052376065</c:v>
                </c:pt>
                <c:pt idx="103">
                  <c:v>109.64781961431861</c:v>
                </c:pt>
                <c:pt idx="104">
                  <c:v>112.20184543019634</c:v>
                </c:pt>
                <c:pt idx="105">
                  <c:v>114.81536214968835</c:v>
                </c:pt>
                <c:pt idx="106">
                  <c:v>117.48975549395293</c:v>
                </c:pt>
                <c:pt idx="107">
                  <c:v>120.22644346174135</c:v>
                </c:pt>
                <c:pt idx="108">
                  <c:v>123.02687708123821</c:v>
                </c:pt>
                <c:pt idx="109">
                  <c:v>125.89254117941677</c:v>
                </c:pt>
                <c:pt idx="110">
                  <c:v>128.82495516931343</c:v>
                </c:pt>
                <c:pt idx="111">
                  <c:v>131.82567385564084</c:v>
                </c:pt>
                <c:pt idx="112">
                  <c:v>134.89628825916537</c:v>
                </c:pt>
                <c:pt idx="113">
                  <c:v>138.0384264602886</c:v>
                </c:pt>
                <c:pt idx="114">
                  <c:v>141.25375446227542</c:v>
                </c:pt>
                <c:pt idx="115">
                  <c:v>144.54397707459285</c:v>
                </c:pt>
                <c:pt idx="116">
                  <c:v>147.91083881682084</c:v>
                </c:pt>
                <c:pt idx="117">
                  <c:v>151.3561248436209</c:v>
                </c:pt>
                <c:pt idx="118">
                  <c:v>154.8816618912482</c:v>
                </c:pt>
                <c:pt idx="119">
                  <c:v>158.48931924611153</c:v>
                </c:pt>
                <c:pt idx="120">
                  <c:v>162.18100973589304</c:v>
                </c:pt>
                <c:pt idx="121">
                  <c:v>165.95869074375622</c:v>
                </c:pt>
                <c:pt idx="122">
                  <c:v>169.82436524617444</c:v>
                </c:pt>
                <c:pt idx="123">
                  <c:v>173.78008287493768</c:v>
                </c:pt>
                <c:pt idx="124">
                  <c:v>177.82794100389242</c:v>
                </c:pt>
                <c:pt idx="125">
                  <c:v>181.9700858609983</c:v>
                </c:pt>
                <c:pt idx="126">
                  <c:v>186.20871366628685</c:v>
                </c:pt>
                <c:pt idx="127">
                  <c:v>190.54607179632498</c:v>
                </c:pt>
                <c:pt idx="128">
                  <c:v>194.98445997580458</c:v>
                </c:pt>
                <c:pt idx="129">
                  <c:v>199.52623149688802</c:v>
                </c:pt>
                <c:pt idx="130">
                  <c:v>204.17379446695315</c:v>
                </c:pt>
                <c:pt idx="131">
                  <c:v>208.92961308540396</c:v>
                </c:pt>
                <c:pt idx="132">
                  <c:v>213.79620895022339</c:v>
                </c:pt>
                <c:pt idx="133">
                  <c:v>218.77616239495524</c:v>
                </c:pt>
                <c:pt idx="134">
                  <c:v>223.87211385683412</c:v>
                </c:pt>
                <c:pt idx="135">
                  <c:v>229.08676527677744</c:v>
                </c:pt>
                <c:pt idx="136">
                  <c:v>234.42288153199232</c:v>
                </c:pt>
                <c:pt idx="137">
                  <c:v>239.88329190194912</c:v>
                </c:pt>
                <c:pt idx="138">
                  <c:v>245.4708915685033</c:v>
                </c:pt>
                <c:pt idx="139">
                  <c:v>251.18864315095806</c:v>
                </c:pt>
                <c:pt idx="140">
                  <c:v>257.03957827688663</c:v>
                </c:pt>
                <c:pt idx="141">
                  <c:v>263.02679918953817</c:v>
                </c:pt>
                <c:pt idx="142">
                  <c:v>269.15348039269179</c:v>
                </c:pt>
                <c:pt idx="143">
                  <c:v>275.42287033381683</c:v>
                </c:pt>
                <c:pt idx="144">
                  <c:v>281.83829312644554</c:v>
                </c:pt>
                <c:pt idx="145">
                  <c:v>288.40315031266073</c:v>
                </c:pt>
                <c:pt idx="146">
                  <c:v>295.12092266663871</c:v>
                </c:pt>
                <c:pt idx="147">
                  <c:v>301.99517204020168</c:v>
                </c:pt>
                <c:pt idx="148">
                  <c:v>309.02954325135937</c:v>
                </c:pt>
                <c:pt idx="149">
                  <c:v>316.22776601683825</c:v>
                </c:pt>
                <c:pt idx="150">
                  <c:v>323.59365692962825</c:v>
                </c:pt>
                <c:pt idx="151">
                  <c:v>331.13112148259137</c:v>
                </c:pt>
                <c:pt idx="152">
                  <c:v>338.84415613920277</c:v>
                </c:pt>
                <c:pt idx="153">
                  <c:v>346.73685045253183</c:v>
                </c:pt>
                <c:pt idx="154">
                  <c:v>354.81338923357566</c:v>
                </c:pt>
                <c:pt idx="155">
                  <c:v>363.07805477010152</c:v>
                </c:pt>
                <c:pt idx="156">
                  <c:v>371.53522909717265</c:v>
                </c:pt>
                <c:pt idx="157">
                  <c:v>380.18939632056163</c:v>
                </c:pt>
                <c:pt idx="158">
                  <c:v>389.04514499428063</c:v>
                </c:pt>
                <c:pt idx="159">
                  <c:v>398.10717055349761</c:v>
                </c:pt>
                <c:pt idx="160">
                  <c:v>407.38027780411272</c:v>
                </c:pt>
                <c:pt idx="161">
                  <c:v>416.86938347033572</c:v>
                </c:pt>
                <c:pt idx="162">
                  <c:v>426.57951880159294</c:v>
                </c:pt>
                <c:pt idx="163">
                  <c:v>436.51583224016622</c:v>
                </c:pt>
                <c:pt idx="164">
                  <c:v>446.68359215096331</c:v>
                </c:pt>
                <c:pt idx="165">
                  <c:v>457.0881896148756</c:v>
                </c:pt>
                <c:pt idx="166">
                  <c:v>467.7351412871983</c:v>
                </c:pt>
                <c:pt idx="167">
                  <c:v>478.63009232263886</c:v>
                </c:pt>
                <c:pt idx="168">
                  <c:v>489.77881936844625</c:v>
                </c:pt>
                <c:pt idx="169">
                  <c:v>501.18723362727269</c:v>
                </c:pt>
                <c:pt idx="170">
                  <c:v>512.86138399136519</c:v>
                </c:pt>
                <c:pt idx="171">
                  <c:v>524.80746024977248</c:v>
                </c:pt>
                <c:pt idx="172">
                  <c:v>537.03179637025301</c:v>
                </c:pt>
                <c:pt idx="173">
                  <c:v>549.54087385762534</c:v>
                </c:pt>
                <c:pt idx="174">
                  <c:v>562.34132519034927</c:v>
                </c:pt>
                <c:pt idx="175">
                  <c:v>575.43993733715706</c:v>
                </c:pt>
                <c:pt idx="176">
                  <c:v>588.84365535558959</c:v>
                </c:pt>
                <c:pt idx="177">
                  <c:v>602.55958607435832</c:v>
                </c:pt>
                <c:pt idx="178">
                  <c:v>616.59500186148273</c:v>
                </c:pt>
                <c:pt idx="179">
                  <c:v>630.95734448019323</c:v>
                </c:pt>
                <c:pt idx="180">
                  <c:v>645.65422903465594</c:v>
                </c:pt>
                <c:pt idx="181">
                  <c:v>660.69344800759643</c:v>
                </c:pt>
                <c:pt idx="182">
                  <c:v>676.08297539198213</c:v>
                </c:pt>
                <c:pt idx="183">
                  <c:v>691.83097091893671</c:v>
                </c:pt>
                <c:pt idx="184">
                  <c:v>707.94578438413873</c:v>
                </c:pt>
                <c:pt idx="185">
                  <c:v>724.43596007499025</c:v>
                </c:pt>
                <c:pt idx="186">
                  <c:v>741.31024130091828</c:v>
                </c:pt>
                <c:pt idx="187">
                  <c:v>758.57757502918378</c:v>
                </c:pt>
                <c:pt idx="188">
                  <c:v>776.24711662869231</c:v>
                </c:pt>
                <c:pt idx="189">
                  <c:v>794.32823472428208</c:v>
                </c:pt>
                <c:pt idx="190">
                  <c:v>812.83051616409978</c:v>
                </c:pt>
                <c:pt idx="191">
                  <c:v>831.7637711026714</c:v>
                </c:pt>
                <c:pt idx="192">
                  <c:v>851.13803820237763</c:v>
                </c:pt>
                <c:pt idx="193">
                  <c:v>870.96358995608091</c:v>
                </c:pt>
                <c:pt idx="194">
                  <c:v>891.25093813374656</c:v>
                </c:pt>
                <c:pt idx="195">
                  <c:v>912.01083935590987</c:v>
                </c:pt>
                <c:pt idx="196">
                  <c:v>933.25430079699106</c:v>
                </c:pt>
                <c:pt idx="197">
                  <c:v>954.99258602143675</c:v>
                </c:pt>
                <c:pt idx="198">
                  <c:v>977.23722095581138</c:v>
                </c:pt>
                <c:pt idx="199">
                  <c:v>1000</c:v>
                </c:pt>
                <c:pt idx="200">
                  <c:v>1023.2929922807547</c:v>
                </c:pt>
                <c:pt idx="201">
                  <c:v>1047.1285480509</c:v>
                </c:pt>
                <c:pt idx="202">
                  <c:v>1071.5193052376069</c:v>
                </c:pt>
                <c:pt idx="203">
                  <c:v>1096.4781961431863</c:v>
                </c:pt>
                <c:pt idx="204">
                  <c:v>1122.0184543019636</c:v>
                </c:pt>
                <c:pt idx="205">
                  <c:v>1148.1536214968839</c:v>
                </c:pt>
                <c:pt idx="206">
                  <c:v>1174.8975549395295</c:v>
                </c:pt>
                <c:pt idx="207">
                  <c:v>1202.2644346174138</c:v>
                </c:pt>
                <c:pt idx="208">
                  <c:v>1230.2687708123824</c:v>
                </c:pt>
                <c:pt idx="209">
                  <c:v>1258.925411794168</c:v>
                </c:pt>
                <c:pt idx="210">
                  <c:v>1288.2495516931347</c:v>
                </c:pt>
                <c:pt idx="211">
                  <c:v>1318.2567385564089</c:v>
                </c:pt>
                <c:pt idx="212">
                  <c:v>1348.9628825916541</c:v>
                </c:pt>
                <c:pt idx="213">
                  <c:v>1380.3842646028863</c:v>
                </c:pt>
                <c:pt idx="214">
                  <c:v>1412.5375446227545</c:v>
                </c:pt>
                <c:pt idx="215">
                  <c:v>1445.4397707459289</c:v>
                </c:pt>
                <c:pt idx="216">
                  <c:v>1479.1083881682086</c:v>
                </c:pt>
                <c:pt idx="217">
                  <c:v>1513.5612484362093</c:v>
                </c:pt>
                <c:pt idx="218">
                  <c:v>1548.8166189124822</c:v>
                </c:pt>
                <c:pt idx="219">
                  <c:v>1584.8931924611156</c:v>
                </c:pt>
                <c:pt idx="220">
                  <c:v>1621.8100973589308</c:v>
                </c:pt>
                <c:pt idx="221">
                  <c:v>1659.5869074375626</c:v>
                </c:pt>
                <c:pt idx="222">
                  <c:v>1698.2436524617447</c:v>
                </c:pt>
                <c:pt idx="223">
                  <c:v>1737.8008287493772</c:v>
                </c:pt>
                <c:pt idx="224">
                  <c:v>1778.2794100389244</c:v>
                </c:pt>
                <c:pt idx="225">
                  <c:v>1819.7008586099832</c:v>
                </c:pt>
                <c:pt idx="226">
                  <c:v>1862.0871366628687</c:v>
                </c:pt>
                <c:pt idx="227">
                  <c:v>1905.4607179632501</c:v>
                </c:pt>
                <c:pt idx="228">
                  <c:v>1949.8445997580463</c:v>
                </c:pt>
                <c:pt idx="229">
                  <c:v>1995.2623149688804</c:v>
                </c:pt>
                <c:pt idx="230">
                  <c:v>2041.7379446695318</c:v>
                </c:pt>
                <c:pt idx="231">
                  <c:v>2089.2961308540398</c:v>
                </c:pt>
                <c:pt idx="232">
                  <c:v>2137.9620895022344</c:v>
                </c:pt>
                <c:pt idx="233">
                  <c:v>2187.7616239495528</c:v>
                </c:pt>
                <c:pt idx="234">
                  <c:v>2238.7211385683418</c:v>
                </c:pt>
                <c:pt idx="235">
                  <c:v>2290.8676527677749</c:v>
                </c:pt>
                <c:pt idx="236">
                  <c:v>2344.2288153199238</c:v>
                </c:pt>
                <c:pt idx="237">
                  <c:v>2398.8329190194918</c:v>
                </c:pt>
                <c:pt idx="238">
                  <c:v>2454.7089156850338</c:v>
                </c:pt>
                <c:pt idx="239">
                  <c:v>2511.8864315095811</c:v>
                </c:pt>
                <c:pt idx="240">
                  <c:v>2570.3957827688669</c:v>
                </c:pt>
                <c:pt idx="241">
                  <c:v>2630.2679918953822</c:v>
                </c:pt>
                <c:pt idx="242">
                  <c:v>2691.5348039269184</c:v>
                </c:pt>
                <c:pt idx="243">
                  <c:v>2754.228703338169</c:v>
                </c:pt>
                <c:pt idx="244">
                  <c:v>2818.3829312644561</c:v>
                </c:pt>
                <c:pt idx="245">
                  <c:v>2884.0315031266077</c:v>
                </c:pt>
                <c:pt idx="246">
                  <c:v>2951.2092266663876</c:v>
                </c:pt>
                <c:pt idx="247">
                  <c:v>3019.9517204020176</c:v>
                </c:pt>
                <c:pt idx="248">
                  <c:v>3090.295432513592</c:v>
                </c:pt>
                <c:pt idx="249">
                  <c:v>3162.2776601683804</c:v>
                </c:pt>
                <c:pt idx="250">
                  <c:v>3235.9365692962833</c:v>
                </c:pt>
                <c:pt idx="251">
                  <c:v>3311.3112148259115</c:v>
                </c:pt>
                <c:pt idx="252">
                  <c:v>3388.4415613920314</c:v>
                </c:pt>
                <c:pt idx="253">
                  <c:v>3467.3685045253224</c:v>
                </c:pt>
                <c:pt idx="254">
                  <c:v>3548.1338923357539</c:v>
                </c:pt>
                <c:pt idx="255">
                  <c:v>3630.7805477010188</c:v>
                </c:pt>
                <c:pt idx="256">
                  <c:v>3715.352290971724</c:v>
                </c:pt>
                <c:pt idx="257">
                  <c:v>3801.8939632056172</c:v>
                </c:pt>
                <c:pt idx="258">
                  <c:v>3890.451449942811</c:v>
                </c:pt>
                <c:pt idx="259">
                  <c:v>3981.0717055349769</c:v>
                </c:pt>
                <c:pt idx="260">
                  <c:v>4073.8027780411317</c:v>
                </c:pt>
                <c:pt idx="261">
                  <c:v>4168.6938347033583</c:v>
                </c:pt>
                <c:pt idx="262">
                  <c:v>4265.7951880159299</c:v>
                </c:pt>
                <c:pt idx="263">
                  <c:v>4365.1583224016631</c:v>
                </c:pt>
                <c:pt idx="264">
                  <c:v>4466.8359215096343</c:v>
                </c:pt>
                <c:pt idx="265">
                  <c:v>4570.8818961487532</c:v>
                </c:pt>
                <c:pt idx="266">
                  <c:v>4677.3514128719844</c:v>
                </c:pt>
                <c:pt idx="267">
                  <c:v>4786.3009232263848</c:v>
                </c:pt>
                <c:pt idx="268">
                  <c:v>4897.7881936844633</c:v>
                </c:pt>
                <c:pt idx="269">
                  <c:v>5011.8723362727324</c:v>
                </c:pt>
                <c:pt idx="270">
                  <c:v>5128.6138399136489</c:v>
                </c:pt>
                <c:pt idx="271">
                  <c:v>5248.0746024977261</c:v>
                </c:pt>
                <c:pt idx="272">
                  <c:v>5370.3179637025269</c:v>
                </c:pt>
                <c:pt idx="273">
                  <c:v>5495.4087385762541</c:v>
                </c:pt>
                <c:pt idx="274">
                  <c:v>5623.4132519034993</c:v>
                </c:pt>
                <c:pt idx="275">
                  <c:v>5754.399373371567</c:v>
                </c:pt>
                <c:pt idx="276">
                  <c:v>5888.4365535558973</c:v>
                </c:pt>
                <c:pt idx="277">
                  <c:v>6025.595860743585</c:v>
                </c:pt>
                <c:pt idx="278">
                  <c:v>6165.9500186148289</c:v>
                </c:pt>
                <c:pt idx="279">
                  <c:v>6309.5734448019384</c:v>
                </c:pt>
                <c:pt idx="280">
                  <c:v>6456.5422903465615</c:v>
                </c:pt>
                <c:pt idx="281">
                  <c:v>6606.9344800759654</c:v>
                </c:pt>
                <c:pt idx="282">
                  <c:v>6760.8297539198229</c:v>
                </c:pt>
                <c:pt idx="283">
                  <c:v>6918.3097091893687</c:v>
                </c:pt>
                <c:pt idx="284">
                  <c:v>7079.4578438413828</c:v>
                </c:pt>
                <c:pt idx="285">
                  <c:v>7244.3596007499036</c:v>
                </c:pt>
                <c:pt idx="286">
                  <c:v>7413.1024130091773</c:v>
                </c:pt>
                <c:pt idx="287">
                  <c:v>7585.7757502918394</c:v>
                </c:pt>
                <c:pt idx="288">
                  <c:v>7762.4711662869322</c:v>
                </c:pt>
                <c:pt idx="289">
                  <c:v>7943.2823472428154</c:v>
                </c:pt>
                <c:pt idx="290">
                  <c:v>8128.3051616410066</c:v>
                </c:pt>
                <c:pt idx="291">
                  <c:v>8317.6377110267094</c:v>
                </c:pt>
                <c:pt idx="292">
                  <c:v>8511.3803820237772</c:v>
                </c:pt>
                <c:pt idx="293">
                  <c:v>8709.6358995608189</c:v>
                </c:pt>
                <c:pt idx="294">
                  <c:v>8912.5093813374679</c:v>
                </c:pt>
                <c:pt idx="295">
                  <c:v>9120.1083935591087</c:v>
                </c:pt>
                <c:pt idx="296">
                  <c:v>9332.5430079699217</c:v>
                </c:pt>
                <c:pt idx="297">
                  <c:v>9549.9258602143691</c:v>
                </c:pt>
                <c:pt idx="298">
                  <c:v>9772.3722095581161</c:v>
                </c:pt>
                <c:pt idx="299">
                  <c:v>10000</c:v>
                </c:pt>
                <c:pt idx="300">
                  <c:v>10232.929922807549</c:v>
                </c:pt>
                <c:pt idx="301">
                  <c:v>10471.285480509003</c:v>
                </c:pt>
                <c:pt idx="302">
                  <c:v>10715.193052376071</c:v>
                </c:pt>
                <c:pt idx="303">
                  <c:v>10964.781961431856</c:v>
                </c:pt>
                <c:pt idx="304">
                  <c:v>11220.184543019639</c:v>
                </c:pt>
                <c:pt idx="305">
                  <c:v>11481.536214968832</c:v>
                </c:pt>
                <c:pt idx="306">
                  <c:v>11748.975549395318</c:v>
                </c:pt>
                <c:pt idx="307">
                  <c:v>12022.644346174151</c:v>
                </c:pt>
                <c:pt idx="308">
                  <c:v>12302.687708123816</c:v>
                </c:pt>
                <c:pt idx="309">
                  <c:v>12589.254117941671</c:v>
                </c:pt>
                <c:pt idx="310">
                  <c:v>12882.49551693136</c:v>
                </c:pt>
                <c:pt idx="311">
                  <c:v>13182.567385564091</c:v>
                </c:pt>
                <c:pt idx="312">
                  <c:v>13489.628825916556</c:v>
                </c:pt>
                <c:pt idx="313">
                  <c:v>13803.842646028841</c:v>
                </c:pt>
                <c:pt idx="314">
                  <c:v>14125.375446227561</c:v>
                </c:pt>
                <c:pt idx="315">
                  <c:v>14454.397707459291</c:v>
                </c:pt>
                <c:pt idx="316">
                  <c:v>14791.083881682089</c:v>
                </c:pt>
                <c:pt idx="317">
                  <c:v>15135.612484362096</c:v>
                </c:pt>
                <c:pt idx="318">
                  <c:v>15488.166189124853</c:v>
                </c:pt>
                <c:pt idx="319">
                  <c:v>15848.931924611146</c:v>
                </c:pt>
                <c:pt idx="320">
                  <c:v>16218.100973589309</c:v>
                </c:pt>
                <c:pt idx="321">
                  <c:v>16595.869074375616</c:v>
                </c:pt>
                <c:pt idx="322">
                  <c:v>16982.436524617482</c:v>
                </c:pt>
                <c:pt idx="323">
                  <c:v>17378.008287493791</c:v>
                </c:pt>
                <c:pt idx="324">
                  <c:v>17782.794100389234</c:v>
                </c:pt>
                <c:pt idx="325">
                  <c:v>18197.008586099837</c:v>
                </c:pt>
                <c:pt idx="326">
                  <c:v>18620.871366628675</c:v>
                </c:pt>
                <c:pt idx="327">
                  <c:v>19054.607179632505</c:v>
                </c:pt>
                <c:pt idx="328">
                  <c:v>19498.445997580486</c:v>
                </c:pt>
                <c:pt idx="329">
                  <c:v>19952.623149688792</c:v>
                </c:pt>
                <c:pt idx="330">
                  <c:v>20417.379446695286</c:v>
                </c:pt>
                <c:pt idx="331">
                  <c:v>20892.961308540423</c:v>
                </c:pt>
                <c:pt idx="332">
                  <c:v>21379.620895022348</c:v>
                </c:pt>
                <c:pt idx="333">
                  <c:v>21877.61623949555</c:v>
                </c:pt>
                <c:pt idx="334">
                  <c:v>22387.211385683382</c:v>
                </c:pt>
                <c:pt idx="335">
                  <c:v>22908.676527677751</c:v>
                </c:pt>
                <c:pt idx="336">
                  <c:v>23442.288153199243</c:v>
                </c:pt>
                <c:pt idx="337">
                  <c:v>23988.329190194923</c:v>
                </c:pt>
                <c:pt idx="338">
                  <c:v>24547.089156850321</c:v>
                </c:pt>
                <c:pt idx="339">
                  <c:v>25118.86431509586</c:v>
                </c:pt>
                <c:pt idx="340">
                  <c:v>25703.95782768865</c:v>
                </c:pt>
                <c:pt idx="341">
                  <c:v>26302.679918953829</c:v>
                </c:pt>
                <c:pt idx="342">
                  <c:v>26915.348039269167</c:v>
                </c:pt>
                <c:pt idx="343">
                  <c:v>27542.287033381719</c:v>
                </c:pt>
                <c:pt idx="344">
                  <c:v>28183.829312644593</c:v>
                </c:pt>
                <c:pt idx="345">
                  <c:v>28840.315031266062</c:v>
                </c:pt>
                <c:pt idx="346">
                  <c:v>29512.092266663854</c:v>
                </c:pt>
                <c:pt idx="347">
                  <c:v>30199.517204020212</c:v>
                </c:pt>
                <c:pt idx="348">
                  <c:v>30902.954325135954</c:v>
                </c:pt>
                <c:pt idx="349">
                  <c:v>31622.77660168384</c:v>
                </c:pt>
                <c:pt idx="350">
                  <c:v>32359.365692962871</c:v>
                </c:pt>
                <c:pt idx="351">
                  <c:v>33113.11214825909</c:v>
                </c:pt>
                <c:pt idx="352">
                  <c:v>33884.41561392029</c:v>
                </c:pt>
                <c:pt idx="353">
                  <c:v>34673.685045253202</c:v>
                </c:pt>
                <c:pt idx="354">
                  <c:v>35481.33892335758</c:v>
                </c:pt>
                <c:pt idx="355">
                  <c:v>36307.805477010232</c:v>
                </c:pt>
                <c:pt idx="356">
                  <c:v>37153.522909717351</c:v>
                </c:pt>
                <c:pt idx="357">
                  <c:v>38018.939632056143</c:v>
                </c:pt>
                <c:pt idx="358">
                  <c:v>38904.514499428085</c:v>
                </c:pt>
                <c:pt idx="359">
                  <c:v>39810.717055349742</c:v>
                </c:pt>
                <c:pt idx="360">
                  <c:v>40738.027780411358</c:v>
                </c:pt>
                <c:pt idx="361">
                  <c:v>41686.938347033625</c:v>
                </c:pt>
                <c:pt idx="362">
                  <c:v>42657.951880159271</c:v>
                </c:pt>
                <c:pt idx="363">
                  <c:v>43651.583224016598</c:v>
                </c:pt>
                <c:pt idx="364">
                  <c:v>44668.359215096389</c:v>
                </c:pt>
                <c:pt idx="365">
                  <c:v>45708.818961487581</c:v>
                </c:pt>
                <c:pt idx="366">
                  <c:v>46773.514128719893</c:v>
                </c:pt>
                <c:pt idx="367">
                  <c:v>47863.009232263823</c:v>
                </c:pt>
                <c:pt idx="368">
                  <c:v>48977.881936844598</c:v>
                </c:pt>
                <c:pt idx="369">
                  <c:v>50118.723362727294</c:v>
                </c:pt>
                <c:pt idx="370">
                  <c:v>51286.138399136544</c:v>
                </c:pt>
                <c:pt idx="371">
                  <c:v>52480.746024977314</c:v>
                </c:pt>
                <c:pt idx="372">
                  <c:v>53703.179637025423</c:v>
                </c:pt>
                <c:pt idx="373">
                  <c:v>54954.087385762505</c:v>
                </c:pt>
                <c:pt idx="374">
                  <c:v>56234.132519034953</c:v>
                </c:pt>
                <c:pt idx="375">
                  <c:v>57543.993733715732</c:v>
                </c:pt>
                <c:pt idx="376">
                  <c:v>58884.365535558936</c:v>
                </c:pt>
                <c:pt idx="377">
                  <c:v>60255.95860743591</c:v>
                </c:pt>
                <c:pt idx="378">
                  <c:v>61659.500186148245</c:v>
                </c:pt>
                <c:pt idx="379">
                  <c:v>63095.734448019342</c:v>
                </c:pt>
                <c:pt idx="380">
                  <c:v>64565.422903465682</c:v>
                </c:pt>
                <c:pt idx="381">
                  <c:v>66069.344800759733</c:v>
                </c:pt>
                <c:pt idx="382">
                  <c:v>67608.297539198305</c:v>
                </c:pt>
                <c:pt idx="383">
                  <c:v>69183.097091893651</c:v>
                </c:pt>
                <c:pt idx="384">
                  <c:v>70794.578438413781</c:v>
                </c:pt>
                <c:pt idx="385">
                  <c:v>72443.596007499116</c:v>
                </c:pt>
                <c:pt idx="386">
                  <c:v>74131.024130091857</c:v>
                </c:pt>
                <c:pt idx="387">
                  <c:v>75857.757502918481</c:v>
                </c:pt>
                <c:pt idx="388">
                  <c:v>77624.711662869129</c:v>
                </c:pt>
                <c:pt idx="389">
                  <c:v>79432.823472428237</c:v>
                </c:pt>
                <c:pt idx="390">
                  <c:v>81283.051616410012</c:v>
                </c:pt>
                <c:pt idx="391">
                  <c:v>83176.377110267174</c:v>
                </c:pt>
                <c:pt idx="392">
                  <c:v>85113.803820237721</c:v>
                </c:pt>
                <c:pt idx="393">
                  <c:v>87096.358995608127</c:v>
                </c:pt>
                <c:pt idx="394">
                  <c:v>89125.093813374609</c:v>
                </c:pt>
                <c:pt idx="395">
                  <c:v>91201.083935591028</c:v>
                </c:pt>
                <c:pt idx="396">
                  <c:v>93325.430079699145</c:v>
                </c:pt>
                <c:pt idx="397">
                  <c:v>95499.258602143804</c:v>
                </c:pt>
                <c:pt idx="398">
                  <c:v>97723.722095581266</c:v>
                </c:pt>
                <c:pt idx="399">
                  <c:v>100000</c:v>
                </c:pt>
                <c:pt idx="400">
                  <c:v>102329.29922807543</c:v>
                </c:pt>
                <c:pt idx="401">
                  <c:v>104712.85480508996</c:v>
                </c:pt>
                <c:pt idx="402">
                  <c:v>107151.93052376082</c:v>
                </c:pt>
                <c:pt idx="403">
                  <c:v>109647.81961431868</c:v>
                </c:pt>
                <c:pt idx="404">
                  <c:v>112201.84543019651</c:v>
                </c:pt>
                <c:pt idx="405">
                  <c:v>114815.36214968823</c:v>
                </c:pt>
                <c:pt idx="406">
                  <c:v>117489.75549395311</c:v>
                </c:pt>
                <c:pt idx="407">
                  <c:v>120226.44346174144</c:v>
                </c:pt>
                <c:pt idx="408">
                  <c:v>123026.87708123829</c:v>
                </c:pt>
                <c:pt idx="409">
                  <c:v>125892.54117941685</c:v>
                </c:pt>
                <c:pt idx="410">
                  <c:v>128824.95516931375</c:v>
                </c:pt>
                <c:pt idx="411">
                  <c:v>131825.67385564081</c:v>
                </c:pt>
                <c:pt idx="412">
                  <c:v>134896.28825916545</c:v>
                </c:pt>
                <c:pt idx="413">
                  <c:v>138038.42646028858</c:v>
                </c:pt>
                <c:pt idx="414">
                  <c:v>141253.75446227577</c:v>
                </c:pt>
                <c:pt idx="415">
                  <c:v>144543.97707459307</c:v>
                </c:pt>
                <c:pt idx="416">
                  <c:v>147910.83881682079</c:v>
                </c:pt>
                <c:pt idx="417">
                  <c:v>151356.12484362084</c:v>
                </c:pt>
                <c:pt idx="418">
                  <c:v>154881.66189124843</c:v>
                </c:pt>
                <c:pt idx="419">
                  <c:v>158489.31924611164</c:v>
                </c:pt>
                <c:pt idx="420">
                  <c:v>162181.00973589328</c:v>
                </c:pt>
                <c:pt idx="421">
                  <c:v>165958.69074375604</c:v>
                </c:pt>
                <c:pt idx="422">
                  <c:v>169824.36524617471</c:v>
                </c:pt>
                <c:pt idx="423">
                  <c:v>173780.0828749378</c:v>
                </c:pt>
                <c:pt idx="424">
                  <c:v>177827.94100389251</c:v>
                </c:pt>
                <c:pt idx="425">
                  <c:v>181970.08586099857</c:v>
                </c:pt>
                <c:pt idx="426">
                  <c:v>186208.71366628664</c:v>
                </c:pt>
                <c:pt idx="427">
                  <c:v>190546.07179632492</c:v>
                </c:pt>
                <c:pt idx="428">
                  <c:v>194984.45997580473</c:v>
                </c:pt>
                <c:pt idx="429">
                  <c:v>199526.23149688813</c:v>
                </c:pt>
                <c:pt idx="430">
                  <c:v>204173.79446695308</c:v>
                </c:pt>
                <c:pt idx="431">
                  <c:v>208929.61308540447</c:v>
                </c:pt>
                <c:pt idx="432">
                  <c:v>213796.20895022334</c:v>
                </c:pt>
                <c:pt idx="433">
                  <c:v>218776.16239495538</c:v>
                </c:pt>
                <c:pt idx="434">
                  <c:v>223872.11385683404</c:v>
                </c:pt>
                <c:pt idx="435">
                  <c:v>229086.76527677779</c:v>
                </c:pt>
                <c:pt idx="436">
                  <c:v>234422.88153199267</c:v>
                </c:pt>
                <c:pt idx="437">
                  <c:v>239883.29190194907</c:v>
                </c:pt>
                <c:pt idx="438">
                  <c:v>245470.89156850305</c:v>
                </c:pt>
                <c:pt idx="439">
                  <c:v>251188.64315095844</c:v>
                </c:pt>
                <c:pt idx="440">
                  <c:v>257039.57827688678</c:v>
                </c:pt>
                <c:pt idx="441">
                  <c:v>263026.79918953858</c:v>
                </c:pt>
                <c:pt idx="442">
                  <c:v>269153.48039269145</c:v>
                </c:pt>
                <c:pt idx="443">
                  <c:v>275422.87033381703</c:v>
                </c:pt>
                <c:pt idx="444">
                  <c:v>281838.29312644573</c:v>
                </c:pt>
                <c:pt idx="445">
                  <c:v>288403.1503126609</c:v>
                </c:pt>
                <c:pt idx="446">
                  <c:v>295120.92266663886</c:v>
                </c:pt>
                <c:pt idx="447">
                  <c:v>301995.17204020242</c:v>
                </c:pt>
                <c:pt idx="448">
                  <c:v>309029.54325135931</c:v>
                </c:pt>
                <c:pt idx="449">
                  <c:v>316227.7660168382</c:v>
                </c:pt>
                <c:pt idx="450">
                  <c:v>323593.65692962846</c:v>
                </c:pt>
                <c:pt idx="451">
                  <c:v>331131.12148259126</c:v>
                </c:pt>
                <c:pt idx="452">
                  <c:v>338844.15613920329</c:v>
                </c:pt>
                <c:pt idx="453">
                  <c:v>346736.85045253241</c:v>
                </c:pt>
                <c:pt idx="454">
                  <c:v>354813.38923357555</c:v>
                </c:pt>
                <c:pt idx="455">
                  <c:v>363078.05477010203</c:v>
                </c:pt>
                <c:pt idx="456">
                  <c:v>371535.2290971732</c:v>
                </c:pt>
                <c:pt idx="457">
                  <c:v>380189.39632056188</c:v>
                </c:pt>
                <c:pt idx="458">
                  <c:v>389045.14499428123</c:v>
                </c:pt>
                <c:pt idx="459">
                  <c:v>398107.17055349716</c:v>
                </c:pt>
                <c:pt idx="460">
                  <c:v>407380.27780411334</c:v>
                </c:pt>
                <c:pt idx="461">
                  <c:v>416869.38347033598</c:v>
                </c:pt>
                <c:pt idx="462">
                  <c:v>426579.51880159322</c:v>
                </c:pt>
                <c:pt idx="463">
                  <c:v>436515.83224016649</c:v>
                </c:pt>
                <c:pt idx="464">
                  <c:v>446683.59215096442</c:v>
                </c:pt>
                <c:pt idx="465">
                  <c:v>457088.18961487547</c:v>
                </c:pt>
                <c:pt idx="466">
                  <c:v>467735.14128719864</c:v>
                </c:pt>
                <c:pt idx="467">
                  <c:v>478630.09232263872</c:v>
                </c:pt>
                <c:pt idx="468">
                  <c:v>489778.81936844654</c:v>
                </c:pt>
                <c:pt idx="469">
                  <c:v>501187.23362727347</c:v>
                </c:pt>
                <c:pt idx="470">
                  <c:v>512861.38399136515</c:v>
                </c:pt>
                <c:pt idx="471">
                  <c:v>524807.46024977288</c:v>
                </c:pt>
                <c:pt idx="472">
                  <c:v>537031.7963702539</c:v>
                </c:pt>
                <c:pt idx="473">
                  <c:v>549540.87385762564</c:v>
                </c:pt>
                <c:pt idx="474">
                  <c:v>562341.32519035018</c:v>
                </c:pt>
                <c:pt idx="475">
                  <c:v>575439.93733715697</c:v>
                </c:pt>
                <c:pt idx="476">
                  <c:v>588843.65535558888</c:v>
                </c:pt>
                <c:pt idx="477">
                  <c:v>602559.58607435878</c:v>
                </c:pt>
                <c:pt idx="478">
                  <c:v>616595.00186148309</c:v>
                </c:pt>
                <c:pt idx="479">
                  <c:v>630957.34448019415</c:v>
                </c:pt>
                <c:pt idx="480">
                  <c:v>645654.22903465747</c:v>
                </c:pt>
                <c:pt idx="481">
                  <c:v>660693.44800759677</c:v>
                </c:pt>
                <c:pt idx="482">
                  <c:v>676082.97539198259</c:v>
                </c:pt>
                <c:pt idx="483">
                  <c:v>691830.97091893724</c:v>
                </c:pt>
                <c:pt idx="484">
                  <c:v>707945.78438413853</c:v>
                </c:pt>
                <c:pt idx="485">
                  <c:v>724435.96007499192</c:v>
                </c:pt>
                <c:pt idx="486">
                  <c:v>741310.24130091805</c:v>
                </c:pt>
                <c:pt idx="487">
                  <c:v>758577.57502918423</c:v>
                </c:pt>
                <c:pt idx="488">
                  <c:v>776247.11662869214</c:v>
                </c:pt>
                <c:pt idx="489">
                  <c:v>794328.23472428333</c:v>
                </c:pt>
                <c:pt idx="490">
                  <c:v>812830.51616410096</c:v>
                </c:pt>
                <c:pt idx="491">
                  <c:v>831763.77110267128</c:v>
                </c:pt>
                <c:pt idx="492">
                  <c:v>851138.03820237669</c:v>
                </c:pt>
                <c:pt idx="493">
                  <c:v>870963.58995608077</c:v>
                </c:pt>
                <c:pt idx="494">
                  <c:v>891250.93813374708</c:v>
                </c:pt>
                <c:pt idx="495">
                  <c:v>912010.83935591124</c:v>
                </c:pt>
                <c:pt idx="496">
                  <c:v>933254.30079699249</c:v>
                </c:pt>
                <c:pt idx="497">
                  <c:v>954992.58602143743</c:v>
                </c:pt>
                <c:pt idx="498">
                  <c:v>977237.22095581202</c:v>
                </c:pt>
                <c:pt idx="499">
                  <c:v>1000000</c:v>
                </c:pt>
                <c:pt idx="500">
                  <c:v>1023292.9922807553</c:v>
                </c:pt>
                <c:pt idx="501">
                  <c:v>1047128.5480509007</c:v>
                </c:pt>
                <c:pt idx="502">
                  <c:v>1071519.3052376076</c:v>
                </c:pt>
                <c:pt idx="503">
                  <c:v>1096478.196143186</c:v>
                </c:pt>
                <c:pt idx="504">
                  <c:v>1122018.4543019643</c:v>
                </c:pt>
                <c:pt idx="505">
                  <c:v>1148153.6214968837</c:v>
                </c:pt>
                <c:pt idx="506">
                  <c:v>1174897.5549395324</c:v>
                </c:pt>
                <c:pt idx="507">
                  <c:v>1202264.4346174158</c:v>
                </c:pt>
                <c:pt idx="508">
                  <c:v>1230268.770812382</c:v>
                </c:pt>
                <c:pt idx="509">
                  <c:v>1258925.4117941677</c:v>
                </c:pt>
                <c:pt idx="510">
                  <c:v>1288249.5516931366</c:v>
                </c:pt>
                <c:pt idx="511">
                  <c:v>1318256.7385564097</c:v>
                </c:pt>
                <c:pt idx="512">
                  <c:v>1348962.8825916562</c:v>
                </c:pt>
                <c:pt idx="513">
                  <c:v>1380384.2646028849</c:v>
                </c:pt>
                <c:pt idx="514">
                  <c:v>1412537.5446227565</c:v>
                </c:pt>
                <c:pt idx="515">
                  <c:v>1445439.7707459298</c:v>
                </c:pt>
                <c:pt idx="516">
                  <c:v>1479108.3881682095</c:v>
                </c:pt>
                <c:pt idx="517">
                  <c:v>1513561.2484362102</c:v>
                </c:pt>
                <c:pt idx="518">
                  <c:v>1548816.6189124861</c:v>
                </c:pt>
                <c:pt idx="519">
                  <c:v>1584893.1924611153</c:v>
                </c:pt>
                <c:pt idx="520">
                  <c:v>1621810.0973589318</c:v>
                </c:pt>
                <c:pt idx="521">
                  <c:v>1659586.9074375622</c:v>
                </c:pt>
                <c:pt idx="522">
                  <c:v>1698243.6524617488</c:v>
                </c:pt>
                <c:pt idx="523">
                  <c:v>1737800.8287493798</c:v>
                </c:pt>
                <c:pt idx="524">
                  <c:v>1778279.4100389241</c:v>
                </c:pt>
                <c:pt idx="525">
                  <c:v>1819700.8586099846</c:v>
                </c:pt>
                <c:pt idx="526">
                  <c:v>1862087.1366628683</c:v>
                </c:pt>
                <c:pt idx="527">
                  <c:v>1905460.7179632513</c:v>
                </c:pt>
                <c:pt idx="528">
                  <c:v>1949844.5997580495</c:v>
                </c:pt>
                <c:pt idx="529">
                  <c:v>1995262.31496888</c:v>
                </c:pt>
                <c:pt idx="530">
                  <c:v>2041737.9446695296</c:v>
                </c:pt>
                <c:pt idx="531">
                  <c:v>2089296.1308540432</c:v>
                </c:pt>
                <c:pt idx="532">
                  <c:v>2137962.0895022359</c:v>
                </c:pt>
                <c:pt idx="533">
                  <c:v>2187761.6239495561</c:v>
                </c:pt>
                <c:pt idx="534">
                  <c:v>2238721.1385683389</c:v>
                </c:pt>
                <c:pt idx="535">
                  <c:v>2290867.6527677765</c:v>
                </c:pt>
                <c:pt idx="536">
                  <c:v>2344228.8153199251</c:v>
                </c:pt>
                <c:pt idx="537">
                  <c:v>2398832.9190194933</c:v>
                </c:pt>
                <c:pt idx="538">
                  <c:v>2454708.915685033</c:v>
                </c:pt>
                <c:pt idx="539">
                  <c:v>2511886.431509587</c:v>
                </c:pt>
                <c:pt idx="540">
                  <c:v>2570395.782768866</c:v>
                </c:pt>
                <c:pt idx="541">
                  <c:v>2630267.9918953842</c:v>
                </c:pt>
              </c:numCache>
            </c:numRef>
          </c:xVal>
          <c:yVal>
            <c:numRef>
              <c:f>CCM_Loop_Modeling_Isolated!$AT$19:$AT$560</c:f>
              <c:numCache>
                <c:formatCode>General</c:formatCode>
                <c:ptCount val="542"/>
                <c:pt idx="0">
                  <c:v>19.986455922234143</c:v>
                </c:pt>
                <c:pt idx="1">
                  <c:v>19.986060934591833</c:v>
                </c:pt>
                <c:pt idx="2">
                  <c:v>19.985651988548504</c:v>
                </c:pt>
                <c:pt idx="3">
                  <c:v>19.985228248174984</c:v>
                </c:pt>
                <c:pt idx="4">
                  <c:v>19.9847888491432</c:v>
                </c:pt>
                <c:pt idx="5">
                  <c:v>19.984332897175157</c:v>
                </c:pt>
                <c:pt idx="6">
                  <c:v>19.98385946645439</c:v>
                </c:pt>
                <c:pt idx="7">
                  <c:v>19.983367597999219</c:v>
                </c:pt>
                <c:pt idx="8">
                  <c:v>19.982856297996754</c:v>
                </c:pt>
                <c:pt idx="9">
                  <c:v>19.982324536097085</c:v>
                </c:pt>
                <c:pt idx="10">
                  <c:v>19.981771243667112</c:v>
                </c:pt>
                <c:pt idx="11">
                  <c:v>19.981195312003507</c:v>
                </c:pt>
                <c:pt idx="12">
                  <c:v>19.980595590504922</c:v>
                </c:pt>
                <c:pt idx="13">
                  <c:v>19.979970884803233</c:v>
                </c:pt>
                <c:pt idx="14">
                  <c:v>19.979319954854418</c:v>
                </c:pt>
                <c:pt idx="15">
                  <c:v>19.978641512989366</c:v>
                </c:pt>
                <c:pt idx="16">
                  <c:v>19.977934221925931</c:v>
                </c:pt>
                <c:pt idx="17">
                  <c:v>19.977196692743021</c:v>
                </c:pt>
                <c:pt idx="18">
                  <c:v>19.976427482818735</c:v>
                </c:pt>
                <c:pt idx="19">
                  <c:v>19.975625093734351</c:v>
                </c:pt>
                <c:pt idx="20">
                  <c:v>19.974787969146742</c:v>
                </c:pt>
                <c:pt idx="21">
                  <c:v>19.973914492632524</c:v>
                </c:pt>
                <c:pt idx="22">
                  <c:v>19.973002985505943</c:v>
                </c:pt>
                <c:pt idx="23">
                  <c:v>19.972051704618089</c:v>
                </c:pt>
                <c:pt idx="24">
                  <c:v>19.971058840136912</c:v>
                </c:pt>
                <c:pt idx="25">
                  <c:v>19.970022513319424</c:v>
                </c:pt>
                <c:pt idx="26">
                  <c:v>19.968940774277065</c:v>
                </c:pt>
                <c:pt idx="27">
                  <c:v>19.967811599744966</c:v>
                </c:pt>
                <c:pt idx="28">
                  <c:v>19.966632890861195</c:v>
                </c:pt>
                <c:pt idx="29">
                  <c:v>19.965402470964598</c:v>
                </c:pt>
                <c:pt idx="30">
                  <c:v>19.964118083423074</c:v>
                </c:pt>
                <c:pt idx="31">
                  <c:v>19.962777389500648</c:v>
                </c:pt>
                <c:pt idx="32">
                  <c:v>19.961377966277386</c:v>
                </c:pt>
                <c:pt idx="33">
                  <c:v>19.959917304635244</c:v>
                </c:pt>
                <c:pt idx="34">
                  <c:v>19.958392807323438</c:v>
                </c:pt>
                <c:pt idx="35">
                  <c:v>19.956801787120487</c:v>
                </c:pt>
                <c:pt idx="36">
                  <c:v>19.95514146511049</c:v>
                </c:pt>
                <c:pt idx="37">
                  <c:v>19.953408969092546</c:v>
                </c:pt>
                <c:pt idx="38">
                  <c:v>19.951601332143326</c:v>
                </c:pt>
                <c:pt idx="39">
                  <c:v>19.949715491356802</c:v>
                </c:pt>
                <c:pt idx="40">
                  <c:v>19.947748286784112</c:v>
                </c:pt>
                <c:pt idx="41">
                  <c:v>19.945696460599937</c:v>
                </c:pt>
                <c:pt idx="42">
                  <c:v>19.943556656523747</c:v>
                </c:pt>
                <c:pt idx="43">
                  <c:v>19.941325419525018</c:v>
                </c:pt>
                <c:pt idx="44">
                  <c:v>19.938999195844996</c:v>
                </c:pt>
                <c:pt idx="45">
                  <c:v>19.936574333368206</c:v>
                </c:pt>
                <c:pt idx="46">
                  <c:v>19.934047082379411</c:v>
                </c:pt>
                <c:pt idx="47">
                  <c:v>19.931413596744534</c:v>
                </c:pt>
                <c:pt idx="48">
                  <c:v>19.928669935553629</c:v>
                </c:pt>
                <c:pt idx="49">
                  <c:v>19.925812065268428</c:v>
                </c:pt>
                <c:pt idx="50">
                  <c:v>19.922835862417102</c:v>
                </c:pt>
                <c:pt idx="51">
                  <c:v>19.919737116880764</c:v>
                </c:pt>
                <c:pt idx="52">
                  <c:v>19.916511535817307</c:v>
                </c:pt>
                <c:pt idx="53">
                  <c:v>19.913154748270525</c:v>
                </c:pt>
                <c:pt idx="54">
                  <c:v>19.909662310511319</c:v>
                </c:pt>
                <c:pt idx="55">
                  <c:v>19.906029712160368</c:v>
                </c:pt>
                <c:pt idx="56">
                  <c:v>19.90225238314002</c:v>
                </c:pt>
                <c:pt idx="57">
                  <c:v>19.898325701504252</c:v>
                </c:pt>
                <c:pt idx="58">
                  <c:v>19.894245002193077</c:v>
                </c:pt>
                <c:pt idx="59">
                  <c:v>19.890005586759063</c:v>
                </c:pt>
                <c:pt idx="60">
                  <c:v>19.885602734107138</c:v>
                </c:pt>
                <c:pt idx="61">
                  <c:v>19.881031712291467</c:v>
                </c:pt>
                <c:pt idx="62">
                  <c:v>19.876287791404266</c:v>
                </c:pt>
                <c:pt idx="63">
                  <c:v>19.871366257591067</c:v>
                </c:pt>
                <c:pt idx="64">
                  <c:v>19.866262428218686</c:v>
                </c:pt>
                <c:pt idx="65">
                  <c:v>19.860971668217037</c:v>
                </c:pt>
                <c:pt idx="66">
                  <c:v>19.85548940760814</c:v>
                </c:pt>
                <c:pt idx="67">
                  <c:v>19.849811160226608</c:v>
                </c:pt>
                <c:pt idx="68">
                  <c:v>19.843932543625808</c:v>
                </c:pt>
                <c:pt idx="69">
                  <c:v>19.837849300154289</c:v>
                </c:pt>
                <c:pt idx="70">
                  <c:v>19.831557319172024</c:v>
                </c:pt>
                <c:pt idx="71">
                  <c:v>19.825052660365756</c:v>
                </c:pt>
                <c:pt idx="72">
                  <c:v>19.818331578104647</c:v>
                </c:pt>
                <c:pt idx="73">
                  <c:v>19.811390546764965</c:v>
                </c:pt>
                <c:pt idx="74">
                  <c:v>19.804226286932384</c:v>
                </c:pt>
                <c:pt idx="75">
                  <c:v>19.796835792375273</c:v>
                </c:pt>
                <c:pt idx="76">
                  <c:v>19.789216357662642</c:v>
                </c:pt>
                <c:pt idx="77">
                  <c:v>19.781365606280879</c:v>
                </c:pt>
                <c:pt idx="78">
                  <c:v>19.773281519084801</c:v>
                </c:pt>
                <c:pt idx="79">
                  <c:v>19.764962462898964</c:v>
                </c:pt>
                <c:pt idx="80">
                  <c:v>19.75640721906467</c:v>
                </c:pt>
                <c:pt idx="81">
                  <c:v>19.747615011710714</c:v>
                </c:pt>
                <c:pt idx="82">
                  <c:v>19.73858553550761</c:v>
                </c:pt>
                <c:pt idx="83">
                  <c:v>19.729318982647992</c:v>
                </c:pt>
                <c:pt idx="84">
                  <c:v>19.719816068782198</c:v>
                </c:pt>
                <c:pt idx="85">
                  <c:v>19.710078057624944</c:v>
                </c:pt>
                <c:pt idx="86">
                  <c:v>19.70010678393902</c:v>
                </c:pt>
                <c:pt idx="87">
                  <c:v>19.689904674596367</c:v>
                </c:pt>
                <c:pt idx="88">
                  <c:v>19.67947476741266</c:v>
                </c:pt>
                <c:pt idx="89">
                  <c:v>19.668820727453149</c:v>
                </c:pt>
                <c:pt idx="90">
                  <c:v>19.657946860512784</c:v>
                </c:pt>
                <c:pt idx="91">
                  <c:v>19.64685812348343</c:v>
                </c:pt>
                <c:pt idx="92">
                  <c:v>19.635560131335751</c:v>
                </c:pt>
                <c:pt idx="93">
                  <c:v>19.624059160464302</c:v>
                </c:pt>
                <c:pt idx="94">
                  <c:v>19.612362148167708</c:v>
                </c:pt>
                <c:pt idx="95">
                  <c:v>19.600476688068028</c:v>
                </c:pt>
                <c:pt idx="96">
                  <c:v>19.58841102130673</c:v>
                </c:pt>
                <c:pt idx="97">
                  <c:v>19.576174023395822</c:v>
                </c:pt>
                <c:pt idx="98">
                  <c:v>19.563775186645639</c:v>
                </c:pt>
                <c:pt idx="99">
                  <c:v>19.551224598138976</c:v>
                </c:pt>
                <c:pt idx="100">
                  <c:v>19.538532913271613</c:v>
                </c:pt>
                <c:pt idx="101">
                  <c:v>19.52571132493215</c:v>
                </c:pt>
                <c:pt idx="102">
                  <c:v>19.512771528447828</c:v>
                </c:pt>
                <c:pt idx="103">
                  <c:v>19.499725682478417</c:v>
                </c:pt>
                <c:pt idx="104">
                  <c:v>19.486586366092734</c:v>
                </c:pt>
                <c:pt idx="105">
                  <c:v>19.473366532315971</c:v>
                </c:pt>
                <c:pt idx="106">
                  <c:v>19.46007945848406</c:v>
                </c:pt>
                <c:pt idx="107">
                  <c:v>19.446738693788063</c:v>
                </c:pt>
                <c:pt idx="108">
                  <c:v>19.433358004431437</c:v>
                </c:pt>
                <c:pt idx="109">
                  <c:v>19.419951316858977</c:v>
                </c:pt>
                <c:pt idx="110">
                  <c:v>19.406532659544403</c:v>
                </c:pt>
                <c:pt idx="111">
                  <c:v>19.393116103845887</c:v>
                </c:pt>
                <c:pt idx="112">
                  <c:v>19.379715704451666</c:v>
                </c:pt>
                <c:pt idx="113">
                  <c:v>19.366345439945825</c:v>
                </c:pt>
                <c:pt idx="114">
                  <c:v>19.353019154020302</c:v>
                </c:pt>
                <c:pt idx="115">
                  <c:v>19.339750497851419</c:v>
                </c:pt>
                <c:pt idx="116">
                  <c:v>19.326552874139512</c:v>
                </c:pt>
                <c:pt idx="117">
                  <c:v>19.313439383286386</c:v>
                </c:pt>
                <c:pt idx="118">
                  <c:v>19.300422772153819</c:v>
                </c:pt>
                <c:pt idx="119">
                  <c:v>19.287515385805804</c:v>
                </c:pt>
                <c:pt idx="120">
                  <c:v>19.274729122598313</c:v>
                </c:pt>
                <c:pt idx="121">
                  <c:v>19.262075392928075</c:v>
                </c:pt>
                <c:pt idx="122">
                  <c:v>19.249565081904233</c:v>
                </c:pt>
                <c:pt idx="123">
                  <c:v>19.237208516153753</c:v>
                </c:pt>
                <c:pt idx="124">
                  <c:v>19.225015434912656</c:v>
                </c:pt>
                <c:pt idx="125">
                  <c:v>19.212994965509139</c:v>
                </c:pt>
                <c:pt idx="126">
                  <c:v>19.201155603281247</c:v>
                </c:pt>
                <c:pt idx="127">
                  <c:v>19.189505195927573</c:v>
                </c:pt>
                <c:pt idx="128">
                  <c:v>19.178050932235365</c:v>
                </c:pt>
                <c:pt idx="129">
                  <c:v>19.166799335088434</c:v>
                </c:pt>
                <c:pt idx="130">
                  <c:v>19.155756258610705</c:v>
                </c:pt>
                <c:pt idx="131">
                  <c:v>19.144926889267708</c:v>
                </c:pt>
                <c:pt idx="132">
                  <c:v>19.134315750712457</c:v>
                </c:pt>
                <c:pt idx="133">
                  <c:v>19.123926712137688</c:v>
                </c:pt>
                <c:pt idx="134">
                  <c:v>19.113762999868349</c:v>
                </c:pt>
                <c:pt idx="135">
                  <c:v>19.103827211917089</c:v>
                </c:pt>
                <c:pt idx="136">
                  <c:v>19.094121335208204</c:v>
                </c:pt>
                <c:pt idx="137">
                  <c:v>19.084646765169325</c:v>
                </c:pt>
                <c:pt idx="138">
                  <c:v>19.07540432738638</c:v>
                </c:pt>
                <c:pt idx="139">
                  <c:v>19.066394301020399</c:v>
                </c:pt>
                <c:pt idx="140">
                  <c:v>19.057616443685404</c:v>
                </c:pt>
                <c:pt idx="141">
                  <c:v>19.049070017499186</c:v>
                </c:pt>
                <c:pt idx="142">
                  <c:v>19.040753816026502</c:v>
                </c:pt>
                <c:pt idx="143">
                  <c:v>19.032666191849486</c:v>
                </c:pt>
                <c:pt idx="144">
                  <c:v>19.024805084514838</c:v>
                </c:pt>
                <c:pt idx="145">
                  <c:v>19.017168048625365</c:v>
                </c:pt>
                <c:pt idx="146">
                  <c:v>19.009752281860145</c:v>
                </c:pt>
                <c:pt idx="147">
                  <c:v>19.002554652728101</c:v>
                </c:pt>
                <c:pt idx="148">
                  <c:v>18.995571727878882</c:v>
                </c:pt>
                <c:pt idx="149">
                  <c:v>18.988799798813801</c:v>
                </c:pt>
                <c:pt idx="150">
                  <c:v>18.982234907859421</c:v>
                </c:pt>
                <c:pt idx="151">
                  <c:v>18.975872873285159</c:v>
                </c:pt>
                <c:pt idx="152">
                  <c:v>18.969709313464573</c:v>
                </c:pt>
                <c:pt idx="153">
                  <c:v>18.963739669996823</c:v>
                </c:pt>
                <c:pt idx="154">
                  <c:v>18.957959229721354</c:v>
                </c:pt>
                <c:pt idx="155">
                  <c:v>18.952363145574957</c:v>
                </c:pt>
                <c:pt idx="156">
                  <c:v>18.946946456252547</c:v>
                </c:pt>
                <c:pt idx="157">
                  <c:v>18.941704104647791</c:v>
                </c:pt>
                <c:pt idx="158">
                  <c:v>18.936630955060629</c:v>
                </c:pt>
                <c:pt idx="159">
                  <c:v>18.93172180916882</c:v>
                </c:pt>
                <c:pt idx="160">
                  <c:v>18.926971420770403</c:v>
                </c:pt>
                <c:pt idx="161">
                  <c:v>18.922374509311958</c:v>
                </c:pt>
                <c:pt idx="162">
                  <c:v>18.917925772224471</c:v>
                </c:pt>
                <c:pt idx="163">
                  <c:v>18.913619896094815</c:v>
                </c:pt>
                <c:pt idx="164">
                  <c:v>18.90945156670454</c:v>
                </c:pt>
                <c:pt idx="165">
                  <c:v>18.905415477974053</c:v>
                </c:pt>
                <c:pt idx="166">
                  <c:v>18.90150633985073</c:v>
                </c:pt>
                <c:pt idx="167">
                  <c:v>18.89771888518391</c:v>
                </c:pt>
                <c:pt idx="168">
                  <c:v>18.89404787563042</c:v>
                </c:pt>
                <c:pt idx="169">
                  <c:v>18.890488106635242</c:v>
                </c:pt>
                <c:pt idx="170">
                  <c:v>18.88703441153309</c:v>
                </c:pt>
                <c:pt idx="171">
                  <c:v>18.883681664816166</c:v>
                </c:pt>
                <c:pt idx="172">
                  <c:v>18.880424784612771</c:v>
                </c:pt>
                <c:pt idx="173">
                  <c:v>18.877258734421403</c:v>
                </c:pt>
                <c:pt idx="174">
                  <c:v>18.874178524142245</c:v>
                </c:pt>
                <c:pt idx="175">
                  <c:v>18.871179210449355</c:v>
                </c:pt>
                <c:pt idx="176">
                  <c:v>18.868255896541811</c:v>
                </c:pt>
                <c:pt idx="177">
                  <c:v>18.865403731313435</c:v>
                </c:pt>
                <c:pt idx="178">
                  <c:v>18.862617907976254</c:v>
                </c:pt>
                <c:pt idx="179">
                  <c:v>18.85989366217304</c:v>
                </c:pt>
                <c:pt idx="180">
                  <c:v>18.857226269610848</c:v>
                </c:pt>
                <c:pt idx="181">
                  <c:v>18.85461104324521</c:v>
                </c:pt>
                <c:pt idx="182">
                  <c:v>18.852043330043863</c:v>
                </c:pt>
                <c:pt idx="183">
                  <c:v>18.84951850735527</c:v>
                </c:pt>
                <c:pt idx="184">
                  <c:v>18.847031978906319</c:v>
                </c:pt>
                <c:pt idx="185">
                  <c:v>18.844579170450078</c:v>
                </c:pt>
                <c:pt idx="186">
                  <c:v>18.84215552508411</c:v>
                </c:pt>
                <c:pt idx="187">
                  <c:v>18.839756498256634</c:v>
                </c:pt>
                <c:pt idx="188">
                  <c:v>18.8373775524765</c:v>
                </c:pt>
                <c:pt idx="189">
                  <c:v>18.835014151740747</c:v>
                </c:pt>
                <c:pt idx="190">
                  <c:v>18.832661755691891</c:v>
                </c:pt>
                <c:pt idx="191">
                  <c:v>18.830315813515842</c:v>
                </c:pt>
                <c:pt idx="192">
                  <c:v>18.827971757588767</c:v>
                </c:pt>
                <c:pt idx="193">
                  <c:v>18.825624996880371</c:v>
                </c:pt>
                <c:pt idx="194">
                  <c:v>18.823270910119824</c:v>
                </c:pt>
                <c:pt idx="195">
                  <c:v>18.82090483872809</c:v>
                </c:pt>
                <c:pt idx="196">
                  <c:v>18.81852207952091</c:v>
                </c:pt>
                <c:pt idx="197">
                  <c:v>18.816117877183164</c:v>
                </c:pt>
                <c:pt idx="198">
                  <c:v>18.813687416516657</c:v>
                </c:pt>
                <c:pt idx="199">
                  <c:v>18.811225814460389</c:v>
                </c:pt>
                <c:pt idx="200">
                  <c:v>18.808728111882527</c:v>
                </c:pt>
                <c:pt idx="201">
                  <c:v>18.806189265142027</c:v>
                </c:pt>
                <c:pt idx="202">
                  <c:v>18.803604137416801</c:v>
                </c:pt>
                <c:pt idx="203">
                  <c:v>18.800967489795404</c:v>
                </c:pt>
                <c:pt idx="204">
                  <c:v>18.798273972127419</c:v>
                </c:pt>
                <c:pt idx="205">
                  <c:v>18.795518113628461</c:v>
                </c:pt>
                <c:pt idx="206">
                  <c:v>18.792694313233728</c:v>
                </c:pt>
                <c:pt idx="207">
                  <c:v>18.789796829695334</c:v>
                </c:pt>
                <c:pt idx="208">
                  <c:v>18.786819771416688</c:v>
                </c:pt>
                <c:pt idx="209">
                  <c:v>18.783757086018134</c:v>
                </c:pt>
                <c:pt idx="210">
                  <c:v>18.780602549626973</c:v>
                </c:pt>
                <c:pt idx="211">
                  <c:v>18.777349755886583</c:v>
                </c:pt>
                <c:pt idx="212">
                  <c:v>18.773992104676125</c:v>
                </c:pt>
                <c:pt idx="213">
                  <c:v>18.77052279053709</c:v>
                </c:pt>
                <c:pt idx="214">
                  <c:v>18.766934790798096</c:v>
                </c:pt>
                <c:pt idx="215">
                  <c:v>18.763220853394387</c:v>
                </c:pt>
                <c:pt idx="216">
                  <c:v>18.75937348437499</c:v>
                </c:pt>
                <c:pt idx="217">
                  <c:v>18.755384935093801</c:v>
                </c:pt>
                <c:pt idx="218">
                  <c:v>18.751247189080278</c:v>
                </c:pt>
                <c:pt idx="219">
                  <c:v>18.746951948585938</c:v>
                </c:pt>
                <c:pt idx="220">
                  <c:v>18.742490620805935</c:v>
                </c:pt>
                <c:pt idx="221">
                  <c:v>18.737854303772696</c:v>
                </c:pt>
                <c:pt idx="222">
                  <c:v>18.733033771921942</c:v>
                </c:pt>
                <c:pt idx="223">
                  <c:v>18.728019461335812</c:v>
                </c:pt>
                <c:pt idx="224">
                  <c:v>18.722801454660008</c:v>
                </c:pt>
                <c:pt idx="225">
                  <c:v>18.717369465707336</c:v>
                </c:pt>
                <c:pt idx="226">
                  <c:v>18.711712823748915</c:v>
                </c:pt>
                <c:pt idx="227">
                  <c:v>18.705820457505776</c:v>
                </c:pt>
                <c:pt idx="228">
                  <c:v>18.699680878849556</c:v>
                </c:pt>
                <c:pt idx="229">
                  <c:v>18.693282166231771</c:v>
                </c:pt>
                <c:pt idx="230">
                  <c:v>18.686611947853422</c:v>
                </c:pt>
                <c:pt idx="231">
                  <c:v>18.679657384600016</c:v>
                </c:pt>
                <c:pt idx="232">
                  <c:v>18.672405152763446</c:v>
                </c:pt>
                <c:pt idx="233">
                  <c:v>18.664841426582221</c:v>
                </c:pt>
                <c:pt idx="234">
                  <c:v>18.656951860627814</c:v>
                </c:pt>
                <c:pt idx="235">
                  <c:v>18.64872157207822</c:v>
                </c:pt>
                <c:pt idx="236">
                  <c:v>18.640135122917918</c:v>
                </c:pt>
                <c:pt idx="237">
                  <c:v>18.631176502111344</c:v>
                </c:pt>
                <c:pt idx="238">
                  <c:v>18.621829107801823</c:v>
                </c:pt>
                <c:pt idx="239">
                  <c:v>18.612075729594963</c:v>
                </c:pt>
                <c:pt idx="240">
                  <c:v>18.601898530988812</c:v>
                </c:pt>
                <c:pt idx="241">
                  <c:v>18.591279032022847</c:v>
                </c:pt>
                <c:pt idx="242">
                  <c:v>18.580198092222805</c:v>
                </c:pt>
                <c:pt idx="243">
                  <c:v>18.568635893924924</c:v>
                </c:pt>
                <c:pt idx="244">
                  <c:v>18.556571926072706</c:v>
                </c:pt>
                <c:pt idx="245">
                  <c:v>18.543984968585498</c:v>
                </c:pt>
                <c:pt idx="246">
                  <c:v>18.530853077406025</c:v>
                </c:pt>
                <c:pt idx="247">
                  <c:v>18.517153570342696</c:v>
                </c:pt>
                <c:pt idx="248">
                  <c:v>18.502863013831885</c:v>
                </c:pt>
                <c:pt idx="249">
                  <c:v>18.487957210750672</c:v>
                </c:pt>
                <c:pt idx="250">
                  <c:v>18.472411189423052</c:v>
                </c:pt>
                <c:pt idx="251">
                  <c:v>18.456199193967425</c:v>
                </c:pt>
                <c:pt idx="252">
                  <c:v>18.439294676144122</c:v>
                </c:pt>
                <c:pt idx="253">
                  <c:v>18.421670288868434</c:v>
                </c:pt>
                <c:pt idx="254">
                  <c:v>18.403297881562246</c:v>
                </c:pt>
                <c:pt idx="255">
                  <c:v>18.384148497526098</c:v>
                </c:pt>
                <c:pt idx="256">
                  <c:v>18.364192373518311</c:v>
                </c:pt>
                <c:pt idx="257">
                  <c:v>18.343398941734872</c:v>
                </c:pt>
                <c:pt idx="258">
                  <c:v>18.32173683438954</c:v>
                </c:pt>
                <c:pt idx="259">
                  <c:v>18.299173891095041</c:v>
                </c:pt>
                <c:pt idx="260">
                  <c:v>18.275677169251981</c:v>
                </c:pt>
                <c:pt idx="261">
                  <c:v>18.251212957650861</c:v>
                </c:pt>
                <c:pt idx="262">
                  <c:v>18.225746793493734</c:v>
                </c:pt>
                <c:pt idx="263">
                  <c:v>18.199243483039076</c:v>
                </c:pt>
                <c:pt idx="264">
                  <c:v>18.171667126067948</c:v>
                </c:pt>
                <c:pt idx="265">
                  <c:v>18.142981144365383</c:v>
                </c:pt>
                <c:pt idx="266">
                  <c:v>18.113148314398696</c:v>
                </c:pt>
                <c:pt idx="267">
                  <c:v>18.082130804364361</c:v>
                </c:pt>
                <c:pt idx="268">
                  <c:v>18.049890215759561</c:v>
                </c:pt>
                <c:pt idx="269">
                  <c:v>18.016387629616215</c:v>
                </c:pt>
                <c:pt idx="270">
                  <c:v>17.981583657514392</c:v>
                </c:pt>
                <c:pt idx="271">
                  <c:v>17.945438497467951</c:v>
                </c:pt>
                <c:pt idx="272">
                  <c:v>17.907911994745774</c:v>
                </c:pt>
                <c:pt idx="273">
                  <c:v>17.868963707662747</c:v>
                </c:pt>
                <c:pt idx="274">
                  <c:v>17.828552978336916</c:v>
                </c:pt>
                <c:pt idx="275">
                  <c:v>17.78663900837536</c:v>
                </c:pt>
                <c:pt idx="276">
                  <c:v>17.7431809394044</c:v>
                </c:pt>
                <c:pt idx="277">
                  <c:v>17.698137938321842</c:v>
                </c:pt>
                <c:pt idx="278">
                  <c:v>17.651469287095924</c:v>
                </c:pt>
                <c:pt idx="279">
                  <c:v>17.60313447689142</c:v>
                </c:pt>
                <c:pt idx="280">
                  <c:v>17.553093306249462</c:v>
                </c:pt>
                <c:pt idx="281">
                  <c:v>17.501305982995817</c:v>
                </c:pt>
                <c:pt idx="282">
                  <c:v>17.4477332295005</c:v>
                </c:pt>
                <c:pt idx="283">
                  <c:v>17.392336390857224</c:v>
                </c:pt>
                <c:pt idx="284">
                  <c:v>17.335077545500248</c:v>
                </c:pt>
                <c:pt idx="285">
                  <c:v>17.275919617724057</c:v>
                </c:pt>
                <c:pt idx="286">
                  <c:v>17.214826491524825</c:v>
                </c:pt>
                <c:pt idx="287">
                  <c:v>17.151763125136977</c:v>
                </c:pt>
                <c:pt idx="288">
                  <c:v>17.086695665597009</c:v>
                </c:pt>
                <c:pt idx="289">
                  <c:v>17.019591562632669</c:v>
                </c:pt>
                <c:pt idx="290">
                  <c:v>16.950419681144776</c:v>
                </c:pt>
                <c:pt idx="291">
                  <c:v>16.879150411527906</c:v>
                </c:pt>
                <c:pt idx="292">
                  <c:v>16.805755777059442</c:v>
                </c:pt>
                <c:pt idx="293">
                  <c:v>16.730209537581644</c:v>
                </c:pt>
                <c:pt idx="294">
                  <c:v>16.652487288702485</c:v>
                </c:pt>
                <c:pt idx="295">
                  <c:v>16.572566555752452</c:v>
                </c:pt>
                <c:pt idx="296">
                  <c:v>16.490426881756388</c:v>
                </c:pt>
                <c:pt idx="297">
                  <c:v>16.406049908708344</c:v>
                </c:pt>
                <c:pt idx="298">
                  <c:v>16.319419451479547</c:v>
                </c:pt>
                <c:pt idx="299">
                  <c:v>16.230521563736907</c:v>
                </c:pt>
                <c:pt idx="300">
                  <c:v>16.139344595308799</c:v>
                </c:pt>
                <c:pt idx="301">
                  <c:v>16.045879240501058</c:v>
                </c:pt>
                <c:pt idx="302">
                  <c:v>15.950118576938298</c:v>
                </c:pt>
                <c:pt idx="303">
                  <c:v>15.852058094587624</c:v>
                </c:pt>
                <c:pt idx="304">
                  <c:v>15.75169571470485</c:v>
                </c:pt>
                <c:pt idx="305">
                  <c:v>15.64903179853369</c:v>
                </c:pt>
                <c:pt idx="306">
                  <c:v>15.544069145678808</c:v>
                </c:pt>
                <c:pt idx="307">
                  <c:v>15.436812982167776</c:v>
                </c:pt>
                <c:pt idx="308">
                  <c:v>15.327270938307741</c:v>
                </c:pt>
                <c:pt idx="309">
                  <c:v>15.215453016535875</c:v>
                </c:pt>
                <c:pt idx="310">
                  <c:v>15.101371549547908</c:v>
                </c:pt>
                <c:pt idx="311">
                  <c:v>14.985041149074744</c:v>
                </c:pt>
                <c:pt idx="312">
                  <c:v>14.866478645754029</c:v>
                </c:pt>
                <c:pt idx="313">
                  <c:v>14.745703020615368</c:v>
                </c:pt>
                <c:pt idx="314">
                  <c:v>14.622735328761326</c:v>
                </c:pt>
                <c:pt idx="315">
                  <c:v>14.497598615881881</c:v>
                </c:pt>
                <c:pt idx="316">
                  <c:v>14.370317828286987</c:v>
                </c:pt>
                <c:pt idx="317">
                  <c:v>14.240919717177597</c:v>
                </c:pt>
                <c:pt idx="318">
                  <c:v>14.10943273790571</c:v>
                </c:pt>
                <c:pt idx="319">
                  <c:v>13.975886944988179</c:v>
                </c:pt>
                <c:pt idx="320">
                  <c:v>13.840313883652158</c:v>
                </c:pt>
                <c:pt idx="321">
                  <c:v>13.702746478684952</c:v>
                </c:pt>
                <c:pt idx="322">
                  <c:v>13.563218921354645</c:v>
                </c:pt>
                <c:pt idx="323">
                  <c:v>13.421766555151102</c:v>
                </c:pt>
                <c:pt idx="324">
                  <c:v>13.278425761067785</c:v>
                </c:pt>
                <c:pt idx="325">
                  <c:v>13.13323384311979</c:v>
                </c:pt>
                <c:pt idx="326">
                  <c:v>12.986228914750447</c:v>
                </c:pt>
                <c:pt idx="327">
                  <c:v>12.837449786742116</c:v>
                </c:pt>
                <c:pt idx="328">
                  <c:v>12.686935857195234</c:v>
                </c:pt>
                <c:pt idx="329">
                  <c:v>12.534727004096126</c:v>
                </c:pt>
                <c:pt idx="330">
                  <c:v>12.380863480940352</c:v>
                </c:pt>
                <c:pt idx="331">
                  <c:v>12.225385815823383</c:v>
                </c:pt>
                <c:pt idx="332">
                  <c:v>12.068334714363488</c:v>
                </c:pt>
                <c:pt idx="333">
                  <c:v>11.909750966762594</c:v>
                </c:pt>
                <c:pt idx="334">
                  <c:v>11.749675359262611</c:v>
                </c:pt>
                <c:pt idx="335">
                  <c:v>11.588148590203042</c:v>
                </c:pt>
                <c:pt idx="336">
                  <c:v>11.425211190838141</c:v>
                </c:pt>
                <c:pt idx="337">
                  <c:v>11.260903451022951</c:v>
                </c:pt>
                <c:pt idx="338">
                  <c:v>11.095265349837987</c:v>
                </c:pt>
                <c:pt idx="339">
                  <c:v>10.928336491179724</c:v>
                </c:pt>
                <c:pt idx="340">
                  <c:v>10.760156044306601</c:v>
                </c:pt>
                <c:pt idx="341">
                  <c:v>10.590762689297664</c:v>
                </c:pt>
                <c:pt idx="342">
                  <c:v>10.420194567350961</c:v>
                </c:pt>
                <c:pt idx="343">
                  <c:v>10.248489235819569</c:v>
                </c:pt>
                <c:pt idx="344">
                  <c:v>10.075683627862455</c:v>
                </c:pt>
                <c:pt idx="345">
                  <c:v>9.9018140165652895</c:v>
                </c:pt>
                <c:pt idx="346">
                  <c:v>9.7269159833691248</c:v>
                </c:pt>
                <c:pt idx="347">
                  <c:v>9.551024390633593</c:v>
                </c:pt>
                <c:pt idx="348">
                  <c:v>9.3741733581452404</c:v>
                </c:pt>
                <c:pt idx="349">
                  <c:v>9.1963962433779187</c:v>
                </c:pt>
                <c:pt idx="350">
                  <c:v>9.0177256253036759</c:v>
                </c:pt>
                <c:pt idx="351">
                  <c:v>8.8381932915481762</c:v>
                </c:pt>
                <c:pt idx="352">
                  <c:v>8.6578302286857074</c:v>
                </c:pt>
                <c:pt idx="353">
                  <c:v>8.4766666154652555</c:v>
                </c:pt>
                <c:pt idx="354">
                  <c:v>8.2947318187634167</c:v>
                </c:pt>
                <c:pt idx="355">
                  <c:v>8.1120543920634063</c:v>
                </c:pt>
                <c:pt idx="356">
                  <c:v>7.928662076259883</c:v>
                </c:pt>
                <c:pt idx="357">
                  <c:v>7.7445818025993871</c:v>
                </c:pt>
                <c:pt idx="358">
                  <c:v>7.5598396975698368</c:v>
                </c:pt>
                <c:pt idx="359">
                  <c:v>7.3744610895593778</c:v>
                </c:pt>
                <c:pt idx="360">
                  <c:v>7.1884705171121226</c:v>
                </c:pt>
                <c:pt idx="361">
                  <c:v>7.0018917386188377</c:v>
                </c:pt>
                <c:pt idx="362">
                  <c:v>6.814747743284272</c:v>
                </c:pt>
                <c:pt idx="363">
                  <c:v>6.6270607632252876</c:v>
                </c:pt>
                <c:pt idx="364">
                  <c:v>6.4388522865602758</c:v>
                </c:pt>
                <c:pt idx="365">
                  <c:v>6.2501430713584902</c:v>
                </c:pt>
                <c:pt idx="366">
                  <c:v>6.0609531603279896</c:v>
                </c:pt>
                <c:pt idx="367">
                  <c:v>5.8713018961283323</c:v>
                </c:pt>
                <c:pt idx="368">
                  <c:v>5.6812079371998356</c:v>
                </c:pt>
                <c:pt idx="369">
                  <c:v>5.4906892740152475</c:v>
                </c:pt>
                <c:pt idx="370">
                  <c:v>5.2997632456592711</c:v>
                </c:pt>
                <c:pt idx="371">
                  <c:v>5.1084465566559869</c:v>
                </c:pt>
                <c:pt idx="372">
                  <c:v>4.9167552939650854</c:v>
                </c:pt>
                <c:pt idx="373">
                  <c:v>4.7247049440809477</c:v>
                </c:pt>
                <c:pt idx="374">
                  <c:v>4.5323104101679981</c:v>
                </c:pt>
                <c:pt idx="375">
                  <c:v>4.3395860291775659</c:v>
                </c:pt>
                <c:pt idx="376">
                  <c:v>4.1465455888935265</c:v>
                </c:pt>
                <c:pt idx="377">
                  <c:v>3.9532023448616838</c:v>
                </c:pt>
                <c:pt idx="378">
                  <c:v>3.7595690371611772</c:v>
                </c:pt>
                <c:pt idx="379">
                  <c:v>3.5656579069812477</c:v>
                </c:pt>
                <c:pt idx="380">
                  <c:v>3.3714807129721356</c:v>
                </c:pt>
                <c:pt idx="381">
                  <c:v>3.1770487473417033</c:v>
                </c:pt>
                <c:pt idx="382">
                  <c:v>2.9823728516729267</c:v>
                </c:pt>
                <c:pt idx="383">
                  <c:v>2.7874634324428067</c:v>
                </c:pt>
                <c:pt idx="384">
                  <c:v>2.5923304762232586</c:v>
                </c:pt>
                <c:pt idx="385">
                  <c:v>2.3969835645514173</c:v>
                </c:pt>
                <c:pt idx="386">
                  <c:v>2.2014318884548887</c:v>
                </c:pt>
                <c:pt idx="387">
                  <c:v>2.0056842626247429</c:v>
                </c:pt>
                <c:pt idx="388">
                  <c:v>1.8097491392269247</c:v>
                </c:pt>
                <c:pt idx="389">
                  <c:v>1.6136346213473594</c:v>
                </c:pt>
                <c:pt idx="390">
                  <c:v>1.4173484760681454</c:v>
                </c:pt>
                <c:pt idx="391">
                  <c:v>1.2208981471713718</c:v>
                </c:pt>
                <c:pt idx="392">
                  <c:v>1.0242907674705728</c:v>
                </c:pt>
                <c:pt idx="393">
                  <c:v>0.82753317077105482</c:v>
                </c:pt>
                <c:pt idx="394">
                  <c:v>0.63063190346136078</c:v>
                </c:pt>
                <c:pt idx="395">
                  <c:v>0.43359323573723935</c:v>
                </c:pt>
                <c:pt idx="396">
                  <c:v>0.23642317246440284</c:v>
                </c:pt>
                <c:pt idx="397">
                  <c:v>3.9127463682694728E-2</c:v>
                </c:pt>
                <c:pt idx="398">
                  <c:v>-0.15828838524163608</c:v>
                </c:pt>
                <c:pt idx="399">
                  <c:v>-0.35581910380990095</c:v>
                </c:pt>
                <c:pt idx="400">
                  <c:v>-0.55345964692503102</c:v>
                </c:pt>
                <c:pt idx="401">
                  <c:v>-0.75120518575812034</c:v>
                </c:pt>
                <c:pt idx="402">
                  <c:v>-0.94905109894073747</c:v>
                </c:pt>
                <c:pt idx="403">
                  <c:v>-1.1469929640753251</c:v>
                </c:pt>
                <c:pt idx="404">
                  <c:v>-1.3450265495556319</c:v>
                </c:pt>
                <c:pt idx="405">
                  <c:v>-1.543147806689328</c:v>
                </c:pt>
                <c:pt idx="406">
                  <c:v>-1.7413528621150651</c:v>
                </c:pt>
                <c:pt idx="407">
                  <c:v>-1.9396380105051052</c:v>
                </c:pt>
                <c:pt idx="408">
                  <c:v>-2.1379997075459425</c:v>
                </c:pt>
                <c:pt idx="409">
                  <c:v>-2.3364345631881527</c:v>
                </c:pt>
                <c:pt idx="410">
                  <c:v>-2.5349393351578833</c:v>
                </c:pt>
                <c:pt idx="411">
                  <c:v>-2.7335109227211336</c:v>
                </c:pt>
                <c:pt idx="412">
                  <c:v>-2.9321463606931841</c:v>
                </c:pt>
                <c:pt idx="413">
                  <c:v>-3.1308428136850446</c:v>
                </c:pt>
                <c:pt idx="414">
                  <c:v>-3.3295975705788381</c:v>
                </c:pt>
                <c:pt idx="415">
                  <c:v>-3.528408039224757</c:v>
                </c:pt>
                <c:pt idx="416">
                  <c:v>-3.727271741351422</c:v>
                </c:pt>
                <c:pt idx="417">
                  <c:v>-3.9261863076828298</c:v>
                </c:pt>
                <c:pt idx="418">
                  <c:v>-4.12514947325396</c:v>
                </c:pt>
                <c:pt idx="419">
                  <c:v>-4.3241590729178645</c:v>
                </c:pt>
                <c:pt idx="420">
                  <c:v>-4.5232130370381851</c:v>
                </c:pt>
                <c:pt idx="421">
                  <c:v>-4.7223093873582833</c:v>
                </c:pt>
                <c:pt idx="422">
                  <c:v>-4.92144623304379</c:v>
                </c:pt>
                <c:pt idx="423">
                  <c:v>-5.120621766887421</c:v>
                </c:pt>
                <c:pt idx="424">
                  <c:v>-5.31983426167427</c:v>
                </c:pt>
                <c:pt idx="425">
                  <c:v>-5.5190820666987994</c:v>
                </c:pt>
                <c:pt idx="426">
                  <c:v>-5.7183636044285526</c:v>
                </c:pt>
                <c:pt idx="427">
                  <c:v>-5.917677367308313</c:v>
                </c:pt>
                <c:pt idx="428">
                  <c:v>-6.1170219147001879</c:v>
                </c:pt>
                <c:pt idx="429">
                  <c:v>-6.3163958699539382</c:v>
                </c:pt>
                <c:pt idx="430">
                  <c:v>-6.5157979176001977</c:v>
                </c:pt>
                <c:pt idx="431">
                  <c:v>-6.7152268006663194</c:v>
                </c:pt>
                <c:pt idx="432">
                  <c:v>-6.9146813181045372</c:v>
                </c:pt>
                <c:pt idx="433">
                  <c:v>-7.1141603223321059</c:v>
                </c:pt>
                <c:pt idx="434">
                  <c:v>-7.3136627168766122</c:v>
                </c:pt>
                <c:pt idx="435">
                  <c:v>-7.513187454122896</c:v>
                </c:pt>
                <c:pt idx="436">
                  <c:v>-7.7127335331569924</c:v>
                </c:pt>
                <c:pt idx="437">
                  <c:v>-7.9122999977036308</c:v>
                </c:pt>
                <c:pt idx="438">
                  <c:v>-8.1118859341532499</c:v>
                </c:pt>
                <c:pt idx="439">
                  <c:v>-8.311490469674121</c:v>
                </c:pt>
                <c:pt idx="440">
                  <c:v>-8.511112770407026</c:v>
                </c:pt>
                <c:pt idx="441">
                  <c:v>-8.7107520397388765</c:v>
                </c:pt>
                <c:pt idx="442">
                  <c:v>-8.9104075166506433</c:v>
                </c:pt>
                <c:pt idx="443">
                  <c:v>-9.1100784741385237</c:v>
                </c:pt>
                <c:pt idx="444">
                  <c:v>-9.309764217703556</c:v>
                </c:pt>
                <c:pt idx="445">
                  <c:v>-9.5094640839074778</c:v>
                </c:pt>
                <c:pt idx="446">
                  <c:v>-9.7091774389921763</c:v>
                </c:pt>
                <c:pt idx="447">
                  <c:v>-9.9089036775597528</c:v>
                </c:pt>
                <c:pt idx="448">
                  <c:v>-10.108642221310012</c:v>
                </c:pt>
                <c:pt idx="449">
                  <c:v>-10.308392517834379</c:v>
                </c:pt>
                <c:pt idx="450">
                  <c:v>-10.508154039462339</c:v>
                </c:pt>
                <c:pt idx="451">
                  <c:v>-10.70792628215931</c:v>
                </c:pt>
                <c:pt idx="452">
                  <c:v>-10.907708764472016</c:v>
                </c:pt>
                <c:pt idx="453">
                  <c:v>-11.107501026522167</c:v>
                </c:pt>
                <c:pt idx="454">
                  <c:v>-11.307302629042969</c:v>
                </c:pt>
                <c:pt idx="455">
                  <c:v>-11.50711315245978</c:v>
                </c:pt>
                <c:pt idx="456">
                  <c:v>-11.706932196009681</c:v>
                </c:pt>
                <c:pt idx="457">
                  <c:v>-11.906759376902308</c:v>
                </c:pt>
                <c:pt idx="458">
                  <c:v>-12.106594329515548</c:v>
                </c:pt>
                <c:pt idx="459">
                  <c:v>-12.306436704628991</c:v>
                </c:pt>
                <c:pt idx="460">
                  <c:v>-12.506286168689849</c:v>
                </c:pt>
                <c:pt idx="461">
                  <c:v>-12.706142403112644</c:v>
                </c:pt>
                <c:pt idx="462">
                  <c:v>-12.906005103609186</c:v>
                </c:pt>
                <c:pt idx="463">
                  <c:v>-13.105873979548914</c:v>
                </c:pt>
                <c:pt idx="464">
                  <c:v>-13.305748753347411</c:v>
                </c:pt>
                <c:pt idx="465">
                  <c:v>-13.5056291598823</c:v>
                </c:pt>
                <c:pt idx="466">
                  <c:v>-13.705514945935285</c:v>
                </c:pt>
                <c:pt idx="467">
                  <c:v>-13.905405869658336</c:v>
                </c:pt>
                <c:pt idx="468">
                  <c:v>-14.105301700065059</c:v>
                </c:pt>
                <c:pt idx="469">
                  <c:v>-14.305202216543005</c:v>
                </c:pt>
                <c:pt idx="470">
                  <c:v>-14.505107208389559</c:v>
                </c:pt>
                <c:pt idx="471">
                  <c:v>-14.705016474367007</c:v>
                </c:pt>
                <c:pt idx="472">
                  <c:v>-14.904929822278428</c:v>
                </c:pt>
                <c:pt idx="473">
                  <c:v>-15.104847068562153</c:v>
                </c:pt>
                <c:pt idx="474">
                  <c:v>-15.30476803790447</c:v>
                </c:pt>
                <c:pt idx="475">
                  <c:v>-15.504692562869709</c:v>
                </c:pt>
                <c:pt idx="476">
                  <c:v>-15.704620483546554</c:v>
                </c:pt>
                <c:pt idx="477">
                  <c:v>-15.904551647210422</c:v>
                </c:pt>
                <c:pt idx="478">
                  <c:v>-16.104485908001248</c:v>
                </c:pt>
                <c:pt idx="479">
                  <c:v>-16.304423126614861</c:v>
                </c:pt>
                <c:pt idx="480">
                  <c:v>-16.504363170009096</c:v>
                </c:pt>
                <c:pt idx="481">
                  <c:v>-16.704305911122212</c:v>
                </c:pt>
                <c:pt idx="482">
                  <c:v>-16.904251228605027</c:v>
                </c:pt>
                <c:pt idx="483">
                  <c:v>-17.104199006563732</c:v>
                </c:pt>
                <c:pt idx="484">
                  <c:v>-17.304149134315303</c:v>
                </c:pt>
                <c:pt idx="485">
                  <c:v>-17.504101506153113</c:v>
                </c:pt>
                <c:pt idx="486">
                  <c:v>-17.704056021123645</c:v>
                </c:pt>
                <c:pt idx="487">
                  <c:v>-17.904012582813024</c:v>
                </c:pt>
                <c:pt idx="488">
                  <c:v>-18.103971099142843</c:v>
                </c:pt>
                <c:pt idx="489">
                  <c:v>-18.303931482175393</c:v>
                </c:pt>
                <c:pt idx="490">
                  <c:v>-18.503893647927828</c:v>
                </c:pt>
                <c:pt idx="491">
                  <c:v>-18.703857516194272</c:v>
                </c:pt>
                <c:pt idx="492">
                  <c:v>-18.903823010375877</c:v>
                </c:pt>
                <c:pt idx="493">
                  <c:v>-19.103790057319181</c:v>
                </c:pt>
                <c:pt idx="494">
                  <c:v>-19.303758587160978</c:v>
                </c:pt>
                <c:pt idx="495">
                  <c:v>-19.503728533180308</c:v>
                </c:pt>
                <c:pt idx="496">
                  <c:v>-19.703699831657381</c:v>
                </c:pt>
                <c:pt idx="497">
                  <c:v>-19.903672421738769</c:v>
                </c:pt>
                <c:pt idx="498">
                  <c:v>-20.103646245308141</c:v>
                </c:pt>
                <c:pt idx="499">
                  <c:v>-20.303621246863703</c:v>
                </c:pt>
                <c:pt idx="500">
                  <c:v>-20.503597373400279</c:v>
                </c:pt>
                <c:pt idx="501">
                  <c:v>-20.703574574297154</c:v>
                </c:pt>
                <c:pt idx="502">
                  <c:v>-20.903552801210978</c:v>
                </c:pt>
                <c:pt idx="503">
                  <c:v>-21.1035320079732</c:v>
                </c:pt>
                <c:pt idx="504">
                  <c:v>-21.303512150492352</c:v>
                </c:pt>
                <c:pt idx="505">
                  <c:v>-21.503493186660574</c:v>
                </c:pt>
                <c:pt idx="506">
                  <c:v>-21.70347507626461</c:v>
                </c:pt>
                <c:pt idx="507">
                  <c:v>-21.903457780900123</c:v>
                </c:pt>
                <c:pt idx="508">
                  <c:v>-22.103441263890957</c:v>
                </c:pt>
                <c:pt idx="509">
                  <c:v>-22.303425490211083</c:v>
                </c:pt>
                <c:pt idx="510">
                  <c:v>-22.503410426410206</c:v>
                </c:pt>
                <c:pt idx="511">
                  <c:v>-22.7033960405433</c:v>
                </c:pt>
                <c:pt idx="512">
                  <c:v>-22.903382302102621</c:v>
                </c:pt>
                <c:pt idx="513">
                  <c:v>-23.103369181952971</c:v>
                </c:pt>
                <c:pt idx="514">
                  <c:v>-23.303356652270338</c:v>
                </c:pt>
                <c:pt idx="515">
                  <c:v>-23.50334468648262</c:v>
                </c:pt>
                <c:pt idx="516">
                  <c:v>-23.703333259213256</c:v>
                </c:pt>
                <c:pt idx="517">
                  <c:v>-23.903322346227654</c:v>
                </c:pt>
                <c:pt idx="518">
                  <c:v>-24.103311924381778</c:v>
                </c:pt>
                <c:pt idx="519">
                  <c:v>-24.303301971572836</c:v>
                </c:pt>
                <c:pt idx="520">
                  <c:v>-24.50329246669277</c:v>
                </c:pt>
                <c:pt idx="521">
                  <c:v>-24.703283389583326</c:v>
                </c:pt>
                <c:pt idx="522">
                  <c:v>-24.903274720993526</c:v>
                </c:pt>
                <c:pt idx="523">
                  <c:v>-25.103266442538256</c:v>
                </c:pt>
                <c:pt idx="524">
                  <c:v>-25.30325853666017</c:v>
                </c:pt>
                <c:pt idx="525">
                  <c:v>-25.503250986591723</c:v>
                </c:pt>
                <c:pt idx="526">
                  <c:v>-25.70324377632021</c:v>
                </c:pt>
                <c:pt idx="527">
                  <c:v>-25.903236890553107</c:v>
                </c:pt>
                <c:pt idx="528">
                  <c:v>-26.103230314686279</c:v>
                </c:pt>
                <c:pt idx="529">
                  <c:v>-26.303224034773081</c:v>
                </c:pt>
                <c:pt idx="530">
                  <c:v>-26.503218037493919</c:v>
                </c:pt>
                <c:pt idx="531">
                  <c:v>-26.70321231012921</c:v>
                </c:pt>
                <c:pt idx="532">
                  <c:v>-26.903206840531286</c:v>
                </c:pt>
                <c:pt idx="533">
                  <c:v>-27.103201617099351</c:v>
                </c:pt>
                <c:pt idx="534">
                  <c:v>-27.303196628754627</c:v>
                </c:pt>
                <c:pt idx="535">
                  <c:v>-27.503191864917206</c:v>
                </c:pt>
                <c:pt idx="536">
                  <c:v>-27.703187315482825</c:v>
                </c:pt>
                <c:pt idx="537">
                  <c:v>-27.903182970802263</c:v>
                </c:pt>
                <c:pt idx="538">
                  <c:v>-28.103178821660492</c:v>
                </c:pt>
                <c:pt idx="539">
                  <c:v>-28.303174859257222</c:v>
                </c:pt>
                <c:pt idx="540">
                  <c:v>-28.503171075187996</c:v>
                </c:pt>
                <c:pt idx="541">
                  <c:v>-28.703167461426933</c:v>
                </c:pt>
              </c:numCache>
            </c:numRef>
          </c:yVal>
          <c:smooth val="1"/>
          <c:extLst>
            <c:ext xmlns:c16="http://schemas.microsoft.com/office/drawing/2014/chart" uri="{C3380CC4-5D6E-409C-BE32-E72D297353CC}">
              <c16:uniqueId val="{00000000-3DFE-43A9-93A4-11C3658A6E80}"/>
            </c:ext>
          </c:extLst>
        </c:ser>
        <c:dLbls>
          <c:showLegendKey val="0"/>
          <c:showVal val="0"/>
          <c:showCatName val="0"/>
          <c:showSerName val="0"/>
          <c:showPercent val="0"/>
          <c:showBubbleSize val="0"/>
        </c:dLbls>
        <c:axId val="337758080"/>
        <c:axId val="384032768"/>
      </c:scatterChart>
      <c:scatterChart>
        <c:scatterStyle val="smoothMarker"/>
        <c:varyColors val="0"/>
        <c:ser>
          <c:idx val="1"/>
          <c:order val="1"/>
          <c:marker>
            <c:symbol val="none"/>
          </c:marker>
          <c:xVal>
            <c:numRef>
              <c:f>CCM_Loop_Modeling_Isolated!$O$19:$O$560</c:f>
              <c:numCache>
                <c:formatCode>0.00</c:formatCode>
                <c:ptCount val="542"/>
                <c:pt idx="0">
                  <c:v>10.232929922807543</c:v>
                </c:pt>
                <c:pt idx="1">
                  <c:v>10.471285480509</c:v>
                </c:pt>
                <c:pt idx="2">
                  <c:v>10.715193052376069</c:v>
                </c:pt>
                <c:pt idx="3">
                  <c:v>10.964781961431854</c:v>
                </c:pt>
                <c:pt idx="4">
                  <c:v>11.220184543019636</c:v>
                </c:pt>
                <c:pt idx="5">
                  <c:v>11.481536214968834</c:v>
                </c:pt>
                <c:pt idx="6">
                  <c:v>11.748975549395301</c:v>
                </c:pt>
                <c:pt idx="7">
                  <c:v>12.022644346174133</c:v>
                </c:pt>
                <c:pt idx="8">
                  <c:v>12.302687708123818</c:v>
                </c:pt>
                <c:pt idx="9">
                  <c:v>12.58925411794168</c:v>
                </c:pt>
                <c:pt idx="10">
                  <c:v>12.882495516931346</c:v>
                </c:pt>
                <c:pt idx="11">
                  <c:v>13.182567385564075</c:v>
                </c:pt>
                <c:pt idx="12">
                  <c:v>13.489628825916535</c:v>
                </c:pt>
                <c:pt idx="13">
                  <c:v>13.803842646028857</c:v>
                </c:pt>
                <c:pt idx="14">
                  <c:v>14.125375446227544</c:v>
                </c:pt>
                <c:pt idx="15">
                  <c:v>14.454397707459275</c:v>
                </c:pt>
                <c:pt idx="16">
                  <c:v>14.791083881682074</c:v>
                </c:pt>
                <c:pt idx="17">
                  <c:v>15.135612484362087</c:v>
                </c:pt>
                <c:pt idx="18">
                  <c:v>15.488166189124817</c:v>
                </c:pt>
                <c:pt idx="19">
                  <c:v>15.848931924611136</c:v>
                </c:pt>
                <c:pt idx="20">
                  <c:v>16.218100973589298</c:v>
                </c:pt>
                <c:pt idx="21">
                  <c:v>16.595869074375614</c:v>
                </c:pt>
                <c:pt idx="22">
                  <c:v>16.982436524617448</c:v>
                </c:pt>
                <c:pt idx="23">
                  <c:v>17.378008287493756</c:v>
                </c:pt>
                <c:pt idx="24">
                  <c:v>17.782794100389236</c:v>
                </c:pt>
                <c:pt idx="25">
                  <c:v>18.197008586099841</c:v>
                </c:pt>
                <c:pt idx="26">
                  <c:v>18.62087136662868</c:v>
                </c:pt>
                <c:pt idx="27">
                  <c:v>19.054607179632477</c:v>
                </c:pt>
                <c:pt idx="28">
                  <c:v>19.498445997580465</c:v>
                </c:pt>
                <c:pt idx="29">
                  <c:v>19.952623149688804</c:v>
                </c:pt>
                <c:pt idx="30">
                  <c:v>20.4173794466953</c:v>
                </c:pt>
                <c:pt idx="31">
                  <c:v>20.8929613085404</c:v>
                </c:pt>
                <c:pt idx="32">
                  <c:v>21.379620895022335</c:v>
                </c:pt>
                <c:pt idx="33">
                  <c:v>21.877616239495538</c:v>
                </c:pt>
                <c:pt idx="34">
                  <c:v>22.387211385683404</c:v>
                </c:pt>
                <c:pt idx="35">
                  <c:v>22.908676527677727</c:v>
                </c:pt>
                <c:pt idx="36">
                  <c:v>23.442288153199236</c:v>
                </c:pt>
                <c:pt idx="37">
                  <c:v>23.988329190194907</c:v>
                </c:pt>
                <c:pt idx="38">
                  <c:v>24.547089156850316</c:v>
                </c:pt>
                <c:pt idx="39">
                  <c:v>25.118864315095799</c:v>
                </c:pt>
                <c:pt idx="40">
                  <c:v>25.703957827688647</c:v>
                </c:pt>
                <c:pt idx="41">
                  <c:v>26.302679918953825</c:v>
                </c:pt>
                <c:pt idx="42">
                  <c:v>26.915348039269158</c:v>
                </c:pt>
                <c:pt idx="43">
                  <c:v>27.542287033381665</c:v>
                </c:pt>
                <c:pt idx="44">
                  <c:v>28.183829312644548</c:v>
                </c:pt>
                <c:pt idx="45">
                  <c:v>28.840315031266066</c:v>
                </c:pt>
                <c:pt idx="46">
                  <c:v>29.512092266663863</c:v>
                </c:pt>
                <c:pt idx="47">
                  <c:v>30.199517204020164</c:v>
                </c:pt>
                <c:pt idx="48">
                  <c:v>30.902954325135919</c:v>
                </c:pt>
                <c:pt idx="49">
                  <c:v>31.622776601683803</c:v>
                </c:pt>
                <c:pt idx="50">
                  <c:v>32.359365692962832</c:v>
                </c:pt>
                <c:pt idx="51">
                  <c:v>33.113112148259127</c:v>
                </c:pt>
                <c:pt idx="52">
                  <c:v>33.884415613920268</c:v>
                </c:pt>
                <c:pt idx="53">
                  <c:v>34.67368504525318</c:v>
                </c:pt>
                <c:pt idx="54">
                  <c:v>35.481338923357555</c:v>
                </c:pt>
                <c:pt idx="55">
                  <c:v>36.307805477010156</c:v>
                </c:pt>
                <c:pt idx="56">
                  <c:v>37.15352290971726</c:v>
                </c:pt>
                <c:pt idx="57">
                  <c:v>38.018939632056139</c:v>
                </c:pt>
                <c:pt idx="58">
                  <c:v>38.904514499428053</c:v>
                </c:pt>
                <c:pt idx="59">
                  <c:v>39.810717055349755</c:v>
                </c:pt>
                <c:pt idx="60">
                  <c:v>40.738027780411279</c:v>
                </c:pt>
                <c:pt idx="61">
                  <c:v>41.686938347033561</c:v>
                </c:pt>
                <c:pt idx="62">
                  <c:v>42.657951880159267</c:v>
                </c:pt>
                <c:pt idx="63">
                  <c:v>43.651583224016633</c:v>
                </c:pt>
                <c:pt idx="64">
                  <c:v>44.668359215096324</c:v>
                </c:pt>
                <c:pt idx="65">
                  <c:v>45.70881896148753</c:v>
                </c:pt>
                <c:pt idx="66">
                  <c:v>46.773514128719818</c:v>
                </c:pt>
                <c:pt idx="67">
                  <c:v>47.863009232263877</c:v>
                </c:pt>
                <c:pt idx="68">
                  <c:v>48.977881936844632</c:v>
                </c:pt>
                <c:pt idx="69">
                  <c:v>50.118723362727238</c:v>
                </c:pt>
                <c:pt idx="70">
                  <c:v>51.28613839913649</c:v>
                </c:pt>
                <c:pt idx="71">
                  <c:v>52.480746024977286</c:v>
                </c:pt>
                <c:pt idx="72">
                  <c:v>53.703179637025293</c:v>
                </c:pt>
                <c:pt idx="73">
                  <c:v>54.95408738576247</c:v>
                </c:pt>
                <c:pt idx="74">
                  <c:v>56.234132519034915</c:v>
                </c:pt>
                <c:pt idx="75">
                  <c:v>57.543993733715695</c:v>
                </c:pt>
                <c:pt idx="76">
                  <c:v>58.884365535558949</c:v>
                </c:pt>
                <c:pt idx="77">
                  <c:v>60.255958607435822</c:v>
                </c:pt>
                <c:pt idx="78">
                  <c:v>61.659500186148257</c:v>
                </c:pt>
                <c:pt idx="79">
                  <c:v>63.095734448019364</c:v>
                </c:pt>
                <c:pt idx="80">
                  <c:v>64.565422903465588</c:v>
                </c:pt>
                <c:pt idx="81">
                  <c:v>66.069344800759623</c:v>
                </c:pt>
                <c:pt idx="82">
                  <c:v>67.60829753919819</c:v>
                </c:pt>
                <c:pt idx="83">
                  <c:v>69.183097091893657</c:v>
                </c:pt>
                <c:pt idx="84">
                  <c:v>70.794578438413865</c:v>
                </c:pt>
                <c:pt idx="85">
                  <c:v>72.443596007499011</c:v>
                </c:pt>
                <c:pt idx="86">
                  <c:v>74.131024130091816</c:v>
                </c:pt>
                <c:pt idx="87">
                  <c:v>75.857757502918361</c:v>
                </c:pt>
                <c:pt idx="88">
                  <c:v>77.624711662869217</c:v>
                </c:pt>
                <c:pt idx="89">
                  <c:v>79.432823472428197</c:v>
                </c:pt>
                <c:pt idx="90">
                  <c:v>81.283051616409963</c:v>
                </c:pt>
                <c:pt idx="91">
                  <c:v>83.176377110267126</c:v>
                </c:pt>
                <c:pt idx="92">
                  <c:v>85.113803820237734</c:v>
                </c:pt>
                <c:pt idx="93">
                  <c:v>87.096358995608071</c:v>
                </c:pt>
                <c:pt idx="94">
                  <c:v>89.125093813374562</c:v>
                </c:pt>
                <c:pt idx="95">
                  <c:v>91.201083935590972</c:v>
                </c:pt>
                <c:pt idx="96">
                  <c:v>93.325430079699174</c:v>
                </c:pt>
                <c:pt idx="97">
                  <c:v>95.499258602143655</c:v>
                </c:pt>
                <c:pt idx="98">
                  <c:v>97.723722095581124</c:v>
                </c:pt>
                <c:pt idx="99">
                  <c:v>100</c:v>
                </c:pt>
                <c:pt idx="100">
                  <c:v>102.32929922807544</c:v>
                </c:pt>
                <c:pt idx="101">
                  <c:v>104.71285480508998</c:v>
                </c:pt>
                <c:pt idx="102">
                  <c:v>107.15193052376065</c:v>
                </c:pt>
                <c:pt idx="103">
                  <c:v>109.64781961431861</c:v>
                </c:pt>
                <c:pt idx="104">
                  <c:v>112.20184543019634</c:v>
                </c:pt>
                <c:pt idx="105">
                  <c:v>114.81536214968835</c:v>
                </c:pt>
                <c:pt idx="106">
                  <c:v>117.48975549395293</c:v>
                </c:pt>
                <c:pt idx="107">
                  <c:v>120.22644346174135</c:v>
                </c:pt>
                <c:pt idx="108">
                  <c:v>123.02687708123821</c:v>
                </c:pt>
                <c:pt idx="109">
                  <c:v>125.89254117941677</c:v>
                </c:pt>
                <c:pt idx="110">
                  <c:v>128.82495516931343</c:v>
                </c:pt>
                <c:pt idx="111">
                  <c:v>131.82567385564084</c:v>
                </c:pt>
                <c:pt idx="112">
                  <c:v>134.89628825916537</c:v>
                </c:pt>
                <c:pt idx="113">
                  <c:v>138.0384264602886</c:v>
                </c:pt>
                <c:pt idx="114">
                  <c:v>141.25375446227542</c:v>
                </c:pt>
                <c:pt idx="115">
                  <c:v>144.54397707459285</c:v>
                </c:pt>
                <c:pt idx="116">
                  <c:v>147.91083881682084</c:v>
                </c:pt>
                <c:pt idx="117">
                  <c:v>151.3561248436209</c:v>
                </c:pt>
                <c:pt idx="118">
                  <c:v>154.8816618912482</c:v>
                </c:pt>
                <c:pt idx="119">
                  <c:v>158.48931924611153</c:v>
                </c:pt>
                <c:pt idx="120">
                  <c:v>162.18100973589304</c:v>
                </c:pt>
                <c:pt idx="121">
                  <c:v>165.95869074375622</c:v>
                </c:pt>
                <c:pt idx="122">
                  <c:v>169.82436524617444</c:v>
                </c:pt>
                <c:pt idx="123">
                  <c:v>173.78008287493768</c:v>
                </c:pt>
                <c:pt idx="124">
                  <c:v>177.82794100389242</c:v>
                </c:pt>
                <c:pt idx="125">
                  <c:v>181.9700858609983</c:v>
                </c:pt>
                <c:pt idx="126">
                  <c:v>186.20871366628685</c:v>
                </c:pt>
                <c:pt idx="127">
                  <c:v>190.54607179632498</c:v>
                </c:pt>
                <c:pt idx="128">
                  <c:v>194.98445997580458</c:v>
                </c:pt>
                <c:pt idx="129">
                  <c:v>199.52623149688802</c:v>
                </c:pt>
                <c:pt idx="130">
                  <c:v>204.17379446695315</c:v>
                </c:pt>
                <c:pt idx="131">
                  <c:v>208.92961308540396</c:v>
                </c:pt>
                <c:pt idx="132">
                  <c:v>213.79620895022339</c:v>
                </c:pt>
                <c:pt idx="133">
                  <c:v>218.77616239495524</c:v>
                </c:pt>
                <c:pt idx="134">
                  <c:v>223.87211385683412</c:v>
                </c:pt>
                <c:pt idx="135">
                  <c:v>229.08676527677744</c:v>
                </c:pt>
                <c:pt idx="136">
                  <c:v>234.42288153199232</c:v>
                </c:pt>
                <c:pt idx="137">
                  <c:v>239.88329190194912</c:v>
                </c:pt>
                <c:pt idx="138">
                  <c:v>245.4708915685033</c:v>
                </c:pt>
                <c:pt idx="139">
                  <c:v>251.18864315095806</c:v>
                </c:pt>
                <c:pt idx="140">
                  <c:v>257.03957827688663</c:v>
                </c:pt>
                <c:pt idx="141">
                  <c:v>263.02679918953817</c:v>
                </c:pt>
                <c:pt idx="142">
                  <c:v>269.15348039269179</c:v>
                </c:pt>
                <c:pt idx="143">
                  <c:v>275.42287033381683</c:v>
                </c:pt>
                <c:pt idx="144">
                  <c:v>281.83829312644554</c:v>
                </c:pt>
                <c:pt idx="145">
                  <c:v>288.40315031266073</c:v>
                </c:pt>
                <c:pt idx="146">
                  <c:v>295.12092266663871</c:v>
                </c:pt>
                <c:pt idx="147">
                  <c:v>301.99517204020168</c:v>
                </c:pt>
                <c:pt idx="148">
                  <c:v>309.02954325135937</c:v>
                </c:pt>
                <c:pt idx="149">
                  <c:v>316.22776601683825</c:v>
                </c:pt>
                <c:pt idx="150">
                  <c:v>323.59365692962825</c:v>
                </c:pt>
                <c:pt idx="151">
                  <c:v>331.13112148259137</c:v>
                </c:pt>
                <c:pt idx="152">
                  <c:v>338.84415613920277</c:v>
                </c:pt>
                <c:pt idx="153">
                  <c:v>346.73685045253183</c:v>
                </c:pt>
                <c:pt idx="154">
                  <c:v>354.81338923357566</c:v>
                </c:pt>
                <c:pt idx="155">
                  <c:v>363.07805477010152</c:v>
                </c:pt>
                <c:pt idx="156">
                  <c:v>371.53522909717265</c:v>
                </c:pt>
                <c:pt idx="157">
                  <c:v>380.18939632056163</c:v>
                </c:pt>
                <c:pt idx="158">
                  <c:v>389.04514499428063</c:v>
                </c:pt>
                <c:pt idx="159">
                  <c:v>398.10717055349761</c:v>
                </c:pt>
                <c:pt idx="160">
                  <c:v>407.38027780411272</c:v>
                </c:pt>
                <c:pt idx="161">
                  <c:v>416.86938347033572</c:v>
                </c:pt>
                <c:pt idx="162">
                  <c:v>426.57951880159294</c:v>
                </c:pt>
                <c:pt idx="163">
                  <c:v>436.51583224016622</c:v>
                </c:pt>
                <c:pt idx="164">
                  <c:v>446.68359215096331</c:v>
                </c:pt>
                <c:pt idx="165">
                  <c:v>457.0881896148756</c:v>
                </c:pt>
                <c:pt idx="166">
                  <c:v>467.7351412871983</c:v>
                </c:pt>
                <c:pt idx="167">
                  <c:v>478.63009232263886</c:v>
                </c:pt>
                <c:pt idx="168">
                  <c:v>489.77881936844625</c:v>
                </c:pt>
                <c:pt idx="169">
                  <c:v>501.18723362727269</c:v>
                </c:pt>
                <c:pt idx="170">
                  <c:v>512.86138399136519</c:v>
                </c:pt>
                <c:pt idx="171">
                  <c:v>524.80746024977248</c:v>
                </c:pt>
                <c:pt idx="172">
                  <c:v>537.03179637025301</c:v>
                </c:pt>
                <c:pt idx="173">
                  <c:v>549.54087385762534</c:v>
                </c:pt>
                <c:pt idx="174">
                  <c:v>562.34132519034927</c:v>
                </c:pt>
                <c:pt idx="175">
                  <c:v>575.43993733715706</c:v>
                </c:pt>
                <c:pt idx="176">
                  <c:v>588.84365535558959</c:v>
                </c:pt>
                <c:pt idx="177">
                  <c:v>602.55958607435832</c:v>
                </c:pt>
                <c:pt idx="178">
                  <c:v>616.59500186148273</c:v>
                </c:pt>
                <c:pt idx="179">
                  <c:v>630.95734448019323</c:v>
                </c:pt>
                <c:pt idx="180">
                  <c:v>645.65422903465594</c:v>
                </c:pt>
                <c:pt idx="181">
                  <c:v>660.69344800759643</c:v>
                </c:pt>
                <c:pt idx="182">
                  <c:v>676.08297539198213</c:v>
                </c:pt>
                <c:pt idx="183">
                  <c:v>691.83097091893671</c:v>
                </c:pt>
                <c:pt idx="184">
                  <c:v>707.94578438413873</c:v>
                </c:pt>
                <c:pt idx="185">
                  <c:v>724.43596007499025</c:v>
                </c:pt>
                <c:pt idx="186">
                  <c:v>741.31024130091828</c:v>
                </c:pt>
                <c:pt idx="187">
                  <c:v>758.57757502918378</c:v>
                </c:pt>
                <c:pt idx="188">
                  <c:v>776.24711662869231</c:v>
                </c:pt>
                <c:pt idx="189">
                  <c:v>794.32823472428208</c:v>
                </c:pt>
                <c:pt idx="190">
                  <c:v>812.83051616409978</c:v>
                </c:pt>
                <c:pt idx="191">
                  <c:v>831.7637711026714</c:v>
                </c:pt>
                <c:pt idx="192">
                  <c:v>851.13803820237763</c:v>
                </c:pt>
                <c:pt idx="193">
                  <c:v>870.96358995608091</c:v>
                </c:pt>
                <c:pt idx="194">
                  <c:v>891.25093813374656</c:v>
                </c:pt>
                <c:pt idx="195">
                  <c:v>912.01083935590987</c:v>
                </c:pt>
                <c:pt idx="196">
                  <c:v>933.25430079699106</c:v>
                </c:pt>
                <c:pt idx="197">
                  <c:v>954.99258602143675</c:v>
                </c:pt>
                <c:pt idx="198">
                  <c:v>977.23722095581138</c:v>
                </c:pt>
                <c:pt idx="199">
                  <c:v>1000</c:v>
                </c:pt>
                <c:pt idx="200">
                  <c:v>1023.2929922807547</c:v>
                </c:pt>
                <c:pt idx="201">
                  <c:v>1047.1285480509</c:v>
                </c:pt>
                <c:pt idx="202">
                  <c:v>1071.5193052376069</c:v>
                </c:pt>
                <c:pt idx="203">
                  <c:v>1096.4781961431863</c:v>
                </c:pt>
                <c:pt idx="204">
                  <c:v>1122.0184543019636</c:v>
                </c:pt>
                <c:pt idx="205">
                  <c:v>1148.1536214968839</c:v>
                </c:pt>
                <c:pt idx="206">
                  <c:v>1174.8975549395295</c:v>
                </c:pt>
                <c:pt idx="207">
                  <c:v>1202.2644346174138</c:v>
                </c:pt>
                <c:pt idx="208">
                  <c:v>1230.2687708123824</c:v>
                </c:pt>
                <c:pt idx="209">
                  <c:v>1258.925411794168</c:v>
                </c:pt>
                <c:pt idx="210">
                  <c:v>1288.2495516931347</c:v>
                </c:pt>
                <c:pt idx="211">
                  <c:v>1318.2567385564089</c:v>
                </c:pt>
                <c:pt idx="212">
                  <c:v>1348.9628825916541</c:v>
                </c:pt>
                <c:pt idx="213">
                  <c:v>1380.3842646028863</c:v>
                </c:pt>
                <c:pt idx="214">
                  <c:v>1412.5375446227545</c:v>
                </c:pt>
                <c:pt idx="215">
                  <c:v>1445.4397707459289</c:v>
                </c:pt>
                <c:pt idx="216">
                  <c:v>1479.1083881682086</c:v>
                </c:pt>
                <c:pt idx="217">
                  <c:v>1513.5612484362093</c:v>
                </c:pt>
                <c:pt idx="218">
                  <c:v>1548.8166189124822</c:v>
                </c:pt>
                <c:pt idx="219">
                  <c:v>1584.8931924611156</c:v>
                </c:pt>
                <c:pt idx="220">
                  <c:v>1621.8100973589308</c:v>
                </c:pt>
                <c:pt idx="221">
                  <c:v>1659.5869074375626</c:v>
                </c:pt>
                <c:pt idx="222">
                  <c:v>1698.2436524617447</c:v>
                </c:pt>
                <c:pt idx="223">
                  <c:v>1737.8008287493772</c:v>
                </c:pt>
                <c:pt idx="224">
                  <c:v>1778.2794100389244</c:v>
                </c:pt>
                <c:pt idx="225">
                  <c:v>1819.7008586099832</c:v>
                </c:pt>
                <c:pt idx="226">
                  <c:v>1862.0871366628687</c:v>
                </c:pt>
                <c:pt idx="227">
                  <c:v>1905.4607179632501</c:v>
                </c:pt>
                <c:pt idx="228">
                  <c:v>1949.8445997580463</c:v>
                </c:pt>
                <c:pt idx="229">
                  <c:v>1995.2623149688804</c:v>
                </c:pt>
                <c:pt idx="230">
                  <c:v>2041.7379446695318</c:v>
                </c:pt>
                <c:pt idx="231">
                  <c:v>2089.2961308540398</c:v>
                </c:pt>
                <c:pt idx="232">
                  <c:v>2137.9620895022344</c:v>
                </c:pt>
                <c:pt idx="233">
                  <c:v>2187.7616239495528</c:v>
                </c:pt>
                <c:pt idx="234">
                  <c:v>2238.7211385683418</c:v>
                </c:pt>
                <c:pt idx="235">
                  <c:v>2290.8676527677749</c:v>
                </c:pt>
                <c:pt idx="236">
                  <c:v>2344.2288153199238</c:v>
                </c:pt>
                <c:pt idx="237">
                  <c:v>2398.8329190194918</c:v>
                </c:pt>
                <c:pt idx="238">
                  <c:v>2454.7089156850338</c:v>
                </c:pt>
                <c:pt idx="239">
                  <c:v>2511.8864315095811</c:v>
                </c:pt>
                <c:pt idx="240">
                  <c:v>2570.3957827688669</c:v>
                </c:pt>
                <c:pt idx="241">
                  <c:v>2630.2679918953822</c:v>
                </c:pt>
                <c:pt idx="242">
                  <c:v>2691.5348039269184</c:v>
                </c:pt>
                <c:pt idx="243">
                  <c:v>2754.228703338169</c:v>
                </c:pt>
                <c:pt idx="244">
                  <c:v>2818.3829312644561</c:v>
                </c:pt>
                <c:pt idx="245">
                  <c:v>2884.0315031266077</c:v>
                </c:pt>
                <c:pt idx="246">
                  <c:v>2951.2092266663876</c:v>
                </c:pt>
                <c:pt idx="247">
                  <c:v>3019.9517204020176</c:v>
                </c:pt>
                <c:pt idx="248">
                  <c:v>3090.295432513592</c:v>
                </c:pt>
                <c:pt idx="249">
                  <c:v>3162.2776601683804</c:v>
                </c:pt>
                <c:pt idx="250">
                  <c:v>3235.9365692962833</c:v>
                </c:pt>
                <c:pt idx="251">
                  <c:v>3311.3112148259115</c:v>
                </c:pt>
                <c:pt idx="252">
                  <c:v>3388.4415613920314</c:v>
                </c:pt>
                <c:pt idx="253">
                  <c:v>3467.3685045253224</c:v>
                </c:pt>
                <c:pt idx="254">
                  <c:v>3548.1338923357539</c:v>
                </c:pt>
                <c:pt idx="255">
                  <c:v>3630.7805477010188</c:v>
                </c:pt>
                <c:pt idx="256">
                  <c:v>3715.352290971724</c:v>
                </c:pt>
                <c:pt idx="257">
                  <c:v>3801.8939632056172</c:v>
                </c:pt>
                <c:pt idx="258">
                  <c:v>3890.451449942811</c:v>
                </c:pt>
                <c:pt idx="259">
                  <c:v>3981.0717055349769</c:v>
                </c:pt>
                <c:pt idx="260">
                  <c:v>4073.8027780411317</c:v>
                </c:pt>
                <c:pt idx="261">
                  <c:v>4168.6938347033583</c:v>
                </c:pt>
                <c:pt idx="262">
                  <c:v>4265.7951880159299</c:v>
                </c:pt>
                <c:pt idx="263">
                  <c:v>4365.1583224016631</c:v>
                </c:pt>
                <c:pt idx="264">
                  <c:v>4466.8359215096343</c:v>
                </c:pt>
                <c:pt idx="265">
                  <c:v>4570.8818961487532</c:v>
                </c:pt>
                <c:pt idx="266">
                  <c:v>4677.3514128719844</c:v>
                </c:pt>
                <c:pt idx="267">
                  <c:v>4786.3009232263848</c:v>
                </c:pt>
                <c:pt idx="268">
                  <c:v>4897.7881936844633</c:v>
                </c:pt>
                <c:pt idx="269">
                  <c:v>5011.8723362727324</c:v>
                </c:pt>
                <c:pt idx="270">
                  <c:v>5128.6138399136489</c:v>
                </c:pt>
                <c:pt idx="271">
                  <c:v>5248.0746024977261</c:v>
                </c:pt>
                <c:pt idx="272">
                  <c:v>5370.3179637025269</c:v>
                </c:pt>
                <c:pt idx="273">
                  <c:v>5495.4087385762541</c:v>
                </c:pt>
                <c:pt idx="274">
                  <c:v>5623.4132519034993</c:v>
                </c:pt>
                <c:pt idx="275">
                  <c:v>5754.399373371567</c:v>
                </c:pt>
                <c:pt idx="276">
                  <c:v>5888.4365535558973</c:v>
                </c:pt>
                <c:pt idx="277">
                  <c:v>6025.595860743585</c:v>
                </c:pt>
                <c:pt idx="278">
                  <c:v>6165.9500186148289</c:v>
                </c:pt>
                <c:pt idx="279">
                  <c:v>6309.5734448019384</c:v>
                </c:pt>
                <c:pt idx="280">
                  <c:v>6456.5422903465615</c:v>
                </c:pt>
                <c:pt idx="281">
                  <c:v>6606.9344800759654</c:v>
                </c:pt>
                <c:pt idx="282">
                  <c:v>6760.8297539198229</c:v>
                </c:pt>
                <c:pt idx="283">
                  <c:v>6918.3097091893687</c:v>
                </c:pt>
                <c:pt idx="284">
                  <c:v>7079.4578438413828</c:v>
                </c:pt>
                <c:pt idx="285">
                  <c:v>7244.3596007499036</c:v>
                </c:pt>
                <c:pt idx="286">
                  <c:v>7413.1024130091773</c:v>
                </c:pt>
                <c:pt idx="287">
                  <c:v>7585.7757502918394</c:v>
                </c:pt>
                <c:pt idx="288">
                  <c:v>7762.4711662869322</c:v>
                </c:pt>
                <c:pt idx="289">
                  <c:v>7943.2823472428154</c:v>
                </c:pt>
                <c:pt idx="290">
                  <c:v>8128.3051616410066</c:v>
                </c:pt>
                <c:pt idx="291">
                  <c:v>8317.6377110267094</c:v>
                </c:pt>
                <c:pt idx="292">
                  <c:v>8511.3803820237772</c:v>
                </c:pt>
                <c:pt idx="293">
                  <c:v>8709.6358995608189</c:v>
                </c:pt>
                <c:pt idx="294">
                  <c:v>8912.5093813374679</c:v>
                </c:pt>
                <c:pt idx="295">
                  <c:v>9120.1083935591087</c:v>
                </c:pt>
                <c:pt idx="296">
                  <c:v>9332.5430079699217</c:v>
                </c:pt>
                <c:pt idx="297">
                  <c:v>9549.9258602143691</c:v>
                </c:pt>
                <c:pt idx="298">
                  <c:v>9772.3722095581161</c:v>
                </c:pt>
                <c:pt idx="299">
                  <c:v>10000</c:v>
                </c:pt>
                <c:pt idx="300">
                  <c:v>10232.929922807549</c:v>
                </c:pt>
                <c:pt idx="301">
                  <c:v>10471.285480509003</c:v>
                </c:pt>
                <c:pt idx="302">
                  <c:v>10715.193052376071</c:v>
                </c:pt>
                <c:pt idx="303">
                  <c:v>10964.781961431856</c:v>
                </c:pt>
                <c:pt idx="304">
                  <c:v>11220.184543019639</c:v>
                </c:pt>
                <c:pt idx="305">
                  <c:v>11481.536214968832</c:v>
                </c:pt>
                <c:pt idx="306">
                  <c:v>11748.975549395318</c:v>
                </c:pt>
                <c:pt idx="307">
                  <c:v>12022.644346174151</c:v>
                </c:pt>
                <c:pt idx="308">
                  <c:v>12302.687708123816</c:v>
                </c:pt>
                <c:pt idx="309">
                  <c:v>12589.254117941671</c:v>
                </c:pt>
                <c:pt idx="310">
                  <c:v>12882.49551693136</c:v>
                </c:pt>
                <c:pt idx="311">
                  <c:v>13182.567385564091</c:v>
                </c:pt>
                <c:pt idx="312">
                  <c:v>13489.628825916556</c:v>
                </c:pt>
                <c:pt idx="313">
                  <c:v>13803.842646028841</c:v>
                </c:pt>
                <c:pt idx="314">
                  <c:v>14125.375446227561</c:v>
                </c:pt>
                <c:pt idx="315">
                  <c:v>14454.397707459291</c:v>
                </c:pt>
                <c:pt idx="316">
                  <c:v>14791.083881682089</c:v>
                </c:pt>
                <c:pt idx="317">
                  <c:v>15135.612484362096</c:v>
                </c:pt>
                <c:pt idx="318">
                  <c:v>15488.166189124853</c:v>
                </c:pt>
                <c:pt idx="319">
                  <c:v>15848.931924611146</c:v>
                </c:pt>
                <c:pt idx="320">
                  <c:v>16218.100973589309</c:v>
                </c:pt>
                <c:pt idx="321">
                  <c:v>16595.869074375616</c:v>
                </c:pt>
                <c:pt idx="322">
                  <c:v>16982.436524617482</c:v>
                </c:pt>
                <c:pt idx="323">
                  <c:v>17378.008287493791</c:v>
                </c:pt>
                <c:pt idx="324">
                  <c:v>17782.794100389234</c:v>
                </c:pt>
                <c:pt idx="325">
                  <c:v>18197.008586099837</c:v>
                </c:pt>
                <c:pt idx="326">
                  <c:v>18620.871366628675</c:v>
                </c:pt>
                <c:pt idx="327">
                  <c:v>19054.607179632505</c:v>
                </c:pt>
                <c:pt idx="328">
                  <c:v>19498.445997580486</c:v>
                </c:pt>
                <c:pt idx="329">
                  <c:v>19952.623149688792</c:v>
                </c:pt>
                <c:pt idx="330">
                  <c:v>20417.379446695286</c:v>
                </c:pt>
                <c:pt idx="331">
                  <c:v>20892.961308540423</c:v>
                </c:pt>
                <c:pt idx="332">
                  <c:v>21379.620895022348</c:v>
                </c:pt>
                <c:pt idx="333">
                  <c:v>21877.61623949555</c:v>
                </c:pt>
                <c:pt idx="334">
                  <c:v>22387.211385683382</c:v>
                </c:pt>
                <c:pt idx="335">
                  <c:v>22908.676527677751</c:v>
                </c:pt>
                <c:pt idx="336">
                  <c:v>23442.288153199243</c:v>
                </c:pt>
                <c:pt idx="337">
                  <c:v>23988.329190194923</c:v>
                </c:pt>
                <c:pt idx="338">
                  <c:v>24547.089156850321</c:v>
                </c:pt>
                <c:pt idx="339">
                  <c:v>25118.86431509586</c:v>
                </c:pt>
                <c:pt idx="340">
                  <c:v>25703.95782768865</c:v>
                </c:pt>
                <c:pt idx="341">
                  <c:v>26302.679918953829</c:v>
                </c:pt>
                <c:pt idx="342">
                  <c:v>26915.348039269167</c:v>
                </c:pt>
                <c:pt idx="343">
                  <c:v>27542.287033381719</c:v>
                </c:pt>
                <c:pt idx="344">
                  <c:v>28183.829312644593</c:v>
                </c:pt>
                <c:pt idx="345">
                  <c:v>28840.315031266062</c:v>
                </c:pt>
                <c:pt idx="346">
                  <c:v>29512.092266663854</c:v>
                </c:pt>
                <c:pt idx="347">
                  <c:v>30199.517204020212</c:v>
                </c:pt>
                <c:pt idx="348">
                  <c:v>30902.954325135954</c:v>
                </c:pt>
                <c:pt idx="349">
                  <c:v>31622.77660168384</c:v>
                </c:pt>
                <c:pt idx="350">
                  <c:v>32359.365692962871</c:v>
                </c:pt>
                <c:pt idx="351">
                  <c:v>33113.11214825909</c:v>
                </c:pt>
                <c:pt idx="352">
                  <c:v>33884.41561392029</c:v>
                </c:pt>
                <c:pt idx="353">
                  <c:v>34673.685045253202</c:v>
                </c:pt>
                <c:pt idx="354">
                  <c:v>35481.33892335758</c:v>
                </c:pt>
                <c:pt idx="355">
                  <c:v>36307.805477010232</c:v>
                </c:pt>
                <c:pt idx="356">
                  <c:v>37153.522909717351</c:v>
                </c:pt>
                <c:pt idx="357">
                  <c:v>38018.939632056143</c:v>
                </c:pt>
                <c:pt idx="358">
                  <c:v>38904.514499428085</c:v>
                </c:pt>
                <c:pt idx="359">
                  <c:v>39810.717055349742</c:v>
                </c:pt>
                <c:pt idx="360">
                  <c:v>40738.027780411358</c:v>
                </c:pt>
                <c:pt idx="361">
                  <c:v>41686.938347033625</c:v>
                </c:pt>
                <c:pt idx="362">
                  <c:v>42657.951880159271</c:v>
                </c:pt>
                <c:pt idx="363">
                  <c:v>43651.583224016598</c:v>
                </c:pt>
                <c:pt idx="364">
                  <c:v>44668.359215096389</c:v>
                </c:pt>
                <c:pt idx="365">
                  <c:v>45708.818961487581</c:v>
                </c:pt>
                <c:pt idx="366">
                  <c:v>46773.514128719893</c:v>
                </c:pt>
                <c:pt idx="367">
                  <c:v>47863.009232263823</c:v>
                </c:pt>
                <c:pt idx="368">
                  <c:v>48977.881936844598</c:v>
                </c:pt>
                <c:pt idx="369">
                  <c:v>50118.723362727294</c:v>
                </c:pt>
                <c:pt idx="370">
                  <c:v>51286.138399136544</c:v>
                </c:pt>
                <c:pt idx="371">
                  <c:v>52480.746024977314</c:v>
                </c:pt>
                <c:pt idx="372">
                  <c:v>53703.179637025423</c:v>
                </c:pt>
                <c:pt idx="373">
                  <c:v>54954.087385762505</c:v>
                </c:pt>
                <c:pt idx="374">
                  <c:v>56234.132519034953</c:v>
                </c:pt>
                <c:pt idx="375">
                  <c:v>57543.993733715732</c:v>
                </c:pt>
                <c:pt idx="376">
                  <c:v>58884.365535558936</c:v>
                </c:pt>
                <c:pt idx="377">
                  <c:v>60255.95860743591</c:v>
                </c:pt>
                <c:pt idx="378">
                  <c:v>61659.500186148245</c:v>
                </c:pt>
                <c:pt idx="379">
                  <c:v>63095.734448019342</c:v>
                </c:pt>
                <c:pt idx="380">
                  <c:v>64565.422903465682</c:v>
                </c:pt>
                <c:pt idx="381">
                  <c:v>66069.344800759733</c:v>
                </c:pt>
                <c:pt idx="382">
                  <c:v>67608.297539198305</c:v>
                </c:pt>
                <c:pt idx="383">
                  <c:v>69183.097091893651</c:v>
                </c:pt>
                <c:pt idx="384">
                  <c:v>70794.578438413781</c:v>
                </c:pt>
                <c:pt idx="385">
                  <c:v>72443.596007499116</c:v>
                </c:pt>
                <c:pt idx="386">
                  <c:v>74131.024130091857</c:v>
                </c:pt>
                <c:pt idx="387">
                  <c:v>75857.757502918481</c:v>
                </c:pt>
                <c:pt idx="388">
                  <c:v>77624.711662869129</c:v>
                </c:pt>
                <c:pt idx="389">
                  <c:v>79432.823472428237</c:v>
                </c:pt>
                <c:pt idx="390">
                  <c:v>81283.051616410012</c:v>
                </c:pt>
                <c:pt idx="391">
                  <c:v>83176.377110267174</c:v>
                </c:pt>
                <c:pt idx="392">
                  <c:v>85113.803820237721</c:v>
                </c:pt>
                <c:pt idx="393">
                  <c:v>87096.358995608127</c:v>
                </c:pt>
                <c:pt idx="394">
                  <c:v>89125.093813374609</c:v>
                </c:pt>
                <c:pt idx="395">
                  <c:v>91201.083935591028</c:v>
                </c:pt>
                <c:pt idx="396">
                  <c:v>93325.430079699145</c:v>
                </c:pt>
                <c:pt idx="397">
                  <c:v>95499.258602143804</c:v>
                </c:pt>
                <c:pt idx="398">
                  <c:v>97723.722095581266</c:v>
                </c:pt>
                <c:pt idx="399">
                  <c:v>100000</c:v>
                </c:pt>
                <c:pt idx="400">
                  <c:v>102329.29922807543</c:v>
                </c:pt>
                <c:pt idx="401">
                  <c:v>104712.85480508996</c:v>
                </c:pt>
                <c:pt idx="402">
                  <c:v>107151.93052376082</c:v>
                </c:pt>
                <c:pt idx="403">
                  <c:v>109647.81961431868</c:v>
                </c:pt>
                <c:pt idx="404">
                  <c:v>112201.84543019651</c:v>
                </c:pt>
                <c:pt idx="405">
                  <c:v>114815.36214968823</c:v>
                </c:pt>
                <c:pt idx="406">
                  <c:v>117489.75549395311</c:v>
                </c:pt>
                <c:pt idx="407">
                  <c:v>120226.44346174144</c:v>
                </c:pt>
                <c:pt idx="408">
                  <c:v>123026.87708123829</c:v>
                </c:pt>
                <c:pt idx="409">
                  <c:v>125892.54117941685</c:v>
                </c:pt>
                <c:pt idx="410">
                  <c:v>128824.95516931375</c:v>
                </c:pt>
                <c:pt idx="411">
                  <c:v>131825.67385564081</c:v>
                </c:pt>
                <c:pt idx="412">
                  <c:v>134896.28825916545</c:v>
                </c:pt>
                <c:pt idx="413">
                  <c:v>138038.42646028858</c:v>
                </c:pt>
                <c:pt idx="414">
                  <c:v>141253.75446227577</c:v>
                </c:pt>
                <c:pt idx="415">
                  <c:v>144543.97707459307</c:v>
                </c:pt>
                <c:pt idx="416">
                  <c:v>147910.83881682079</c:v>
                </c:pt>
                <c:pt idx="417">
                  <c:v>151356.12484362084</c:v>
                </c:pt>
                <c:pt idx="418">
                  <c:v>154881.66189124843</c:v>
                </c:pt>
                <c:pt idx="419">
                  <c:v>158489.31924611164</c:v>
                </c:pt>
                <c:pt idx="420">
                  <c:v>162181.00973589328</c:v>
                </c:pt>
                <c:pt idx="421">
                  <c:v>165958.69074375604</c:v>
                </c:pt>
                <c:pt idx="422">
                  <c:v>169824.36524617471</c:v>
                </c:pt>
                <c:pt idx="423">
                  <c:v>173780.0828749378</c:v>
                </c:pt>
                <c:pt idx="424">
                  <c:v>177827.94100389251</c:v>
                </c:pt>
                <c:pt idx="425">
                  <c:v>181970.08586099857</c:v>
                </c:pt>
                <c:pt idx="426">
                  <c:v>186208.71366628664</c:v>
                </c:pt>
                <c:pt idx="427">
                  <c:v>190546.07179632492</c:v>
                </c:pt>
                <c:pt idx="428">
                  <c:v>194984.45997580473</c:v>
                </c:pt>
                <c:pt idx="429">
                  <c:v>199526.23149688813</c:v>
                </c:pt>
                <c:pt idx="430">
                  <c:v>204173.79446695308</c:v>
                </c:pt>
                <c:pt idx="431">
                  <c:v>208929.61308540447</c:v>
                </c:pt>
                <c:pt idx="432">
                  <c:v>213796.20895022334</c:v>
                </c:pt>
                <c:pt idx="433">
                  <c:v>218776.16239495538</c:v>
                </c:pt>
                <c:pt idx="434">
                  <c:v>223872.11385683404</c:v>
                </c:pt>
                <c:pt idx="435">
                  <c:v>229086.76527677779</c:v>
                </c:pt>
                <c:pt idx="436">
                  <c:v>234422.88153199267</c:v>
                </c:pt>
                <c:pt idx="437">
                  <c:v>239883.29190194907</c:v>
                </c:pt>
                <c:pt idx="438">
                  <c:v>245470.89156850305</c:v>
                </c:pt>
                <c:pt idx="439">
                  <c:v>251188.64315095844</c:v>
                </c:pt>
                <c:pt idx="440">
                  <c:v>257039.57827688678</c:v>
                </c:pt>
                <c:pt idx="441">
                  <c:v>263026.79918953858</c:v>
                </c:pt>
                <c:pt idx="442">
                  <c:v>269153.48039269145</c:v>
                </c:pt>
                <c:pt idx="443">
                  <c:v>275422.87033381703</c:v>
                </c:pt>
                <c:pt idx="444">
                  <c:v>281838.29312644573</c:v>
                </c:pt>
                <c:pt idx="445">
                  <c:v>288403.1503126609</c:v>
                </c:pt>
                <c:pt idx="446">
                  <c:v>295120.92266663886</c:v>
                </c:pt>
                <c:pt idx="447">
                  <c:v>301995.17204020242</c:v>
                </c:pt>
                <c:pt idx="448">
                  <c:v>309029.54325135931</c:v>
                </c:pt>
                <c:pt idx="449">
                  <c:v>316227.7660168382</c:v>
                </c:pt>
                <c:pt idx="450">
                  <c:v>323593.65692962846</c:v>
                </c:pt>
                <c:pt idx="451">
                  <c:v>331131.12148259126</c:v>
                </c:pt>
                <c:pt idx="452">
                  <c:v>338844.15613920329</c:v>
                </c:pt>
                <c:pt idx="453">
                  <c:v>346736.85045253241</c:v>
                </c:pt>
                <c:pt idx="454">
                  <c:v>354813.38923357555</c:v>
                </c:pt>
                <c:pt idx="455">
                  <c:v>363078.05477010203</c:v>
                </c:pt>
                <c:pt idx="456">
                  <c:v>371535.2290971732</c:v>
                </c:pt>
                <c:pt idx="457">
                  <c:v>380189.39632056188</c:v>
                </c:pt>
                <c:pt idx="458">
                  <c:v>389045.14499428123</c:v>
                </c:pt>
                <c:pt idx="459">
                  <c:v>398107.17055349716</c:v>
                </c:pt>
                <c:pt idx="460">
                  <c:v>407380.27780411334</c:v>
                </c:pt>
                <c:pt idx="461">
                  <c:v>416869.38347033598</c:v>
                </c:pt>
                <c:pt idx="462">
                  <c:v>426579.51880159322</c:v>
                </c:pt>
                <c:pt idx="463">
                  <c:v>436515.83224016649</c:v>
                </c:pt>
                <c:pt idx="464">
                  <c:v>446683.59215096442</c:v>
                </c:pt>
                <c:pt idx="465">
                  <c:v>457088.18961487547</c:v>
                </c:pt>
                <c:pt idx="466">
                  <c:v>467735.14128719864</c:v>
                </c:pt>
                <c:pt idx="467">
                  <c:v>478630.09232263872</c:v>
                </c:pt>
                <c:pt idx="468">
                  <c:v>489778.81936844654</c:v>
                </c:pt>
                <c:pt idx="469">
                  <c:v>501187.23362727347</c:v>
                </c:pt>
                <c:pt idx="470">
                  <c:v>512861.38399136515</c:v>
                </c:pt>
                <c:pt idx="471">
                  <c:v>524807.46024977288</c:v>
                </c:pt>
                <c:pt idx="472">
                  <c:v>537031.7963702539</c:v>
                </c:pt>
                <c:pt idx="473">
                  <c:v>549540.87385762564</c:v>
                </c:pt>
                <c:pt idx="474">
                  <c:v>562341.32519035018</c:v>
                </c:pt>
                <c:pt idx="475">
                  <c:v>575439.93733715697</c:v>
                </c:pt>
                <c:pt idx="476">
                  <c:v>588843.65535558888</c:v>
                </c:pt>
                <c:pt idx="477">
                  <c:v>602559.58607435878</c:v>
                </c:pt>
                <c:pt idx="478">
                  <c:v>616595.00186148309</c:v>
                </c:pt>
                <c:pt idx="479">
                  <c:v>630957.34448019415</c:v>
                </c:pt>
                <c:pt idx="480">
                  <c:v>645654.22903465747</c:v>
                </c:pt>
                <c:pt idx="481">
                  <c:v>660693.44800759677</c:v>
                </c:pt>
                <c:pt idx="482">
                  <c:v>676082.97539198259</c:v>
                </c:pt>
                <c:pt idx="483">
                  <c:v>691830.97091893724</c:v>
                </c:pt>
                <c:pt idx="484">
                  <c:v>707945.78438413853</c:v>
                </c:pt>
                <c:pt idx="485">
                  <c:v>724435.96007499192</c:v>
                </c:pt>
                <c:pt idx="486">
                  <c:v>741310.24130091805</c:v>
                </c:pt>
                <c:pt idx="487">
                  <c:v>758577.57502918423</c:v>
                </c:pt>
                <c:pt idx="488">
                  <c:v>776247.11662869214</c:v>
                </c:pt>
                <c:pt idx="489">
                  <c:v>794328.23472428333</c:v>
                </c:pt>
                <c:pt idx="490">
                  <c:v>812830.51616410096</c:v>
                </c:pt>
                <c:pt idx="491">
                  <c:v>831763.77110267128</c:v>
                </c:pt>
                <c:pt idx="492">
                  <c:v>851138.03820237669</c:v>
                </c:pt>
                <c:pt idx="493">
                  <c:v>870963.58995608077</c:v>
                </c:pt>
                <c:pt idx="494">
                  <c:v>891250.93813374708</c:v>
                </c:pt>
                <c:pt idx="495">
                  <c:v>912010.83935591124</c:v>
                </c:pt>
                <c:pt idx="496">
                  <c:v>933254.30079699249</c:v>
                </c:pt>
                <c:pt idx="497">
                  <c:v>954992.58602143743</c:v>
                </c:pt>
                <c:pt idx="498">
                  <c:v>977237.22095581202</c:v>
                </c:pt>
                <c:pt idx="499">
                  <c:v>1000000</c:v>
                </c:pt>
                <c:pt idx="500">
                  <c:v>1023292.9922807553</c:v>
                </c:pt>
                <c:pt idx="501">
                  <c:v>1047128.5480509007</c:v>
                </c:pt>
                <c:pt idx="502">
                  <c:v>1071519.3052376076</c:v>
                </c:pt>
                <c:pt idx="503">
                  <c:v>1096478.196143186</c:v>
                </c:pt>
                <c:pt idx="504">
                  <c:v>1122018.4543019643</c:v>
                </c:pt>
                <c:pt idx="505">
                  <c:v>1148153.6214968837</c:v>
                </c:pt>
                <c:pt idx="506">
                  <c:v>1174897.5549395324</c:v>
                </c:pt>
                <c:pt idx="507">
                  <c:v>1202264.4346174158</c:v>
                </c:pt>
                <c:pt idx="508">
                  <c:v>1230268.770812382</c:v>
                </c:pt>
                <c:pt idx="509">
                  <c:v>1258925.4117941677</c:v>
                </c:pt>
                <c:pt idx="510">
                  <c:v>1288249.5516931366</c:v>
                </c:pt>
                <c:pt idx="511">
                  <c:v>1318256.7385564097</c:v>
                </c:pt>
                <c:pt idx="512">
                  <c:v>1348962.8825916562</c:v>
                </c:pt>
                <c:pt idx="513">
                  <c:v>1380384.2646028849</c:v>
                </c:pt>
                <c:pt idx="514">
                  <c:v>1412537.5446227565</c:v>
                </c:pt>
                <c:pt idx="515">
                  <c:v>1445439.7707459298</c:v>
                </c:pt>
                <c:pt idx="516">
                  <c:v>1479108.3881682095</c:v>
                </c:pt>
                <c:pt idx="517">
                  <c:v>1513561.2484362102</c:v>
                </c:pt>
                <c:pt idx="518">
                  <c:v>1548816.6189124861</c:v>
                </c:pt>
                <c:pt idx="519">
                  <c:v>1584893.1924611153</c:v>
                </c:pt>
                <c:pt idx="520">
                  <c:v>1621810.0973589318</c:v>
                </c:pt>
                <c:pt idx="521">
                  <c:v>1659586.9074375622</c:v>
                </c:pt>
                <c:pt idx="522">
                  <c:v>1698243.6524617488</c:v>
                </c:pt>
                <c:pt idx="523">
                  <c:v>1737800.8287493798</c:v>
                </c:pt>
                <c:pt idx="524">
                  <c:v>1778279.4100389241</c:v>
                </c:pt>
                <c:pt idx="525">
                  <c:v>1819700.8586099846</c:v>
                </c:pt>
                <c:pt idx="526">
                  <c:v>1862087.1366628683</c:v>
                </c:pt>
                <c:pt idx="527">
                  <c:v>1905460.7179632513</c:v>
                </c:pt>
                <c:pt idx="528">
                  <c:v>1949844.5997580495</c:v>
                </c:pt>
                <c:pt idx="529">
                  <c:v>1995262.31496888</c:v>
                </c:pt>
                <c:pt idx="530">
                  <c:v>2041737.9446695296</c:v>
                </c:pt>
                <c:pt idx="531">
                  <c:v>2089296.1308540432</c:v>
                </c:pt>
                <c:pt idx="532">
                  <c:v>2137962.0895022359</c:v>
                </c:pt>
                <c:pt idx="533">
                  <c:v>2187761.6239495561</c:v>
                </c:pt>
                <c:pt idx="534">
                  <c:v>2238721.1385683389</c:v>
                </c:pt>
                <c:pt idx="535">
                  <c:v>2290867.6527677765</c:v>
                </c:pt>
                <c:pt idx="536">
                  <c:v>2344228.8153199251</c:v>
                </c:pt>
                <c:pt idx="537">
                  <c:v>2398832.9190194933</c:v>
                </c:pt>
                <c:pt idx="538">
                  <c:v>2454708.915685033</c:v>
                </c:pt>
                <c:pt idx="539">
                  <c:v>2511886.431509587</c:v>
                </c:pt>
                <c:pt idx="540">
                  <c:v>2570395.782768866</c:v>
                </c:pt>
                <c:pt idx="541">
                  <c:v>2630267.9918953842</c:v>
                </c:pt>
              </c:numCache>
            </c:numRef>
          </c:xVal>
          <c:yVal>
            <c:numRef>
              <c:f>CCM_Loop_Modeling_Isolated!$AU$19:$AU$560</c:f>
              <c:numCache>
                <c:formatCode>General</c:formatCode>
                <c:ptCount val="542"/>
                <c:pt idx="0">
                  <c:v>178.43762768595479</c:v>
                </c:pt>
                <c:pt idx="1">
                  <c:v>178.44282413255104</c:v>
                </c:pt>
                <c:pt idx="2">
                  <c:v>178.44721279873792</c:v>
                </c:pt>
                <c:pt idx="3">
                  <c:v>178.45079723016406</c:v>
                </c:pt>
                <c:pt idx="4">
                  <c:v>178.45358063376531</c:v>
                </c:pt>
                <c:pt idx="5">
                  <c:v>178.45556588529954</c:v>
                </c:pt>
                <c:pt idx="6">
                  <c:v>178.45675553710456</c:v>
                </c:pt>
                <c:pt idx="7">
                  <c:v>178.45715182610681</c:v>
                </c:pt>
                <c:pt idx="8">
                  <c:v>178.45675668211135</c:v>
                </c:pt>
                <c:pt idx="9">
                  <c:v>178.45557173640356</c:v>
                </c:pt>
                <c:pt idx="10">
                  <c:v>178.45359833069574</c:v>
                </c:pt>
                <c:pt idx="11">
                  <c:v>178.4508375264538</c:v>
                </c:pt>
                <c:pt idx="12">
                  <c:v>178.44729011463858</c:v>
                </c:pt>
                <c:pt idx="13">
                  <c:v>178.4429566259021</c:v>
                </c:pt>
                <c:pt idx="14">
                  <c:v>178.43783734127649</c:v>
                </c:pt>
                <c:pt idx="15">
                  <c:v>178.43193230339924</c:v>
                </c:pt>
                <c:pt idx="16">
                  <c:v>178.42524132831687</c:v>
                </c:pt>
                <c:pt idx="17">
                  <c:v>178.41776401791367</c:v>
                </c:pt>
                <c:pt idx="18">
                  <c:v>178.40949977301298</c:v>
                </c:pt>
                <c:pt idx="19">
                  <c:v>178.40044780720032</c:v>
                </c:pt>
                <c:pt idx="20">
                  <c:v>178.39060716142041</c:v>
                </c:pt>
                <c:pt idx="21">
                  <c:v>178.37997671940101</c:v>
                </c:pt>
                <c:pt idx="22">
                  <c:v>178.3685552239603</c:v>
                </c:pt>
                <c:pt idx="23">
                  <c:v>178.35634129425404</c:v>
                </c:pt>
                <c:pt idx="24">
                  <c:v>178.34333344402219</c:v>
                </c:pt>
                <c:pt idx="25">
                  <c:v>178.32953010089741</c:v>
                </c:pt>
                <c:pt idx="26">
                  <c:v>178.31492962683453</c:v>
                </c:pt>
                <c:pt idx="27">
                  <c:v>178.29953033973024</c:v>
                </c:pt>
                <c:pt idx="28">
                  <c:v>178.2833305362924</c:v>
                </c:pt>
                <c:pt idx="29">
                  <c:v>178.26632851623131</c:v>
                </c:pt>
                <c:pt idx="30">
                  <c:v>178.24852260783513</c:v>
                </c:pt>
                <c:pt idx="31">
                  <c:v>178.22991119500051</c:v>
                </c:pt>
                <c:pt idx="32">
                  <c:v>178.2104927457828</c:v>
                </c:pt>
                <c:pt idx="33">
                  <c:v>178.19026584253706</c:v>
                </c:pt>
                <c:pt idx="34">
                  <c:v>178.16922921371145</c:v>
                </c:pt>
                <c:pt idx="35">
                  <c:v>178.14738176736196</c:v>
                </c:pt>
                <c:pt idx="36">
                  <c:v>178.12472262644874</c:v>
                </c:pt>
                <c:pt idx="37">
                  <c:v>178.10125116597391</c:v>
                </c:pt>
                <c:pt idx="38">
                  <c:v>178.07696705201786</c:v>
                </c:pt>
                <c:pt idx="39">
                  <c:v>178.05187028272508</c:v>
                </c:pt>
                <c:pt idx="40">
                  <c:v>178.02596123128433</c:v>
                </c:pt>
                <c:pt idx="41">
                  <c:v>177.99924069094359</c:v>
                </c:pt>
                <c:pt idx="42">
                  <c:v>177.97170992208967</c:v>
                </c:pt>
                <c:pt idx="43">
                  <c:v>177.94337070141452</c:v>
                </c:pt>
                <c:pt idx="44">
                  <c:v>177.91422537317777</c:v>
                </c:pt>
                <c:pt idx="45">
                  <c:v>177.88427690256597</c:v>
                </c:pt>
                <c:pt idx="46">
                  <c:v>177.85352893113003</c:v>
                </c:pt>
                <c:pt idx="47">
                  <c:v>177.8219858342689</c:v>
                </c:pt>
                <c:pt idx="48">
                  <c:v>177.78965278071234</c:v>
                </c:pt>
                <c:pt idx="49">
                  <c:v>177.75653579392835</c:v>
                </c:pt>
                <c:pt idx="50">
                  <c:v>177.72264181536494</c:v>
                </c:pt>
                <c:pt idx="51">
                  <c:v>177.68797876940886</c:v>
                </c:pt>
                <c:pt idx="52">
                  <c:v>177.65255562991749</c:v>
                </c:pt>
                <c:pt idx="53">
                  <c:v>177.61638248814825</c:v>
                </c:pt>
                <c:pt idx="54">
                  <c:v>177.57947062188248</c:v>
                </c:pt>
                <c:pt idx="55">
                  <c:v>177.54183256550257</c:v>
                </c:pt>
                <c:pt idx="56">
                  <c:v>177.50348218074575</c:v>
                </c:pt>
                <c:pt idx="57">
                  <c:v>177.46443472781834</c:v>
                </c:pt>
                <c:pt idx="58">
                  <c:v>177.42470693651433</c:v>
                </c:pt>
                <c:pt idx="59">
                  <c:v>177.38431707693411</c:v>
                </c:pt>
                <c:pt idx="60">
                  <c:v>177.34328502936086</c:v>
                </c:pt>
                <c:pt idx="61">
                  <c:v>177.30163235279593</c:v>
                </c:pt>
                <c:pt idx="62">
                  <c:v>177.25938235161487</c:v>
                </c:pt>
                <c:pt idx="63">
                  <c:v>177.21656013975056</c:v>
                </c:pt>
                <c:pt idx="64">
                  <c:v>177.17319270176242</c:v>
                </c:pt>
                <c:pt idx="65">
                  <c:v>177.12930895010294</c:v>
                </c:pt>
                <c:pt idx="66">
                  <c:v>177.08493977784161</c:v>
                </c:pt>
                <c:pt idx="67">
                  <c:v>177.04011810606383</c:v>
                </c:pt>
                <c:pt idx="68">
                  <c:v>176.99487892511735</c:v>
                </c:pt>
                <c:pt idx="69">
                  <c:v>176.94925932883746</c:v>
                </c:pt>
                <c:pt idx="70">
                  <c:v>176.90329854085334</c:v>
                </c:pt>
                <c:pt idx="71">
                  <c:v>176.85703793204294</c:v>
                </c:pt>
                <c:pt idx="72">
                  <c:v>176.81052102818941</c:v>
                </c:pt>
                <c:pt idx="73">
                  <c:v>176.76379350687492</c:v>
                </c:pt>
                <c:pt idx="74">
                  <c:v>176.71690318264891</c:v>
                </c:pt>
                <c:pt idx="75">
                  <c:v>176.66989997951887</c:v>
                </c:pt>
                <c:pt idx="76">
                  <c:v>176.62283588982882</c:v>
                </c:pt>
                <c:pt idx="77">
                  <c:v>176.57576491863608</c:v>
                </c:pt>
                <c:pt idx="78">
                  <c:v>176.52874301274076</c:v>
                </c:pt>
                <c:pt idx="79">
                  <c:v>176.48182797359814</c:v>
                </c:pt>
                <c:pt idx="80">
                  <c:v>176.43507935342905</c:v>
                </c:pt>
                <c:pt idx="81">
                  <c:v>176.38855833394564</c:v>
                </c:pt>
                <c:pt idx="82">
                  <c:v>176.34232758723846</c:v>
                </c:pt>
                <c:pt idx="83">
                  <c:v>176.29645111851002</c:v>
                </c:pt>
                <c:pt idx="84">
                  <c:v>176.25099409050443</c:v>
                </c:pt>
                <c:pt idx="85">
                  <c:v>176.20602262965724</c:v>
                </c:pt>
                <c:pt idx="86">
                  <c:v>176.16160361419352</c:v>
                </c:pt>
                <c:pt idx="87">
                  <c:v>176.11780444460575</c:v>
                </c:pt>
                <c:pt idx="88">
                  <c:v>176.07469279717481</c:v>
                </c:pt>
                <c:pt idx="89">
                  <c:v>176.03233636142704</c:v>
                </c:pt>
                <c:pt idx="90">
                  <c:v>175.99080256266762</c:v>
                </c:pt>
                <c:pt idx="91">
                  <c:v>175.95015827097481</c:v>
                </c:pt>
                <c:pt idx="92">
                  <c:v>175.91046949828498</c:v>
                </c:pt>
                <c:pt idx="93">
                  <c:v>175.87180108544288</c:v>
                </c:pt>
                <c:pt idx="94">
                  <c:v>175.83421638132074</c:v>
                </c:pt>
                <c:pt idx="95">
                  <c:v>175.79777691632697</c:v>
                </c:pt>
                <c:pt idx="96">
                  <c:v>175.7625420728269</c:v>
                </c:pt>
                <c:pt idx="97">
                  <c:v>175.72856875516459</c:v>
                </c:pt>
                <c:pt idx="98">
                  <c:v>175.69591106212323</c:v>
                </c:pt>
                <c:pt idx="99">
                  <c:v>175.6646199647686</c:v>
                </c:pt>
                <c:pt idx="100">
                  <c:v>175.63474299268981</c:v>
                </c:pt>
                <c:pt idx="101">
                  <c:v>175.60632393168214</c:v>
                </c:pt>
                <c:pt idx="102">
                  <c:v>175.5794025358984</c:v>
                </c:pt>
                <c:pt idx="103">
                  <c:v>175.5540142574352</c:v>
                </c:pt>
                <c:pt idx="104">
                  <c:v>175.53018999620758</c:v>
                </c:pt>
                <c:pt idx="105">
                  <c:v>175.50795587281107</c:v>
                </c:pt>
                <c:pt idx="106">
                  <c:v>175.48733302686301</c:v>
                </c:pt>
                <c:pt idx="107">
                  <c:v>175.46833744307096</c:v>
                </c:pt>
                <c:pt idx="108">
                  <c:v>175.45097980698745</c:v>
                </c:pt>
                <c:pt idx="109">
                  <c:v>175.43526539208531</c:v>
                </c:pt>
                <c:pt idx="110">
                  <c:v>175.42119397943614</c:v>
                </c:pt>
                <c:pt idx="111">
                  <c:v>175.40875981089852</c:v>
                </c:pt>
                <c:pt idx="112">
                  <c:v>175.39795157632125</c:v>
                </c:pt>
                <c:pt idx="113">
                  <c:v>175.3887524348736</c:v>
                </c:pt>
                <c:pt idx="114">
                  <c:v>175.38114007019331</c:v>
                </c:pt>
                <c:pt idx="115">
                  <c:v>175.37508677866057</c:v>
                </c:pt>
                <c:pt idx="116">
                  <c:v>175.37055958969995</c:v>
                </c:pt>
                <c:pt idx="117">
                  <c:v>175.36752041665841</c:v>
                </c:pt>
                <c:pt idx="118">
                  <c:v>175.36592623646627</c:v>
                </c:pt>
                <c:pt idx="119">
                  <c:v>175.36572929596781</c:v>
                </c:pt>
                <c:pt idx="120">
                  <c:v>175.36687734256338</c:v>
                </c:pt>
                <c:pt idx="121">
                  <c:v>175.36931387655039</c:v>
                </c:pt>
                <c:pt idx="122">
                  <c:v>175.37297842239087</c:v>
                </c:pt>
                <c:pt idx="123">
                  <c:v>175.3778068159865</c:v>
                </c:pt>
                <c:pt idx="124">
                  <c:v>175.38373150495389</c:v>
                </c:pt>
                <c:pt idx="125">
                  <c:v>175.39068185886092</c:v>
                </c:pt>
                <c:pt idx="126">
                  <c:v>175.39858448638199</c:v>
                </c:pt>
                <c:pt idx="127">
                  <c:v>175.40736355638117</c:v>
                </c:pt>
                <c:pt idx="128">
                  <c:v>175.4169411200202</c:v>
                </c:pt>
                <c:pt idx="129">
                  <c:v>175.42723743112634</c:v>
                </c:pt>
                <c:pt idx="130">
                  <c:v>175.43817126218536</c:v>
                </c:pt>
                <c:pt idx="131">
                  <c:v>175.44966021354398</c:v>
                </c:pt>
                <c:pt idx="132">
                  <c:v>175.46162101358254</c:v>
                </c:pt>
                <c:pt idx="133">
                  <c:v>175.47396980787164</c:v>
                </c:pt>
                <c:pt idx="134">
                  <c:v>175.48662243553585</c:v>
                </c:pt>
                <c:pt idx="135">
                  <c:v>175.49949469131801</c:v>
                </c:pt>
                <c:pt idx="136">
                  <c:v>175.51250257206465</c:v>
                </c:pt>
                <c:pt idx="137">
                  <c:v>175.52556250660851</c:v>
                </c:pt>
                <c:pt idx="138">
                  <c:v>175.53859156826215</c:v>
                </c:pt>
                <c:pt idx="139">
                  <c:v>175.55150766936549</c:v>
                </c:pt>
                <c:pt idx="140">
                  <c:v>175.56422973755051</c:v>
                </c:pt>
                <c:pt idx="141">
                  <c:v>175.57667787359102</c:v>
                </c:pt>
                <c:pt idx="142">
                  <c:v>175.58877349089425</c:v>
                </c:pt>
                <c:pt idx="143">
                  <c:v>175.60043943685992</c:v>
                </c:pt>
                <c:pt idx="144">
                  <c:v>175.61160009648773</c:v>
                </c:pt>
                <c:pt idx="145">
                  <c:v>175.62218147874896</c:v>
                </c:pt>
                <c:pt idx="146">
                  <c:v>175.63211128634845</c:v>
                </c:pt>
                <c:pt idx="147">
                  <c:v>175.64131896960356</c:v>
                </c:pt>
                <c:pt idx="148">
                  <c:v>175.64973576524528</c:v>
                </c:pt>
                <c:pt idx="149">
                  <c:v>175.65729472100588</c:v>
                </c:pt>
                <c:pt idx="150">
                  <c:v>175.66393070690265</c:v>
                </c:pt>
                <c:pt idx="151">
                  <c:v>175.66958041416029</c:v>
                </c:pt>
                <c:pt idx="152">
                  <c:v>175.67418234272859</c:v>
                </c:pt>
                <c:pt idx="153">
                  <c:v>175.67767677835675</c:v>
                </c:pt>
                <c:pt idx="154">
                  <c:v>175.6800057601792</c:v>
                </c:pt>
                <c:pt idx="155">
                  <c:v>175.68111303975311</c:v>
                </c:pt>
                <c:pt idx="156">
                  <c:v>175.68094403246184</c:v>
                </c:pt>
                <c:pt idx="157">
                  <c:v>175.6794457621659</c:v>
                </c:pt>
                <c:pt idx="158">
                  <c:v>175.67656679995329</c:v>
                </c:pt>
                <c:pt idx="159">
                  <c:v>175.67225719778892</c:v>
                </c:pt>
                <c:pt idx="160">
                  <c:v>175.66646841783094</c:v>
                </c:pt>
                <c:pt idx="161">
                  <c:v>175.65915325812239</c:v>
                </c:pt>
                <c:pt idx="162">
                  <c:v>175.6502657753305</c:v>
                </c:pt>
                <c:pt idx="163">
                  <c:v>175.63976120514658</c:v>
                </c:pt>
                <c:pt idx="164">
                  <c:v>175.62759588091646</c:v>
                </c:pt>
                <c:pt idx="165">
                  <c:v>175.61372715102135</c:v>
                </c:pt>
                <c:pt idx="166">
                  <c:v>175.59811329548154</c:v>
                </c:pt>
                <c:pt idx="167">
                  <c:v>175.58071344220727</c:v>
                </c:pt>
                <c:pt idx="168">
                  <c:v>175.56148748328249</c:v>
                </c:pt>
                <c:pt idx="169">
                  <c:v>175.54039599161709</c:v>
                </c:pt>
                <c:pt idx="170">
                  <c:v>175.51740013827086</c:v>
                </c:pt>
                <c:pt idx="171">
                  <c:v>175.49246161070931</c:v>
                </c:pt>
                <c:pt idx="172">
                  <c:v>175.46554253222106</c:v>
                </c:pt>
                <c:pt idx="173">
                  <c:v>175.43660538268864</c:v>
                </c:pt>
                <c:pt idx="174">
                  <c:v>175.40561292087946</c:v>
                </c:pt>
                <c:pt idx="175">
                  <c:v>175.3725281083949</c:v>
                </c:pt>
                <c:pt idx="176">
                  <c:v>175.33731403538732</c:v>
                </c:pt>
                <c:pt idx="177">
                  <c:v>175.2999338481375</c:v>
                </c:pt>
                <c:pt idx="178">
                  <c:v>175.26035067856031</c:v>
                </c:pt>
                <c:pt idx="179">
                  <c:v>175.21852757569039</c:v>
                </c:pt>
                <c:pt idx="180">
                  <c:v>175.17442743918392</c:v>
                </c:pt>
                <c:pt idx="181">
                  <c:v>175.12801295485707</c:v>
                </c:pt>
                <c:pt idx="182">
                  <c:v>175.07924653227155</c:v>
                </c:pt>
                <c:pt idx="183">
                  <c:v>175.02809024436556</c:v>
                </c:pt>
                <c:pt idx="184">
                  <c:v>174.97450576912195</c:v>
                </c:pt>
                <c:pt idx="185">
                  <c:v>174.91845433325474</c:v>
                </c:pt>
                <c:pt idx="186">
                  <c:v>174.85989665789501</c:v>
                </c:pt>
                <c:pt idx="187">
                  <c:v>174.7987929062455</c:v>
                </c:pt>
                <c:pt idx="188">
                  <c:v>174.7351026331784</c:v>
                </c:pt>
                <c:pt idx="189">
                  <c:v>174.66878473674035</c:v>
                </c:pt>
                <c:pt idx="190">
                  <c:v>174.59979741153458</c:v>
                </c:pt>
                <c:pt idx="191">
                  <c:v>174.52809810394575</c:v>
                </c:pt>
                <c:pt idx="192">
                  <c:v>174.4536434691756</c:v>
                </c:pt>
                <c:pt idx="193">
                  <c:v>174.3763893300582</c:v>
                </c:pt>
                <c:pt idx="194">
                  <c:v>174.29629063762729</c:v>
                </c:pt>
                <c:pt idx="195">
                  <c:v>174.21330143340873</c:v>
                </c:pt>
                <c:pt idx="196">
                  <c:v>174.1273748134173</c:v>
                </c:pt>
                <c:pt idx="197">
                  <c:v>174.0384628938393</c:v>
                </c:pt>
                <c:pt idx="198">
                  <c:v>173.94651677838732</c:v>
                </c:pt>
                <c:pt idx="199">
                  <c:v>173.85148652732022</c:v>
                </c:pt>
                <c:pt idx="200">
                  <c:v>173.75332112812396</c:v>
                </c:pt>
                <c:pt idx="201">
                  <c:v>173.65196846785832</c:v>
                </c:pt>
                <c:pt idx="202">
                  <c:v>173.5473753071783</c:v>
                </c:pt>
                <c:pt idx="203">
                  <c:v>173.43948725604682</c:v>
                </c:pt>
                <c:pt idx="204">
                  <c:v>173.32824875116302</c:v>
                </c:pt>
                <c:pt idx="205">
                  <c:v>173.21360303513671</c:v>
                </c:pt>
                <c:pt idx="206">
                  <c:v>173.09549213744847</c:v>
                </c:pt>
                <c:pt idx="207">
                  <c:v>172.97385685724245</c:v>
                </c:pt>
                <c:pt idx="208">
                  <c:v>172.84863674800775</c:v>
                </c:pt>
                <c:pt idx="209">
                  <c:v>172.71977010421304</c:v>
                </c:pt>
                <c:pt idx="210">
                  <c:v>172.5871939499682</c:v>
                </c:pt>
                <c:pt idx="211">
                  <c:v>172.45084402979558</c:v>
                </c:pt>
                <c:pt idx="212">
                  <c:v>172.31065480160578</c:v>
                </c:pt>
                <c:pt idx="213">
                  <c:v>172.16655943197853</c:v>
                </c:pt>
                <c:pt idx="214">
                  <c:v>172.01848979386438</c:v>
                </c:pt>
                <c:pt idx="215">
                  <c:v>171.86637646683076</c:v>
                </c:pt>
                <c:pt idx="216">
                  <c:v>171.71014873998695</c:v>
                </c:pt>
                <c:pt idx="217">
                  <c:v>171.54973461773542</c:v>
                </c:pt>
                <c:pt idx="218">
                  <c:v>171.3850608285083</c:v>
                </c:pt>
                <c:pt idx="219">
                  <c:v>171.21605283665551</c:v>
                </c:pt>
                <c:pt idx="220">
                  <c:v>171.04263485767197</c:v>
                </c:pt>
                <c:pt idx="221">
                  <c:v>170.86472987695217</c:v>
                </c:pt>
                <c:pt idx="222">
                  <c:v>170.68225967228327</c:v>
                </c:pt>
                <c:pt idx="223">
                  <c:v>170.49514484029214</c:v>
                </c:pt>
                <c:pt idx="224">
                  <c:v>170.30330482708209</c:v>
                </c:pt>
                <c:pt idx="225">
                  <c:v>170.1066579632988</c:v>
                </c:pt>
                <c:pt idx="226">
                  <c:v>169.90512150388656</c:v>
                </c:pt>
                <c:pt idx="227">
                  <c:v>169.69861167280268</c:v>
                </c:pt>
                <c:pt idx="228">
                  <c:v>169.48704371297188</c:v>
                </c:pt>
                <c:pt idx="229">
                  <c:v>169.27033194177358</c:v>
                </c:pt>
                <c:pt idx="230">
                  <c:v>169.04838981237182</c:v>
                </c:pt>
                <c:pt idx="231">
                  <c:v>168.82112998119848</c:v>
                </c:pt>
                <c:pt idx="232">
                  <c:v>168.58846438192444</c:v>
                </c:pt>
                <c:pt idx="233">
                  <c:v>168.35030430624747</c:v>
                </c:pt>
                <c:pt idx="234">
                  <c:v>168.10656049185178</c:v>
                </c:pt>
                <c:pt idx="235">
                  <c:v>167.85714321788566</c:v>
                </c:pt>
                <c:pt idx="236">
                  <c:v>167.60196240832076</c:v>
                </c:pt>
                <c:pt idx="237">
                  <c:v>167.34092774355611</c:v>
                </c:pt>
                <c:pt idx="238">
                  <c:v>167.07394878063567</c:v>
                </c:pt>
                <c:pt idx="239">
                  <c:v>166.80093508244505</c:v>
                </c:pt>
                <c:pt idx="240">
                  <c:v>166.52179635625646</c:v>
                </c:pt>
                <c:pt idx="241">
                  <c:v>166.23644260198077</c:v>
                </c:pt>
                <c:pt idx="242">
                  <c:v>165.9447842704844</c:v>
                </c:pt>
                <c:pt idx="243">
                  <c:v>165.64673243231098</c:v>
                </c:pt>
                <c:pt idx="244">
                  <c:v>165.34219895713994</c:v>
                </c:pt>
                <c:pt idx="245">
                  <c:v>165.03109670428833</c:v>
                </c:pt>
                <c:pt idx="246">
                  <c:v>164.71333972454519</c:v>
                </c:pt>
                <c:pt idx="247">
                  <c:v>164.38884347359459</c:v>
                </c:pt>
                <c:pt idx="248">
                  <c:v>164.05752503725142</c:v>
                </c:pt>
                <c:pt idx="249">
                  <c:v>163.71930336869374</c:v>
                </c:pt>
                <c:pt idx="250">
                  <c:v>163.37409953783038</c:v>
                </c:pt>
                <c:pt idx="251">
                  <c:v>163.02183699288645</c:v>
                </c:pt>
                <c:pt idx="252">
                  <c:v>162.66244183423461</c:v>
                </c:pt>
                <c:pt idx="253">
                  <c:v>162.29584310042617</c:v>
                </c:pt>
                <c:pt idx="254">
                  <c:v>161.92197306630501</c:v>
                </c:pt>
                <c:pt idx="255">
                  <c:v>161.54076755300338</c:v>
                </c:pt>
                <c:pt idx="256">
                  <c:v>161.15216624952438</c:v>
                </c:pt>
                <c:pt idx="257">
                  <c:v>160.75611304551535</c:v>
                </c:pt>
                <c:pt idx="258">
                  <c:v>160.35255637473196</c:v>
                </c:pt>
                <c:pt idx="259">
                  <c:v>159.94144956856726</c:v>
                </c:pt>
                <c:pt idx="260">
                  <c:v>159.52275121890005</c:v>
                </c:pt>
                <c:pt idx="261">
                  <c:v>159.09642554938054</c:v>
                </c:pt>
                <c:pt idx="262">
                  <c:v>158.66244279412638</c:v>
                </c:pt>
                <c:pt idx="263">
                  <c:v>158.22077958265632</c:v>
                </c:pt>
                <c:pt idx="264">
                  <c:v>157.7714193297343</c:v>
                </c:pt>
                <c:pt idx="265">
                  <c:v>157.31435262862863</c:v>
                </c:pt>
                <c:pt idx="266">
                  <c:v>156.84957764613767</c:v>
                </c:pt>
                <c:pt idx="267">
                  <c:v>156.37710051755437</c:v>
                </c:pt>
                <c:pt idx="268">
                  <c:v>155.89693573958186</c:v>
                </c:pt>
                <c:pt idx="269">
                  <c:v>155.40910655904506</c:v>
                </c:pt>
                <c:pt idx="270">
                  <c:v>154.91364535507236</c:v>
                </c:pt>
                <c:pt idx="271">
                  <c:v>154.41059401227463</c:v>
                </c:pt>
                <c:pt idx="272">
                  <c:v>153.90000428229183</c:v>
                </c:pt>
                <c:pt idx="273">
                  <c:v>153.38193813094145</c:v>
                </c:pt>
                <c:pt idx="274">
                  <c:v>152.8564680680831</c:v>
                </c:pt>
                <c:pt idx="275">
                  <c:v>152.32367745720225</c:v>
                </c:pt>
                <c:pt idx="276">
                  <c:v>151.78366080163858</c:v>
                </c:pt>
                <c:pt idx="277">
                  <c:v>151.23652400431686</c:v>
                </c:pt>
                <c:pt idx="278">
                  <c:v>150.68238459781008</c:v>
                </c:pt>
                <c:pt idx="279">
                  <c:v>150.12137194156332</c:v>
                </c:pt>
                <c:pt idx="280">
                  <c:v>149.55362738313303</c:v>
                </c:pt>
                <c:pt idx="281">
                  <c:v>148.97930438037338</c:v>
                </c:pt>
                <c:pt idx="282">
                  <c:v>148.39856858160059</c:v>
                </c:pt>
                <c:pt idx="283">
                  <c:v>147.81159786092138</c:v>
                </c:pt>
                <c:pt idx="284">
                  <c:v>147.21858230609831</c:v>
                </c:pt>
                <c:pt idx="285">
                  <c:v>146.61972415656061</c:v>
                </c:pt>
                <c:pt idx="286">
                  <c:v>146.01523768944915</c:v>
                </c:pt>
                <c:pt idx="287">
                  <c:v>145.40534905189844</c:v>
                </c:pt>
                <c:pt idx="288">
                  <c:v>144.79029603812918</c:v>
                </c:pt>
                <c:pt idx="289">
                  <c:v>144.17032781031523</c:v>
                </c:pt>
                <c:pt idx="290">
                  <c:v>143.54570456263176</c:v>
                </c:pt>
                <c:pt idx="291">
                  <c:v>142.91669712835935</c:v>
                </c:pt>
                <c:pt idx="292">
                  <c:v>142.28358653040212</c:v>
                </c:pt>
                <c:pt idx="293">
                  <c:v>141.646663476105</c:v>
                </c:pt>
                <c:pt idx="294">
                  <c:v>141.00622779777297</c:v>
                </c:pt>
                <c:pt idx="295">
                  <c:v>140.36258784083131</c:v>
                </c:pt>
                <c:pt idx="296">
                  <c:v>139.71605980209816</c:v>
                </c:pt>
                <c:pt idx="297">
                  <c:v>139.06696702116187</c:v>
                </c:pt>
                <c:pt idx="298">
                  <c:v>138.41563922835803</c:v>
                </c:pt>
                <c:pt idx="299">
                  <c:v>137.76241175332325</c:v>
                </c:pt>
                <c:pt idx="300">
                  <c:v>137.10762469853543</c:v>
                </c:pt>
                <c:pt idx="301">
                  <c:v>136.45162208266098</c:v>
                </c:pt>
                <c:pt idx="302">
                  <c:v>135.7947509588694</c:v>
                </c:pt>
                <c:pt idx="303">
                  <c:v>135.13736051357571</c:v>
                </c:pt>
                <c:pt idx="304">
                  <c:v>134.47980115129783</c:v>
                </c:pt>
                <c:pt idx="305">
                  <c:v>133.8224235714861</c:v>
                </c:pt>
                <c:pt idx="306">
                  <c:v>133.16557784327213</c:v>
                </c:pt>
                <c:pt idx="307">
                  <c:v>132.50961248411704</c:v>
                </c:pt>
                <c:pt idx="308">
                  <c:v>131.85487354827967</c:v>
                </c:pt>
                <c:pt idx="309">
                  <c:v>131.20170373092699</c:v>
                </c:pt>
                <c:pt idx="310">
                  <c:v>130.55044149350124</c:v>
                </c:pt>
                <c:pt idx="311">
                  <c:v>129.90142021572035</c:v>
                </c:pt>
                <c:pt idx="312">
                  <c:v>129.25496737927938</c:v>
                </c:pt>
                <c:pt idx="313">
                  <c:v>128.61140378793996</c:v>
                </c:pt>
                <c:pt idx="314">
                  <c:v>127.97104282830119</c:v>
                </c:pt>
                <c:pt idx="315">
                  <c:v>127.33418977507183</c:v>
                </c:pt>
                <c:pt idx="316">
                  <c:v>126.70114114419577</c:v>
                </c:pt>
                <c:pt idx="317">
                  <c:v>126.0721840966556</c:v>
                </c:pt>
                <c:pt idx="318">
                  <c:v>125.44759589526967</c:v>
                </c:pt>
                <c:pt idx="319">
                  <c:v>124.82764341625088</c:v>
                </c:pt>
                <c:pt idx="320">
                  <c:v>124.21258271676979</c:v>
                </c:pt>
                <c:pt idx="321">
                  <c:v>123.60265865924622</c:v>
                </c:pt>
                <c:pt idx="322">
                  <c:v>122.99810459257175</c:v>
                </c:pt>
                <c:pt idx="323">
                  <c:v>122.39914208999329</c:v>
                </c:pt>
                <c:pt idx="324">
                  <c:v>121.80598074292057</c:v>
                </c:pt>
                <c:pt idx="325">
                  <c:v>121.21881800950385</c:v>
                </c:pt>
                <c:pt idx="326">
                  <c:v>120.63783911642938</c:v>
                </c:pt>
                <c:pt idx="327">
                  <c:v>120.0632170120379</c:v>
                </c:pt>
                <c:pt idx="328">
                  <c:v>119.49511236856661</c:v>
                </c:pt>
                <c:pt idx="329">
                  <c:v>118.9336736310338</c:v>
                </c:pt>
                <c:pt idx="330">
                  <c:v>118.37903711009805</c:v>
                </c:pt>
                <c:pt idx="331">
                  <c:v>117.83132711600086</c:v>
                </c:pt>
                <c:pt idx="332">
                  <c:v>117.29065613061323</c:v>
                </c:pt>
                <c:pt idx="333">
                  <c:v>116.7571250144663</c:v>
                </c:pt>
                <c:pt idx="334">
                  <c:v>116.230823245632</c:v>
                </c:pt>
                <c:pt idx="335">
                  <c:v>115.71182918725931</c:v>
                </c:pt>
                <c:pt idx="336">
                  <c:v>115.20021038061807</c:v>
                </c:pt>
                <c:pt idx="337">
                  <c:v>114.69602386051267</c:v>
                </c:pt>
                <c:pt idx="338">
                  <c:v>114.19931649002373</c:v>
                </c:pt>
                <c:pt idx="339">
                  <c:v>113.71012531160693</c:v>
                </c:pt>
                <c:pt idx="340">
                  <c:v>113.22847791170132</c:v>
                </c:pt>
                <c:pt idx="341">
                  <c:v>112.75439279612108</c:v>
                </c:pt>
                <c:pt idx="342">
                  <c:v>112.28787977365114</c:v>
                </c:pt>
                <c:pt idx="343">
                  <c:v>111.82894034541502</c:v>
                </c:pt>
                <c:pt idx="344">
                  <c:v>111.37756809774662</c:v>
                </c:pt>
                <c:pt idx="345">
                  <c:v>110.93374909645856</c:v>
                </c:pt>
                <c:pt idx="346">
                  <c:v>110.49746228057013</c:v>
                </c:pt>
                <c:pt idx="347">
                  <c:v>110.06867985372863</c:v>
                </c:pt>
                <c:pt idx="348">
                  <c:v>109.64736767171337</c:v>
                </c:pt>
                <c:pt idx="349">
                  <c:v>109.23348562459122</c:v>
                </c:pt>
                <c:pt idx="350">
                  <c:v>108.82698801224014</c:v>
                </c:pt>
                <c:pt idx="351">
                  <c:v>108.4278239121136</c:v>
                </c:pt>
                <c:pt idx="352">
                  <c:v>108.03593753827025</c:v>
                </c:pt>
                <c:pt idx="353">
                  <c:v>107.65126859082739</c:v>
                </c:pt>
                <c:pt idx="354">
                  <c:v>107.27375259513202</c:v>
                </c:pt>
                <c:pt idx="355">
                  <c:v>106.90332123006901</c:v>
                </c:pt>
                <c:pt idx="356">
                  <c:v>106.53990264503443</c:v>
                </c:pt>
                <c:pt idx="357">
                  <c:v>106.1834217652178</c:v>
                </c:pt>
                <c:pt idx="358">
                  <c:v>105.83380058492781</c:v>
                </c:pt>
                <c:pt idx="359">
                  <c:v>105.4909584487898</c:v>
                </c:pt>
                <c:pt idx="360">
                  <c:v>105.15481232072153</c:v>
                </c:pt>
                <c:pt idx="361">
                  <c:v>104.82527704067125</c:v>
                </c:pt>
                <c:pt idx="362">
                  <c:v>104.50226556916279</c:v>
                </c:pt>
                <c:pt idx="363">
                  <c:v>104.18568921975393</c:v>
                </c:pt>
                <c:pt idx="364">
                  <c:v>103.87545787956239</c:v>
                </c:pt>
                <c:pt idx="365">
                  <c:v>103.57148021806265</c:v>
                </c:pt>
                <c:pt idx="366">
                  <c:v>103.27366388438855</c:v>
                </c:pt>
                <c:pt idx="367">
                  <c:v>102.98191569341802</c:v>
                </c:pt>
                <c:pt idx="368">
                  <c:v>102.69614180093222</c:v>
                </c:pt>
                <c:pt idx="369">
                  <c:v>102.41624786817665</c:v>
                </c:pt>
                <c:pt idx="370">
                  <c:v>102.1421392161571</c:v>
                </c:pt>
                <c:pt idx="371">
                  <c:v>101.8737209700288</c:v>
                </c:pt>
                <c:pt idx="372">
                  <c:v>101.61089819393679</c:v>
                </c:pt>
                <c:pt idx="373">
                  <c:v>101.35357601668127</c:v>
                </c:pt>
                <c:pt idx="374">
                  <c:v>101.10165974858093</c:v>
                </c:pt>
                <c:pt idx="375">
                  <c:v>100.85505498990831</c:v>
                </c:pt>
                <c:pt idx="376">
                  <c:v>100.61366773127496</c:v>
                </c:pt>
                <c:pt idx="377">
                  <c:v>100.37740444633502</c:v>
                </c:pt>
                <c:pt idx="378">
                  <c:v>100.14617217717789</c:v>
                </c:pt>
                <c:pt idx="379">
                  <c:v>99.919878612767263</c:v>
                </c:pt>
                <c:pt idx="380">
                  <c:v>99.698432160785373</c:v>
                </c:pt>
                <c:pt idx="381">
                  <c:v>99.481742013224036</c:v>
                </c:pt>
                <c:pt idx="382">
                  <c:v>99.269718206061171</c:v>
                </c:pt>
                <c:pt idx="383">
                  <c:v>99.062271673348178</c:v>
                </c:pt>
                <c:pt idx="384">
                  <c:v>98.859314296024493</c:v>
                </c:pt>
                <c:pt idx="385">
                  <c:v>98.660758945765693</c:v>
                </c:pt>
                <c:pt idx="386">
                  <c:v>98.46651952415661</c:v>
                </c:pt>
                <c:pt idx="387">
                  <c:v>98.276510997474148</c:v>
                </c:pt>
                <c:pt idx="388">
                  <c:v>98.090649427349248</c:v>
                </c:pt>
                <c:pt idx="389">
                  <c:v>97.908851997569599</c:v>
                </c:pt>
                <c:pt idx="390">
                  <c:v>97.731037037268564</c:v>
                </c:pt>
                <c:pt idx="391">
                  <c:v>97.557124040739296</c:v>
                </c:pt>
                <c:pt idx="392">
                  <c:v>97.387033684098498</c:v>
                </c:pt>
                <c:pt idx="393">
                  <c:v>97.220687839014744</c:v>
                </c:pt>
                <c:pt idx="394">
                  <c:v>97.058009583705456</c:v>
                </c:pt>
                <c:pt idx="395">
                  <c:v>96.89892321139591</c:v>
                </c:pt>
                <c:pt idx="396">
                  <c:v>96.743354236423329</c:v>
                </c:pt>
                <c:pt idx="397">
                  <c:v>96.591229398159953</c:v>
                </c:pt>
                <c:pt idx="398">
                  <c:v>96.442476662919418</c:v>
                </c:pt>
                <c:pt idx="399">
                  <c:v>96.297025224000691</c:v>
                </c:pt>
                <c:pt idx="400">
                  <c:v>96.154805500015911</c:v>
                </c:pt>
                <c:pt idx="401">
                  <c:v>96.015749131639879</c:v>
                </c:pt>
                <c:pt idx="402">
                  <c:v>95.879788976911328</c:v>
                </c:pt>
                <c:pt idx="403">
                  <c:v>95.746859105206411</c:v>
                </c:pt>
                <c:pt idx="404">
                  <c:v>95.61689479000033</c:v>
                </c:pt>
                <c:pt idx="405">
                  <c:v>95.489832500523818</c:v>
                </c:pt>
                <c:pt idx="406">
                  <c:v>95.365609892415065</c:v>
                </c:pt>
                <c:pt idx="407">
                  <c:v>95.244165797461918</c:v>
                </c:pt>
                <c:pt idx="408">
                  <c:v>95.125440212522065</c:v>
                </c:pt>
                <c:pt idx="409">
                  <c:v>95.009374287704276</c:v>
                </c:pt>
                <c:pt idx="410">
                  <c:v>94.895910313887356</c:v>
                </c:pt>
                <c:pt idx="411">
                  <c:v>94.784991709648665</c:v>
                </c:pt>
                <c:pt idx="412">
                  <c:v>94.676563007669898</c:v>
                </c:pt>
                <c:pt idx="413">
                  <c:v>94.570569840681657</c:v>
                </c:pt>
                <c:pt idx="414">
                  <c:v>94.466958927005862</c:v>
                </c:pt>
                <c:pt idx="415">
                  <c:v>94.365678055749001</c:v>
                </c:pt>
                <c:pt idx="416">
                  <c:v>94.266676071697063</c:v>
                </c:pt>
                <c:pt idx="417">
                  <c:v>94.169902859958754</c:v>
                </c:pt>
                <c:pt idx="418">
                  <c:v>94.075309330399051</c:v>
                </c:pt>
                <c:pt idx="419">
                  <c:v>93.982847401904465</c:v>
                </c:pt>
                <c:pt idx="420">
                  <c:v>93.892469986515295</c:v>
                </c:pt>
                <c:pt idx="421">
                  <c:v>93.804130973460204</c:v>
                </c:pt>
                <c:pt idx="422">
                  <c:v>93.717785213123776</c:v>
                </c:pt>
                <c:pt idx="423">
                  <c:v>93.633388500975386</c:v>
                </c:pt>
                <c:pt idx="424">
                  <c:v>93.550897561488</c:v>
                </c:pt>
                <c:pt idx="425">
                  <c:v>93.470270032068058</c:v>
                </c:pt>
                <c:pt idx="426">
                  <c:v>93.391464447021562</c:v>
                </c:pt>
                <c:pt idx="427">
                  <c:v>93.314440221575524</c:v>
                </c:pt>
                <c:pt idx="428">
                  <c:v>93.239157635973626</c:v>
                </c:pt>
                <c:pt idx="429">
                  <c:v>93.165577819661934</c:v>
                </c:pt>
                <c:pt idx="430">
                  <c:v>93.093662735582654</c:v>
                </c:pt>
                <c:pt idx="431">
                  <c:v>93.023375164586852</c:v>
                </c:pt>
                <c:pt idx="432">
                  <c:v>92.954678689981108</c:v>
                </c:pt>
                <c:pt idx="433">
                  <c:v>92.887537682217612</c:v>
                </c:pt>
                <c:pt idx="434">
                  <c:v>92.821917283739538</c:v>
                </c:pt>
                <c:pt idx="435">
                  <c:v>92.7577833939893</c:v>
                </c:pt>
                <c:pt idx="436">
                  <c:v>92.695102654588752</c:v>
                </c:pt>
                <c:pt idx="437">
                  <c:v>92.633842434698082</c:v>
                </c:pt>
                <c:pt idx="438">
                  <c:v>92.573970816559537</c:v>
                </c:pt>
                <c:pt idx="439">
                  <c:v>92.515456581231788</c:v>
                </c:pt>
                <c:pt idx="440">
                  <c:v>92.458269194519517</c:v>
                </c:pt>
                <c:pt idx="441">
                  <c:v>92.402378793101889</c:v>
                </c:pt>
                <c:pt idx="442">
                  <c:v>92.347756170863846</c:v>
                </c:pt>
                <c:pt idx="443">
                  <c:v>92.294372765432882</c:v>
                </c:pt>
                <c:pt idx="444">
                  <c:v>92.24220064492313</c:v>
                </c:pt>
                <c:pt idx="445">
                  <c:v>92.191212494889143</c:v>
                </c:pt>
                <c:pt idx="446">
                  <c:v>92.141381605490167</c:v>
                </c:pt>
                <c:pt idx="447">
                  <c:v>92.092681858866086</c:v>
                </c:pt>
                <c:pt idx="448">
                  <c:v>92.045087716725391</c:v>
                </c:pt>
                <c:pt idx="449">
                  <c:v>91.998574208145257</c:v>
                </c:pt>
                <c:pt idx="450">
                  <c:v>91.953116917583714</c:v>
                </c:pt>
                <c:pt idx="451">
                  <c:v>91.908691973103089</c:v>
                </c:pt>
                <c:pt idx="452">
                  <c:v>91.865276034804538</c:v>
                </c:pt>
                <c:pt idx="453">
                  <c:v>91.822846283471762</c:v>
                </c:pt>
                <c:pt idx="454">
                  <c:v>91.781380409423662</c:v>
                </c:pt>
                <c:pt idx="455">
                  <c:v>91.740856601573611</c:v>
                </c:pt>
                <c:pt idx="456">
                  <c:v>91.701253536694566</c:v>
                </c:pt>
                <c:pt idx="457">
                  <c:v>91.662550368887253</c:v>
                </c:pt>
                <c:pt idx="458">
                  <c:v>91.624726719250503</c:v>
                </c:pt>
                <c:pt idx="459">
                  <c:v>91.58776266575083</c:v>
                </c:pt>
                <c:pt idx="460">
                  <c:v>91.551638733289565</c:v>
                </c:pt>
                <c:pt idx="461">
                  <c:v>91.516335883965056</c:v>
                </c:pt>
                <c:pt idx="462">
                  <c:v>91.481835507527663</c:v>
                </c:pt>
                <c:pt idx="463">
                  <c:v>91.448119412024823</c:v>
                </c:pt>
                <c:pt idx="464">
                  <c:v>91.415169814633941</c:v>
                </c:pt>
                <c:pt idx="465">
                  <c:v>91.382969332680403</c:v>
                </c:pt>
                <c:pt idx="466">
                  <c:v>91.351500974837961</c:v>
                </c:pt>
                <c:pt idx="467">
                  <c:v>91.320748132508911</c:v>
                </c:pt>
                <c:pt idx="468">
                  <c:v>91.290694571381366</c:v>
                </c:pt>
                <c:pt idx="469">
                  <c:v>91.261324423160715</c:v>
                </c:pt>
                <c:pt idx="470">
                  <c:v>91.232622177472592</c:v>
                </c:pt>
                <c:pt idx="471">
                  <c:v>91.204572673934578</c:v>
                </c:pt>
                <c:pt idx="472">
                  <c:v>91.177161094393838</c:v>
                </c:pt>
                <c:pt idx="473">
                  <c:v>91.150372955327683</c:v>
                </c:pt>
                <c:pt idx="474">
                  <c:v>91.124194100404694</c:v>
                </c:pt>
                <c:pt idx="475">
                  <c:v>91.098610693203028</c:v>
                </c:pt>
                <c:pt idx="476">
                  <c:v>91.073609210083589</c:v>
                </c:pt>
                <c:pt idx="477">
                  <c:v>91.049176433215067</c:v>
                </c:pt>
                <c:pt idx="478">
                  <c:v>91.025299443747983</c:v>
                </c:pt>
                <c:pt idx="479">
                  <c:v>91.001965615135362</c:v>
                </c:pt>
                <c:pt idx="480">
                  <c:v>90.979162606596717</c:v>
                </c:pt>
                <c:pt idx="481">
                  <c:v>90.956878356723266</c:v>
                </c:pt>
                <c:pt idx="482">
                  <c:v>90.935101077221148</c:v>
                </c:pt>
                <c:pt idx="483">
                  <c:v>90.913819246790425</c:v>
                </c:pt>
                <c:pt idx="484">
                  <c:v>90.893021605136852</c:v>
                </c:pt>
                <c:pt idx="485">
                  <c:v>90.872697147114167</c:v>
                </c:pt>
                <c:pt idx="486">
                  <c:v>90.852835116994015</c:v>
                </c:pt>
                <c:pt idx="487">
                  <c:v>90.833425002861219</c:v>
                </c:pt>
                <c:pt idx="488">
                  <c:v>90.814456531131725</c:v>
                </c:pt>
                <c:pt idx="489">
                  <c:v>90.795919661190851</c:v>
                </c:pt>
                <c:pt idx="490">
                  <c:v>90.777804580149365</c:v>
                </c:pt>
                <c:pt idx="491">
                  <c:v>90.760101697714887</c:v>
                </c:pt>
                <c:pt idx="492">
                  <c:v>90.742801641176541</c:v>
                </c:pt>
                <c:pt idx="493">
                  <c:v>90.725895250500187</c:v>
                </c:pt>
                <c:pt idx="494">
                  <c:v>90.709373573532133</c:v>
                </c:pt>
                <c:pt idx="495">
                  <c:v>90.693227861309097</c:v>
                </c:pt>
                <c:pt idx="496">
                  <c:v>90.677449563472052</c:v>
                </c:pt>
                <c:pt idx="497">
                  <c:v>90.662030323781906</c:v>
                </c:pt>
                <c:pt idx="498">
                  <c:v>90.646961975734797</c:v>
                </c:pt>
                <c:pt idx="499">
                  <c:v>90.632236538274952</c:v>
                </c:pt>
                <c:pt idx="500">
                  <c:v>90.617846211603037</c:v>
                </c:pt>
                <c:pt idx="501">
                  <c:v>90.603783373077903</c:v>
                </c:pt>
                <c:pt idx="502">
                  <c:v>90.590040573209762</c:v>
                </c:pt>
                <c:pt idx="503">
                  <c:v>90.576610531742929</c:v>
                </c:pt>
                <c:pt idx="504">
                  <c:v>90.563486133825975</c:v>
                </c:pt>
                <c:pt idx="505">
                  <c:v>90.550660426267797</c:v>
                </c:pt>
                <c:pt idx="506">
                  <c:v>90.538126613877182</c:v>
                </c:pt>
                <c:pt idx="507">
                  <c:v>90.52587805588476</c:v>
                </c:pt>
                <c:pt idx="508">
                  <c:v>90.513908262444829</c:v>
                </c:pt>
                <c:pt idx="509">
                  <c:v>90.502210891215967</c:v>
                </c:pt>
                <c:pt idx="510">
                  <c:v>90.490779744018212</c:v>
                </c:pt>
                <c:pt idx="511">
                  <c:v>90.479608763565395</c:v>
                </c:pt>
                <c:pt idx="512">
                  <c:v>90.468692030271029</c:v>
                </c:pt>
                <c:pt idx="513">
                  <c:v>90.458023759125908</c:v>
                </c:pt>
                <c:pt idx="514">
                  <c:v>90.447598296646007</c:v>
                </c:pt>
                <c:pt idx="515">
                  <c:v>90.437410117889172</c:v>
                </c:pt>
                <c:pt idx="516">
                  <c:v>90.427453823538997</c:v>
                </c:pt>
                <c:pt idx="517">
                  <c:v>90.417724137054265</c:v>
                </c:pt>
                <c:pt idx="518">
                  <c:v>90.408215901882954</c:v>
                </c:pt>
                <c:pt idx="519">
                  <c:v>90.398924078738844</c:v>
                </c:pt>
                <c:pt idx="520">
                  <c:v>90.389843742939632</c:v>
                </c:pt>
                <c:pt idx="521">
                  <c:v>90.380970081805373</c:v>
                </c:pt>
                <c:pt idx="522">
                  <c:v>90.372298392115212</c:v>
                </c:pt>
                <c:pt idx="523">
                  <c:v>90.363824077622041</c:v>
                </c:pt>
                <c:pt idx="524">
                  <c:v>90.355542646623078</c:v>
                </c:pt>
                <c:pt idx="525">
                  <c:v>90.347449709585405</c:v>
                </c:pt>
                <c:pt idx="526">
                  <c:v>90.339540976825234</c:v>
                </c:pt>
                <c:pt idx="527">
                  <c:v>90.331812256239658</c:v>
                </c:pt>
                <c:pt idx="528">
                  <c:v>90.324259451089759</c:v>
                </c:pt>
                <c:pt idx="529">
                  <c:v>90.316878557833746</c:v>
                </c:pt>
                <c:pt idx="530">
                  <c:v>90.309665664009415</c:v>
                </c:pt>
                <c:pt idx="531">
                  <c:v>90.302616946164321</c:v>
                </c:pt>
                <c:pt idx="532">
                  <c:v>90.29572866783289</c:v>
                </c:pt>
                <c:pt idx="533">
                  <c:v>90.288997177559537</c:v>
                </c:pt>
                <c:pt idx="534">
                  <c:v>90.282418906966257</c:v>
                </c:pt>
                <c:pt idx="535">
                  <c:v>90.275990368864299</c:v>
                </c:pt>
                <c:pt idx="536">
                  <c:v>90.269708155408523</c:v>
                </c:pt>
                <c:pt idx="537">
                  <c:v>90.263568936293595</c:v>
                </c:pt>
                <c:pt idx="538">
                  <c:v>90.257569456991163</c:v>
                </c:pt>
                <c:pt idx="539">
                  <c:v>90.251706537026891</c:v>
                </c:pt>
                <c:pt idx="540">
                  <c:v>90.245977068296767</c:v>
                </c:pt>
                <c:pt idx="541">
                  <c:v>90.240378013421378</c:v>
                </c:pt>
              </c:numCache>
            </c:numRef>
          </c:yVal>
          <c:smooth val="1"/>
          <c:extLst>
            <c:ext xmlns:c16="http://schemas.microsoft.com/office/drawing/2014/chart" uri="{C3380CC4-5D6E-409C-BE32-E72D297353CC}">
              <c16:uniqueId val="{00000001-3DFE-43A9-93A4-11C3658A6E80}"/>
            </c:ext>
          </c:extLst>
        </c:ser>
        <c:dLbls>
          <c:showLegendKey val="0"/>
          <c:showVal val="0"/>
          <c:showCatName val="0"/>
          <c:showSerName val="0"/>
          <c:showPercent val="0"/>
          <c:showBubbleSize val="0"/>
        </c:dLbls>
        <c:axId val="384036224"/>
        <c:axId val="384034688"/>
      </c:scatterChart>
      <c:valAx>
        <c:axId val="337758080"/>
        <c:scaling>
          <c:logBase val="10"/>
          <c:orientation val="minMax"/>
          <c:max val="2200000"/>
          <c:min val="10"/>
        </c:scaling>
        <c:delete val="0"/>
        <c:axPos val="b"/>
        <c:minorGridlines/>
        <c:title>
          <c:tx>
            <c:rich>
              <a:bodyPr/>
              <a:lstStyle/>
              <a:p>
                <a:pPr>
                  <a:defRPr/>
                </a:pPr>
                <a:r>
                  <a:rPr lang="en-US"/>
                  <a:t>Frequency</a:t>
                </a:r>
                <a:r>
                  <a:rPr lang="en-US" baseline="0"/>
                  <a:t> (Hz)</a:t>
                </a:r>
                <a:endParaRPr lang="en-US"/>
              </a:p>
            </c:rich>
          </c:tx>
          <c:overlay val="0"/>
        </c:title>
        <c:numFmt formatCode="0" sourceLinked="0"/>
        <c:majorTickMark val="out"/>
        <c:minorTickMark val="none"/>
        <c:tickLblPos val="low"/>
        <c:crossAx val="384032768"/>
        <c:crosses val="autoZero"/>
        <c:crossBetween val="midCat"/>
      </c:valAx>
      <c:valAx>
        <c:axId val="384032768"/>
        <c:scaling>
          <c:orientation val="minMax"/>
          <c:max val="40"/>
          <c:min val="-40"/>
        </c:scaling>
        <c:delete val="0"/>
        <c:axPos val="l"/>
        <c:majorGridlines/>
        <c:minorGridlines/>
        <c:title>
          <c:tx>
            <c:rich>
              <a:bodyPr rot="-5400000" vert="horz"/>
              <a:lstStyle/>
              <a:p>
                <a:pPr>
                  <a:defRPr/>
                </a:pPr>
                <a:r>
                  <a:rPr lang="en-US"/>
                  <a:t>Gain</a:t>
                </a:r>
                <a:r>
                  <a:rPr lang="en-US" baseline="0"/>
                  <a:t> (dB)</a:t>
                </a:r>
                <a:endParaRPr lang="en-US"/>
              </a:p>
            </c:rich>
          </c:tx>
          <c:overlay val="0"/>
        </c:title>
        <c:numFmt formatCode="General" sourceLinked="0"/>
        <c:majorTickMark val="out"/>
        <c:minorTickMark val="none"/>
        <c:tickLblPos val="nextTo"/>
        <c:crossAx val="337758080"/>
        <c:crosses val="autoZero"/>
        <c:crossBetween val="midCat"/>
        <c:majorUnit val="20"/>
        <c:minorUnit val="10"/>
      </c:valAx>
      <c:valAx>
        <c:axId val="384034688"/>
        <c:scaling>
          <c:orientation val="minMax"/>
          <c:max val="180"/>
          <c:min val="-180"/>
        </c:scaling>
        <c:delete val="0"/>
        <c:axPos val="r"/>
        <c:numFmt formatCode="General" sourceLinked="1"/>
        <c:majorTickMark val="out"/>
        <c:minorTickMark val="none"/>
        <c:tickLblPos val="nextTo"/>
        <c:crossAx val="384036224"/>
        <c:crosses val="max"/>
        <c:crossBetween val="midCat"/>
        <c:majorUnit val="90"/>
        <c:minorUnit val="45"/>
      </c:valAx>
      <c:valAx>
        <c:axId val="384036224"/>
        <c:scaling>
          <c:logBase val="10"/>
          <c:orientation val="minMax"/>
        </c:scaling>
        <c:delete val="1"/>
        <c:axPos val="b"/>
        <c:numFmt formatCode="0.00" sourceLinked="1"/>
        <c:majorTickMark val="out"/>
        <c:minorTickMark val="none"/>
        <c:tickLblPos val="nextTo"/>
        <c:crossAx val="384034688"/>
        <c:crosses val="autoZero"/>
        <c:crossBetween val="midCat"/>
      </c:valAx>
    </c:plotArea>
    <c:legend>
      <c:legendPos val="r"/>
      <c:layout>
        <c:manualLayout>
          <c:xMode val="edge"/>
          <c:yMode val="edge"/>
          <c:x val="0.79880558209512509"/>
          <c:y val="0.14321997959862004"/>
          <c:w val="0.13485048155591431"/>
          <c:h val="0.10528624969913696"/>
        </c:manualLayout>
      </c:layout>
      <c:overlay val="1"/>
      <c:spPr>
        <a:solidFill>
          <a:schemeClr val="bg1"/>
        </a:solidFill>
      </c:spPr>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baseline="0"/>
              <a:t>Bode Plot</a:t>
            </a:r>
          </a:p>
        </c:rich>
      </c:tx>
      <c:layout>
        <c:manualLayout>
          <c:xMode val="edge"/>
          <c:yMode val="edge"/>
          <c:x val="9.4354157174953393E-2"/>
          <c:y val="3.9916010498687662E-3"/>
        </c:manualLayout>
      </c:layout>
      <c:overlay val="0"/>
    </c:title>
    <c:autoTitleDeleted val="0"/>
    <c:plotArea>
      <c:layout>
        <c:manualLayout>
          <c:layoutTarget val="inner"/>
          <c:xMode val="edge"/>
          <c:yMode val="edge"/>
          <c:x val="8.7413438847232044E-2"/>
          <c:y val="8.915804101931861E-2"/>
          <c:w val="0.80965876742891785"/>
          <c:h val="0.76159168715027026"/>
        </c:manualLayout>
      </c:layout>
      <c:scatterChart>
        <c:scatterStyle val="smoothMarker"/>
        <c:varyColors val="0"/>
        <c:ser>
          <c:idx val="0"/>
          <c:order val="0"/>
          <c:tx>
            <c:v>Gain (dB)</c:v>
          </c:tx>
          <c:spPr>
            <a:ln w="28575">
              <a:solidFill>
                <a:srgbClr val="FF0000"/>
              </a:solidFill>
            </a:ln>
          </c:spPr>
          <c:marker>
            <c:symbol val="none"/>
          </c:marker>
          <c:xVal>
            <c:numRef>
              <c:f>CCM_Loop_Modeling_Isolated!$O$19:$O$560</c:f>
              <c:numCache>
                <c:formatCode>0.00</c:formatCode>
                <c:ptCount val="542"/>
                <c:pt idx="0">
                  <c:v>10.232929922807543</c:v>
                </c:pt>
                <c:pt idx="1">
                  <c:v>10.471285480509</c:v>
                </c:pt>
                <c:pt idx="2">
                  <c:v>10.715193052376069</c:v>
                </c:pt>
                <c:pt idx="3">
                  <c:v>10.964781961431854</c:v>
                </c:pt>
                <c:pt idx="4">
                  <c:v>11.220184543019636</c:v>
                </c:pt>
                <c:pt idx="5">
                  <c:v>11.481536214968834</c:v>
                </c:pt>
                <c:pt idx="6">
                  <c:v>11.748975549395301</c:v>
                </c:pt>
                <c:pt idx="7">
                  <c:v>12.022644346174133</c:v>
                </c:pt>
                <c:pt idx="8">
                  <c:v>12.302687708123818</c:v>
                </c:pt>
                <c:pt idx="9">
                  <c:v>12.58925411794168</c:v>
                </c:pt>
                <c:pt idx="10">
                  <c:v>12.882495516931346</c:v>
                </c:pt>
                <c:pt idx="11">
                  <c:v>13.182567385564075</c:v>
                </c:pt>
                <c:pt idx="12">
                  <c:v>13.489628825916535</c:v>
                </c:pt>
                <c:pt idx="13">
                  <c:v>13.803842646028857</c:v>
                </c:pt>
                <c:pt idx="14">
                  <c:v>14.125375446227544</c:v>
                </c:pt>
                <c:pt idx="15">
                  <c:v>14.454397707459275</c:v>
                </c:pt>
                <c:pt idx="16">
                  <c:v>14.791083881682074</c:v>
                </c:pt>
                <c:pt idx="17">
                  <c:v>15.135612484362087</c:v>
                </c:pt>
                <c:pt idx="18">
                  <c:v>15.488166189124817</c:v>
                </c:pt>
                <c:pt idx="19">
                  <c:v>15.848931924611136</c:v>
                </c:pt>
                <c:pt idx="20">
                  <c:v>16.218100973589298</c:v>
                </c:pt>
                <c:pt idx="21">
                  <c:v>16.595869074375614</c:v>
                </c:pt>
                <c:pt idx="22">
                  <c:v>16.982436524617448</c:v>
                </c:pt>
                <c:pt idx="23">
                  <c:v>17.378008287493756</c:v>
                </c:pt>
                <c:pt idx="24">
                  <c:v>17.782794100389236</c:v>
                </c:pt>
                <c:pt idx="25">
                  <c:v>18.197008586099841</c:v>
                </c:pt>
                <c:pt idx="26">
                  <c:v>18.62087136662868</c:v>
                </c:pt>
                <c:pt idx="27">
                  <c:v>19.054607179632477</c:v>
                </c:pt>
                <c:pt idx="28">
                  <c:v>19.498445997580465</c:v>
                </c:pt>
                <c:pt idx="29">
                  <c:v>19.952623149688804</c:v>
                </c:pt>
                <c:pt idx="30">
                  <c:v>20.4173794466953</c:v>
                </c:pt>
                <c:pt idx="31">
                  <c:v>20.8929613085404</c:v>
                </c:pt>
                <c:pt idx="32">
                  <c:v>21.379620895022335</c:v>
                </c:pt>
                <c:pt idx="33">
                  <c:v>21.877616239495538</c:v>
                </c:pt>
                <c:pt idx="34">
                  <c:v>22.387211385683404</c:v>
                </c:pt>
                <c:pt idx="35">
                  <c:v>22.908676527677727</c:v>
                </c:pt>
                <c:pt idx="36">
                  <c:v>23.442288153199236</c:v>
                </c:pt>
                <c:pt idx="37">
                  <c:v>23.988329190194907</c:v>
                </c:pt>
                <c:pt idx="38">
                  <c:v>24.547089156850316</c:v>
                </c:pt>
                <c:pt idx="39">
                  <c:v>25.118864315095799</c:v>
                </c:pt>
                <c:pt idx="40">
                  <c:v>25.703957827688647</c:v>
                </c:pt>
                <c:pt idx="41">
                  <c:v>26.302679918953825</c:v>
                </c:pt>
                <c:pt idx="42">
                  <c:v>26.915348039269158</c:v>
                </c:pt>
                <c:pt idx="43">
                  <c:v>27.542287033381665</c:v>
                </c:pt>
                <c:pt idx="44">
                  <c:v>28.183829312644548</c:v>
                </c:pt>
                <c:pt idx="45">
                  <c:v>28.840315031266066</c:v>
                </c:pt>
                <c:pt idx="46">
                  <c:v>29.512092266663863</c:v>
                </c:pt>
                <c:pt idx="47">
                  <c:v>30.199517204020164</c:v>
                </c:pt>
                <c:pt idx="48">
                  <c:v>30.902954325135919</c:v>
                </c:pt>
                <c:pt idx="49">
                  <c:v>31.622776601683803</c:v>
                </c:pt>
                <c:pt idx="50">
                  <c:v>32.359365692962832</c:v>
                </c:pt>
                <c:pt idx="51">
                  <c:v>33.113112148259127</c:v>
                </c:pt>
                <c:pt idx="52">
                  <c:v>33.884415613920268</c:v>
                </c:pt>
                <c:pt idx="53">
                  <c:v>34.67368504525318</c:v>
                </c:pt>
                <c:pt idx="54">
                  <c:v>35.481338923357555</c:v>
                </c:pt>
                <c:pt idx="55">
                  <c:v>36.307805477010156</c:v>
                </c:pt>
                <c:pt idx="56">
                  <c:v>37.15352290971726</c:v>
                </c:pt>
                <c:pt idx="57">
                  <c:v>38.018939632056139</c:v>
                </c:pt>
                <c:pt idx="58">
                  <c:v>38.904514499428053</c:v>
                </c:pt>
                <c:pt idx="59">
                  <c:v>39.810717055349755</c:v>
                </c:pt>
                <c:pt idx="60">
                  <c:v>40.738027780411279</c:v>
                </c:pt>
                <c:pt idx="61">
                  <c:v>41.686938347033561</c:v>
                </c:pt>
                <c:pt idx="62">
                  <c:v>42.657951880159267</c:v>
                </c:pt>
                <c:pt idx="63">
                  <c:v>43.651583224016633</c:v>
                </c:pt>
                <c:pt idx="64">
                  <c:v>44.668359215096324</c:v>
                </c:pt>
                <c:pt idx="65">
                  <c:v>45.70881896148753</c:v>
                </c:pt>
                <c:pt idx="66">
                  <c:v>46.773514128719818</c:v>
                </c:pt>
                <c:pt idx="67">
                  <c:v>47.863009232263877</c:v>
                </c:pt>
                <c:pt idx="68">
                  <c:v>48.977881936844632</c:v>
                </c:pt>
                <c:pt idx="69">
                  <c:v>50.118723362727238</c:v>
                </c:pt>
                <c:pt idx="70">
                  <c:v>51.28613839913649</c:v>
                </c:pt>
                <c:pt idx="71">
                  <c:v>52.480746024977286</c:v>
                </c:pt>
                <c:pt idx="72">
                  <c:v>53.703179637025293</c:v>
                </c:pt>
                <c:pt idx="73">
                  <c:v>54.95408738576247</c:v>
                </c:pt>
                <c:pt idx="74">
                  <c:v>56.234132519034915</c:v>
                </c:pt>
                <c:pt idx="75">
                  <c:v>57.543993733715695</c:v>
                </c:pt>
                <c:pt idx="76">
                  <c:v>58.884365535558949</c:v>
                </c:pt>
                <c:pt idx="77">
                  <c:v>60.255958607435822</c:v>
                </c:pt>
                <c:pt idx="78">
                  <c:v>61.659500186148257</c:v>
                </c:pt>
                <c:pt idx="79">
                  <c:v>63.095734448019364</c:v>
                </c:pt>
                <c:pt idx="80">
                  <c:v>64.565422903465588</c:v>
                </c:pt>
                <c:pt idx="81">
                  <c:v>66.069344800759623</c:v>
                </c:pt>
                <c:pt idx="82">
                  <c:v>67.60829753919819</c:v>
                </c:pt>
                <c:pt idx="83">
                  <c:v>69.183097091893657</c:v>
                </c:pt>
                <c:pt idx="84">
                  <c:v>70.794578438413865</c:v>
                </c:pt>
                <c:pt idx="85">
                  <c:v>72.443596007499011</c:v>
                </c:pt>
                <c:pt idx="86">
                  <c:v>74.131024130091816</c:v>
                </c:pt>
                <c:pt idx="87">
                  <c:v>75.857757502918361</c:v>
                </c:pt>
                <c:pt idx="88">
                  <c:v>77.624711662869217</c:v>
                </c:pt>
                <c:pt idx="89">
                  <c:v>79.432823472428197</c:v>
                </c:pt>
                <c:pt idx="90">
                  <c:v>81.283051616409963</c:v>
                </c:pt>
                <c:pt idx="91">
                  <c:v>83.176377110267126</c:v>
                </c:pt>
                <c:pt idx="92">
                  <c:v>85.113803820237734</c:v>
                </c:pt>
                <c:pt idx="93">
                  <c:v>87.096358995608071</c:v>
                </c:pt>
                <c:pt idx="94">
                  <c:v>89.125093813374562</c:v>
                </c:pt>
                <c:pt idx="95">
                  <c:v>91.201083935590972</c:v>
                </c:pt>
                <c:pt idx="96">
                  <c:v>93.325430079699174</c:v>
                </c:pt>
                <c:pt idx="97">
                  <c:v>95.499258602143655</c:v>
                </c:pt>
                <c:pt idx="98">
                  <c:v>97.723722095581124</c:v>
                </c:pt>
                <c:pt idx="99">
                  <c:v>100</c:v>
                </c:pt>
                <c:pt idx="100">
                  <c:v>102.32929922807544</c:v>
                </c:pt>
                <c:pt idx="101">
                  <c:v>104.71285480508998</c:v>
                </c:pt>
                <c:pt idx="102">
                  <c:v>107.15193052376065</c:v>
                </c:pt>
                <c:pt idx="103">
                  <c:v>109.64781961431861</c:v>
                </c:pt>
                <c:pt idx="104">
                  <c:v>112.20184543019634</c:v>
                </c:pt>
                <c:pt idx="105">
                  <c:v>114.81536214968835</c:v>
                </c:pt>
                <c:pt idx="106">
                  <c:v>117.48975549395293</c:v>
                </c:pt>
                <c:pt idx="107">
                  <c:v>120.22644346174135</c:v>
                </c:pt>
                <c:pt idx="108">
                  <c:v>123.02687708123821</c:v>
                </c:pt>
                <c:pt idx="109">
                  <c:v>125.89254117941677</c:v>
                </c:pt>
                <c:pt idx="110">
                  <c:v>128.82495516931343</c:v>
                </c:pt>
                <c:pt idx="111">
                  <c:v>131.82567385564084</c:v>
                </c:pt>
                <c:pt idx="112">
                  <c:v>134.89628825916537</c:v>
                </c:pt>
                <c:pt idx="113">
                  <c:v>138.0384264602886</c:v>
                </c:pt>
                <c:pt idx="114">
                  <c:v>141.25375446227542</c:v>
                </c:pt>
                <c:pt idx="115">
                  <c:v>144.54397707459285</c:v>
                </c:pt>
                <c:pt idx="116">
                  <c:v>147.91083881682084</c:v>
                </c:pt>
                <c:pt idx="117">
                  <c:v>151.3561248436209</c:v>
                </c:pt>
                <c:pt idx="118">
                  <c:v>154.8816618912482</c:v>
                </c:pt>
                <c:pt idx="119">
                  <c:v>158.48931924611153</c:v>
                </c:pt>
                <c:pt idx="120">
                  <c:v>162.18100973589304</c:v>
                </c:pt>
                <c:pt idx="121">
                  <c:v>165.95869074375622</c:v>
                </c:pt>
                <c:pt idx="122">
                  <c:v>169.82436524617444</c:v>
                </c:pt>
                <c:pt idx="123">
                  <c:v>173.78008287493768</c:v>
                </c:pt>
                <c:pt idx="124">
                  <c:v>177.82794100389242</c:v>
                </c:pt>
                <c:pt idx="125">
                  <c:v>181.9700858609983</c:v>
                </c:pt>
                <c:pt idx="126">
                  <c:v>186.20871366628685</c:v>
                </c:pt>
                <c:pt idx="127">
                  <c:v>190.54607179632498</c:v>
                </c:pt>
                <c:pt idx="128">
                  <c:v>194.98445997580458</c:v>
                </c:pt>
                <c:pt idx="129">
                  <c:v>199.52623149688802</c:v>
                </c:pt>
                <c:pt idx="130">
                  <c:v>204.17379446695315</c:v>
                </c:pt>
                <c:pt idx="131">
                  <c:v>208.92961308540396</c:v>
                </c:pt>
                <c:pt idx="132">
                  <c:v>213.79620895022339</c:v>
                </c:pt>
                <c:pt idx="133">
                  <c:v>218.77616239495524</c:v>
                </c:pt>
                <c:pt idx="134">
                  <c:v>223.87211385683412</c:v>
                </c:pt>
                <c:pt idx="135">
                  <c:v>229.08676527677744</c:v>
                </c:pt>
                <c:pt idx="136">
                  <c:v>234.42288153199232</c:v>
                </c:pt>
                <c:pt idx="137">
                  <c:v>239.88329190194912</c:v>
                </c:pt>
                <c:pt idx="138">
                  <c:v>245.4708915685033</c:v>
                </c:pt>
                <c:pt idx="139">
                  <c:v>251.18864315095806</c:v>
                </c:pt>
                <c:pt idx="140">
                  <c:v>257.03957827688663</c:v>
                </c:pt>
                <c:pt idx="141">
                  <c:v>263.02679918953817</c:v>
                </c:pt>
                <c:pt idx="142">
                  <c:v>269.15348039269179</c:v>
                </c:pt>
                <c:pt idx="143">
                  <c:v>275.42287033381683</c:v>
                </c:pt>
                <c:pt idx="144">
                  <c:v>281.83829312644554</c:v>
                </c:pt>
                <c:pt idx="145">
                  <c:v>288.40315031266073</c:v>
                </c:pt>
                <c:pt idx="146">
                  <c:v>295.12092266663871</c:v>
                </c:pt>
                <c:pt idx="147">
                  <c:v>301.99517204020168</c:v>
                </c:pt>
                <c:pt idx="148">
                  <c:v>309.02954325135937</c:v>
                </c:pt>
                <c:pt idx="149">
                  <c:v>316.22776601683825</c:v>
                </c:pt>
                <c:pt idx="150">
                  <c:v>323.59365692962825</c:v>
                </c:pt>
                <c:pt idx="151">
                  <c:v>331.13112148259137</c:v>
                </c:pt>
                <c:pt idx="152">
                  <c:v>338.84415613920277</c:v>
                </c:pt>
                <c:pt idx="153">
                  <c:v>346.73685045253183</c:v>
                </c:pt>
                <c:pt idx="154">
                  <c:v>354.81338923357566</c:v>
                </c:pt>
                <c:pt idx="155">
                  <c:v>363.07805477010152</c:v>
                </c:pt>
                <c:pt idx="156">
                  <c:v>371.53522909717265</c:v>
                </c:pt>
                <c:pt idx="157">
                  <c:v>380.18939632056163</c:v>
                </c:pt>
                <c:pt idx="158">
                  <c:v>389.04514499428063</c:v>
                </c:pt>
                <c:pt idx="159">
                  <c:v>398.10717055349761</c:v>
                </c:pt>
                <c:pt idx="160">
                  <c:v>407.38027780411272</c:v>
                </c:pt>
                <c:pt idx="161">
                  <c:v>416.86938347033572</c:v>
                </c:pt>
                <c:pt idx="162">
                  <c:v>426.57951880159294</c:v>
                </c:pt>
                <c:pt idx="163">
                  <c:v>436.51583224016622</c:v>
                </c:pt>
                <c:pt idx="164">
                  <c:v>446.68359215096331</c:v>
                </c:pt>
                <c:pt idx="165">
                  <c:v>457.0881896148756</c:v>
                </c:pt>
                <c:pt idx="166">
                  <c:v>467.7351412871983</c:v>
                </c:pt>
                <c:pt idx="167">
                  <c:v>478.63009232263886</c:v>
                </c:pt>
                <c:pt idx="168">
                  <c:v>489.77881936844625</c:v>
                </c:pt>
                <c:pt idx="169">
                  <c:v>501.18723362727269</c:v>
                </c:pt>
                <c:pt idx="170">
                  <c:v>512.86138399136519</c:v>
                </c:pt>
                <c:pt idx="171">
                  <c:v>524.80746024977248</c:v>
                </c:pt>
                <c:pt idx="172">
                  <c:v>537.03179637025301</c:v>
                </c:pt>
                <c:pt idx="173">
                  <c:v>549.54087385762534</c:v>
                </c:pt>
                <c:pt idx="174">
                  <c:v>562.34132519034927</c:v>
                </c:pt>
                <c:pt idx="175">
                  <c:v>575.43993733715706</c:v>
                </c:pt>
                <c:pt idx="176">
                  <c:v>588.84365535558959</c:v>
                </c:pt>
                <c:pt idx="177">
                  <c:v>602.55958607435832</c:v>
                </c:pt>
                <c:pt idx="178">
                  <c:v>616.59500186148273</c:v>
                </c:pt>
                <c:pt idx="179">
                  <c:v>630.95734448019323</c:v>
                </c:pt>
                <c:pt idx="180">
                  <c:v>645.65422903465594</c:v>
                </c:pt>
                <c:pt idx="181">
                  <c:v>660.69344800759643</c:v>
                </c:pt>
                <c:pt idx="182">
                  <c:v>676.08297539198213</c:v>
                </c:pt>
                <c:pt idx="183">
                  <c:v>691.83097091893671</c:v>
                </c:pt>
                <c:pt idx="184">
                  <c:v>707.94578438413873</c:v>
                </c:pt>
                <c:pt idx="185">
                  <c:v>724.43596007499025</c:v>
                </c:pt>
                <c:pt idx="186">
                  <c:v>741.31024130091828</c:v>
                </c:pt>
                <c:pt idx="187">
                  <c:v>758.57757502918378</c:v>
                </c:pt>
                <c:pt idx="188">
                  <c:v>776.24711662869231</c:v>
                </c:pt>
                <c:pt idx="189">
                  <c:v>794.32823472428208</c:v>
                </c:pt>
                <c:pt idx="190">
                  <c:v>812.83051616409978</c:v>
                </c:pt>
                <c:pt idx="191">
                  <c:v>831.7637711026714</c:v>
                </c:pt>
                <c:pt idx="192">
                  <c:v>851.13803820237763</c:v>
                </c:pt>
                <c:pt idx="193">
                  <c:v>870.96358995608091</c:v>
                </c:pt>
                <c:pt idx="194">
                  <c:v>891.25093813374656</c:v>
                </c:pt>
                <c:pt idx="195">
                  <c:v>912.01083935590987</c:v>
                </c:pt>
                <c:pt idx="196">
                  <c:v>933.25430079699106</c:v>
                </c:pt>
                <c:pt idx="197">
                  <c:v>954.99258602143675</c:v>
                </c:pt>
                <c:pt idx="198">
                  <c:v>977.23722095581138</c:v>
                </c:pt>
                <c:pt idx="199">
                  <c:v>1000</c:v>
                </c:pt>
                <c:pt idx="200">
                  <c:v>1023.2929922807547</c:v>
                </c:pt>
                <c:pt idx="201">
                  <c:v>1047.1285480509</c:v>
                </c:pt>
                <c:pt idx="202">
                  <c:v>1071.5193052376069</c:v>
                </c:pt>
                <c:pt idx="203">
                  <c:v>1096.4781961431863</c:v>
                </c:pt>
                <c:pt idx="204">
                  <c:v>1122.0184543019636</c:v>
                </c:pt>
                <c:pt idx="205">
                  <c:v>1148.1536214968839</c:v>
                </c:pt>
                <c:pt idx="206">
                  <c:v>1174.8975549395295</c:v>
                </c:pt>
                <c:pt idx="207">
                  <c:v>1202.2644346174138</c:v>
                </c:pt>
                <c:pt idx="208">
                  <c:v>1230.2687708123824</c:v>
                </c:pt>
                <c:pt idx="209">
                  <c:v>1258.925411794168</c:v>
                </c:pt>
                <c:pt idx="210">
                  <c:v>1288.2495516931347</c:v>
                </c:pt>
                <c:pt idx="211">
                  <c:v>1318.2567385564089</c:v>
                </c:pt>
                <c:pt idx="212">
                  <c:v>1348.9628825916541</c:v>
                </c:pt>
                <c:pt idx="213">
                  <c:v>1380.3842646028863</c:v>
                </c:pt>
                <c:pt idx="214">
                  <c:v>1412.5375446227545</c:v>
                </c:pt>
                <c:pt idx="215">
                  <c:v>1445.4397707459289</c:v>
                </c:pt>
                <c:pt idx="216">
                  <c:v>1479.1083881682086</c:v>
                </c:pt>
                <c:pt idx="217">
                  <c:v>1513.5612484362093</c:v>
                </c:pt>
                <c:pt idx="218">
                  <c:v>1548.8166189124822</c:v>
                </c:pt>
                <c:pt idx="219">
                  <c:v>1584.8931924611156</c:v>
                </c:pt>
                <c:pt idx="220">
                  <c:v>1621.8100973589308</c:v>
                </c:pt>
                <c:pt idx="221">
                  <c:v>1659.5869074375626</c:v>
                </c:pt>
                <c:pt idx="222">
                  <c:v>1698.2436524617447</c:v>
                </c:pt>
                <c:pt idx="223">
                  <c:v>1737.8008287493772</c:v>
                </c:pt>
                <c:pt idx="224">
                  <c:v>1778.2794100389244</c:v>
                </c:pt>
                <c:pt idx="225">
                  <c:v>1819.7008586099832</c:v>
                </c:pt>
                <c:pt idx="226">
                  <c:v>1862.0871366628687</c:v>
                </c:pt>
                <c:pt idx="227">
                  <c:v>1905.4607179632501</c:v>
                </c:pt>
                <c:pt idx="228">
                  <c:v>1949.8445997580463</c:v>
                </c:pt>
                <c:pt idx="229">
                  <c:v>1995.2623149688804</c:v>
                </c:pt>
                <c:pt idx="230">
                  <c:v>2041.7379446695318</c:v>
                </c:pt>
                <c:pt idx="231">
                  <c:v>2089.2961308540398</c:v>
                </c:pt>
                <c:pt idx="232">
                  <c:v>2137.9620895022344</c:v>
                </c:pt>
                <c:pt idx="233">
                  <c:v>2187.7616239495528</c:v>
                </c:pt>
                <c:pt idx="234">
                  <c:v>2238.7211385683418</c:v>
                </c:pt>
                <c:pt idx="235">
                  <c:v>2290.8676527677749</c:v>
                </c:pt>
                <c:pt idx="236">
                  <c:v>2344.2288153199238</c:v>
                </c:pt>
                <c:pt idx="237">
                  <c:v>2398.8329190194918</c:v>
                </c:pt>
                <c:pt idx="238">
                  <c:v>2454.7089156850338</c:v>
                </c:pt>
                <c:pt idx="239">
                  <c:v>2511.8864315095811</c:v>
                </c:pt>
                <c:pt idx="240">
                  <c:v>2570.3957827688669</c:v>
                </c:pt>
                <c:pt idx="241">
                  <c:v>2630.2679918953822</c:v>
                </c:pt>
                <c:pt idx="242">
                  <c:v>2691.5348039269184</c:v>
                </c:pt>
                <c:pt idx="243">
                  <c:v>2754.228703338169</c:v>
                </c:pt>
                <c:pt idx="244">
                  <c:v>2818.3829312644561</c:v>
                </c:pt>
                <c:pt idx="245">
                  <c:v>2884.0315031266077</c:v>
                </c:pt>
                <c:pt idx="246">
                  <c:v>2951.2092266663876</c:v>
                </c:pt>
                <c:pt idx="247">
                  <c:v>3019.9517204020176</c:v>
                </c:pt>
                <c:pt idx="248">
                  <c:v>3090.295432513592</c:v>
                </c:pt>
                <c:pt idx="249">
                  <c:v>3162.2776601683804</c:v>
                </c:pt>
                <c:pt idx="250">
                  <c:v>3235.9365692962833</c:v>
                </c:pt>
                <c:pt idx="251">
                  <c:v>3311.3112148259115</c:v>
                </c:pt>
                <c:pt idx="252">
                  <c:v>3388.4415613920314</c:v>
                </c:pt>
                <c:pt idx="253">
                  <c:v>3467.3685045253224</c:v>
                </c:pt>
                <c:pt idx="254">
                  <c:v>3548.1338923357539</c:v>
                </c:pt>
                <c:pt idx="255">
                  <c:v>3630.7805477010188</c:v>
                </c:pt>
                <c:pt idx="256">
                  <c:v>3715.352290971724</c:v>
                </c:pt>
                <c:pt idx="257">
                  <c:v>3801.8939632056172</c:v>
                </c:pt>
                <c:pt idx="258">
                  <c:v>3890.451449942811</c:v>
                </c:pt>
                <c:pt idx="259">
                  <c:v>3981.0717055349769</c:v>
                </c:pt>
                <c:pt idx="260">
                  <c:v>4073.8027780411317</c:v>
                </c:pt>
                <c:pt idx="261">
                  <c:v>4168.6938347033583</c:v>
                </c:pt>
                <c:pt idx="262">
                  <c:v>4265.7951880159299</c:v>
                </c:pt>
                <c:pt idx="263">
                  <c:v>4365.1583224016631</c:v>
                </c:pt>
                <c:pt idx="264">
                  <c:v>4466.8359215096343</c:v>
                </c:pt>
                <c:pt idx="265">
                  <c:v>4570.8818961487532</c:v>
                </c:pt>
                <c:pt idx="266">
                  <c:v>4677.3514128719844</c:v>
                </c:pt>
                <c:pt idx="267">
                  <c:v>4786.3009232263848</c:v>
                </c:pt>
                <c:pt idx="268">
                  <c:v>4897.7881936844633</c:v>
                </c:pt>
                <c:pt idx="269">
                  <c:v>5011.8723362727324</c:v>
                </c:pt>
                <c:pt idx="270">
                  <c:v>5128.6138399136489</c:v>
                </c:pt>
                <c:pt idx="271">
                  <c:v>5248.0746024977261</c:v>
                </c:pt>
                <c:pt idx="272">
                  <c:v>5370.3179637025269</c:v>
                </c:pt>
                <c:pt idx="273">
                  <c:v>5495.4087385762541</c:v>
                </c:pt>
                <c:pt idx="274">
                  <c:v>5623.4132519034993</c:v>
                </c:pt>
                <c:pt idx="275">
                  <c:v>5754.399373371567</c:v>
                </c:pt>
                <c:pt idx="276">
                  <c:v>5888.4365535558973</c:v>
                </c:pt>
                <c:pt idx="277">
                  <c:v>6025.595860743585</c:v>
                </c:pt>
                <c:pt idx="278">
                  <c:v>6165.9500186148289</c:v>
                </c:pt>
                <c:pt idx="279">
                  <c:v>6309.5734448019384</c:v>
                </c:pt>
                <c:pt idx="280">
                  <c:v>6456.5422903465615</c:v>
                </c:pt>
                <c:pt idx="281">
                  <c:v>6606.9344800759654</c:v>
                </c:pt>
                <c:pt idx="282">
                  <c:v>6760.8297539198229</c:v>
                </c:pt>
                <c:pt idx="283">
                  <c:v>6918.3097091893687</c:v>
                </c:pt>
                <c:pt idx="284">
                  <c:v>7079.4578438413828</c:v>
                </c:pt>
                <c:pt idx="285">
                  <c:v>7244.3596007499036</c:v>
                </c:pt>
                <c:pt idx="286">
                  <c:v>7413.1024130091773</c:v>
                </c:pt>
                <c:pt idx="287">
                  <c:v>7585.7757502918394</c:v>
                </c:pt>
                <c:pt idx="288">
                  <c:v>7762.4711662869322</c:v>
                </c:pt>
                <c:pt idx="289">
                  <c:v>7943.2823472428154</c:v>
                </c:pt>
                <c:pt idx="290">
                  <c:v>8128.3051616410066</c:v>
                </c:pt>
                <c:pt idx="291">
                  <c:v>8317.6377110267094</c:v>
                </c:pt>
                <c:pt idx="292">
                  <c:v>8511.3803820237772</c:v>
                </c:pt>
                <c:pt idx="293">
                  <c:v>8709.6358995608189</c:v>
                </c:pt>
                <c:pt idx="294">
                  <c:v>8912.5093813374679</c:v>
                </c:pt>
                <c:pt idx="295">
                  <c:v>9120.1083935591087</c:v>
                </c:pt>
                <c:pt idx="296">
                  <c:v>9332.5430079699217</c:v>
                </c:pt>
                <c:pt idx="297">
                  <c:v>9549.9258602143691</c:v>
                </c:pt>
                <c:pt idx="298">
                  <c:v>9772.3722095581161</c:v>
                </c:pt>
                <c:pt idx="299">
                  <c:v>10000</c:v>
                </c:pt>
                <c:pt idx="300">
                  <c:v>10232.929922807549</c:v>
                </c:pt>
                <c:pt idx="301">
                  <c:v>10471.285480509003</c:v>
                </c:pt>
                <c:pt idx="302">
                  <c:v>10715.193052376071</c:v>
                </c:pt>
                <c:pt idx="303">
                  <c:v>10964.781961431856</c:v>
                </c:pt>
                <c:pt idx="304">
                  <c:v>11220.184543019639</c:v>
                </c:pt>
                <c:pt idx="305">
                  <c:v>11481.536214968832</c:v>
                </c:pt>
                <c:pt idx="306">
                  <c:v>11748.975549395318</c:v>
                </c:pt>
                <c:pt idx="307">
                  <c:v>12022.644346174151</c:v>
                </c:pt>
                <c:pt idx="308">
                  <c:v>12302.687708123816</c:v>
                </c:pt>
                <c:pt idx="309">
                  <c:v>12589.254117941671</c:v>
                </c:pt>
                <c:pt idx="310">
                  <c:v>12882.49551693136</c:v>
                </c:pt>
                <c:pt idx="311">
                  <c:v>13182.567385564091</c:v>
                </c:pt>
                <c:pt idx="312">
                  <c:v>13489.628825916556</c:v>
                </c:pt>
                <c:pt idx="313">
                  <c:v>13803.842646028841</c:v>
                </c:pt>
                <c:pt idx="314">
                  <c:v>14125.375446227561</c:v>
                </c:pt>
                <c:pt idx="315">
                  <c:v>14454.397707459291</c:v>
                </c:pt>
                <c:pt idx="316">
                  <c:v>14791.083881682089</c:v>
                </c:pt>
                <c:pt idx="317">
                  <c:v>15135.612484362096</c:v>
                </c:pt>
                <c:pt idx="318">
                  <c:v>15488.166189124853</c:v>
                </c:pt>
                <c:pt idx="319">
                  <c:v>15848.931924611146</c:v>
                </c:pt>
                <c:pt idx="320">
                  <c:v>16218.100973589309</c:v>
                </c:pt>
                <c:pt idx="321">
                  <c:v>16595.869074375616</c:v>
                </c:pt>
                <c:pt idx="322">
                  <c:v>16982.436524617482</c:v>
                </c:pt>
                <c:pt idx="323">
                  <c:v>17378.008287493791</c:v>
                </c:pt>
                <c:pt idx="324">
                  <c:v>17782.794100389234</c:v>
                </c:pt>
                <c:pt idx="325">
                  <c:v>18197.008586099837</c:v>
                </c:pt>
                <c:pt idx="326">
                  <c:v>18620.871366628675</c:v>
                </c:pt>
                <c:pt idx="327">
                  <c:v>19054.607179632505</c:v>
                </c:pt>
                <c:pt idx="328">
                  <c:v>19498.445997580486</c:v>
                </c:pt>
                <c:pt idx="329">
                  <c:v>19952.623149688792</c:v>
                </c:pt>
                <c:pt idx="330">
                  <c:v>20417.379446695286</c:v>
                </c:pt>
                <c:pt idx="331">
                  <c:v>20892.961308540423</c:v>
                </c:pt>
                <c:pt idx="332">
                  <c:v>21379.620895022348</c:v>
                </c:pt>
                <c:pt idx="333">
                  <c:v>21877.61623949555</c:v>
                </c:pt>
                <c:pt idx="334">
                  <c:v>22387.211385683382</c:v>
                </c:pt>
                <c:pt idx="335">
                  <c:v>22908.676527677751</c:v>
                </c:pt>
                <c:pt idx="336">
                  <c:v>23442.288153199243</c:v>
                </c:pt>
                <c:pt idx="337">
                  <c:v>23988.329190194923</c:v>
                </c:pt>
                <c:pt idx="338">
                  <c:v>24547.089156850321</c:v>
                </c:pt>
                <c:pt idx="339">
                  <c:v>25118.86431509586</c:v>
                </c:pt>
                <c:pt idx="340">
                  <c:v>25703.95782768865</c:v>
                </c:pt>
                <c:pt idx="341">
                  <c:v>26302.679918953829</c:v>
                </c:pt>
                <c:pt idx="342">
                  <c:v>26915.348039269167</c:v>
                </c:pt>
                <c:pt idx="343">
                  <c:v>27542.287033381719</c:v>
                </c:pt>
                <c:pt idx="344">
                  <c:v>28183.829312644593</c:v>
                </c:pt>
                <c:pt idx="345">
                  <c:v>28840.315031266062</c:v>
                </c:pt>
                <c:pt idx="346">
                  <c:v>29512.092266663854</c:v>
                </c:pt>
                <c:pt idx="347">
                  <c:v>30199.517204020212</c:v>
                </c:pt>
                <c:pt idx="348">
                  <c:v>30902.954325135954</c:v>
                </c:pt>
                <c:pt idx="349">
                  <c:v>31622.77660168384</c:v>
                </c:pt>
                <c:pt idx="350">
                  <c:v>32359.365692962871</c:v>
                </c:pt>
                <c:pt idx="351">
                  <c:v>33113.11214825909</c:v>
                </c:pt>
                <c:pt idx="352">
                  <c:v>33884.41561392029</c:v>
                </c:pt>
                <c:pt idx="353">
                  <c:v>34673.685045253202</c:v>
                </c:pt>
                <c:pt idx="354">
                  <c:v>35481.33892335758</c:v>
                </c:pt>
                <c:pt idx="355">
                  <c:v>36307.805477010232</c:v>
                </c:pt>
                <c:pt idx="356">
                  <c:v>37153.522909717351</c:v>
                </c:pt>
                <c:pt idx="357">
                  <c:v>38018.939632056143</c:v>
                </c:pt>
                <c:pt idx="358">
                  <c:v>38904.514499428085</c:v>
                </c:pt>
                <c:pt idx="359">
                  <c:v>39810.717055349742</c:v>
                </c:pt>
                <c:pt idx="360">
                  <c:v>40738.027780411358</c:v>
                </c:pt>
                <c:pt idx="361">
                  <c:v>41686.938347033625</c:v>
                </c:pt>
                <c:pt idx="362">
                  <c:v>42657.951880159271</c:v>
                </c:pt>
                <c:pt idx="363">
                  <c:v>43651.583224016598</c:v>
                </c:pt>
                <c:pt idx="364">
                  <c:v>44668.359215096389</c:v>
                </c:pt>
                <c:pt idx="365">
                  <c:v>45708.818961487581</c:v>
                </c:pt>
                <c:pt idx="366">
                  <c:v>46773.514128719893</c:v>
                </c:pt>
                <c:pt idx="367">
                  <c:v>47863.009232263823</c:v>
                </c:pt>
                <c:pt idx="368">
                  <c:v>48977.881936844598</c:v>
                </c:pt>
                <c:pt idx="369">
                  <c:v>50118.723362727294</c:v>
                </c:pt>
                <c:pt idx="370">
                  <c:v>51286.138399136544</c:v>
                </c:pt>
                <c:pt idx="371">
                  <c:v>52480.746024977314</c:v>
                </c:pt>
                <c:pt idx="372">
                  <c:v>53703.179637025423</c:v>
                </c:pt>
                <c:pt idx="373">
                  <c:v>54954.087385762505</c:v>
                </c:pt>
                <c:pt idx="374">
                  <c:v>56234.132519034953</c:v>
                </c:pt>
                <c:pt idx="375">
                  <c:v>57543.993733715732</c:v>
                </c:pt>
                <c:pt idx="376">
                  <c:v>58884.365535558936</c:v>
                </c:pt>
                <c:pt idx="377">
                  <c:v>60255.95860743591</c:v>
                </c:pt>
                <c:pt idx="378">
                  <c:v>61659.500186148245</c:v>
                </c:pt>
                <c:pt idx="379">
                  <c:v>63095.734448019342</c:v>
                </c:pt>
                <c:pt idx="380">
                  <c:v>64565.422903465682</c:v>
                </c:pt>
                <c:pt idx="381">
                  <c:v>66069.344800759733</c:v>
                </c:pt>
                <c:pt idx="382">
                  <c:v>67608.297539198305</c:v>
                </c:pt>
                <c:pt idx="383">
                  <c:v>69183.097091893651</c:v>
                </c:pt>
                <c:pt idx="384">
                  <c:v>70794.578438413781</c:v>
                </c:pt>
                <c:pt idx="385">
                  <c:v>72443.596007499116</c:v>
                </c:pt>
                <c:pt idx="386">
                  <c:v>74131.024130091857</c:v>
                </c:pt>
                <c:pt idx="387">
                  <c:v>75857.757502918481</c:v>
                </c:pt>
                <c:pt idx="388">
                  <c:v>77624.711662869129</c:v>
                </c:pt>
                <c:pt idx="389">
                  <c:v>79432.823472428237</c:v>
                </c:pt>
                <c:pt idx="390">
                  <c:v>81283.051616410012</c:v>
                </c:pt>
                <c:pt idx="391">
                  <c:v>83176.377110267174</c:v>
                </c:pt>
                <c:pt idx="392">
                  <c:v>85113.803820237721</c:v>
                </c:pt>
                <c:pt idx="393">
                  <c:v>87096.358995608127</c:v>
                </c:pt>
                <c:pt idx="394">
                  <c:v>89125.093813374609</c:v>
                </c:pt>
                <c:pt idx="395">
                  <c:v>91201.083935591028</c:v>
                </c:pt>
                <c:pt idx="396">
                  <c:v>93325.430079699145</c:v>
                </c:pt>
                <c:pt idx="397">
                  <c:v>95499.258602143804</c:v>
                </c:pt>
                <c:pt idx="398">
                  <c:v>97723.722095581266</c:v>
                </c:pt>
                <c:pt idx="399">
                  <c:v>100000</c:v>
                </c:pt>
                <c:pt idx="400">
                  <c:v>102329.29922807543</c:v>
                </c:pt>
                <c:pt idx="401">
                  <c:v>104712.85480508996</c:v>
                </c:pt>
                <c:pt idx="402">
                  <c:v>107151.93052376082</c:v>
                </c:pt>
                <c:pt idx="403">
                  <c:v>109647.81961431868</c:v>
                </c:pt>
                <c:pt idx="404">
                  <c:v>112201.84543019651</c:v>
                </c:pt>
                <c:pt idx="405">
                  <c:v>114815.36214968823</c:v>
                </c:pt>
                <c:pt idx="406">
                  <c:v>117489.75549395311</c:v>
                </c:pt>
                <c:pt idx="407">
                  <c:v>120226.44346174144</c:v>
                </c:pt>
                <c:pt idx="408">
                  <c:v>123026.87708123829</c:v>
                </c:pt>
                <c:pt idx="409">
                  <c:v>125892.54117941685</c:v>
                </c:pt>
                <c:pt idx="410">
                  <c:v>128824.95516931375</c:v>
                </c:pt>
                <c:pt idx="411">
                  <c:v>131825.67385564081</c:v>
                </c:pt>
                <c:pt idx="412">
                  <c:v>134896.28825916545</c:v>
                </c:pt>
                <c:pt idx="413">
                  <c:v>138038.42646028858</c:v>
                </c:pt>
                <c:pt idx="414">
                  <c:v>141253.75446227577</c:v>
                </c:pt>
                <c:pt idx="415">
                  <c:v>144543.97707459307</c:v>
                </c:pt>
                <c:pt idx="416">
                  <c:v>147910.83881682079</c:v>
                </c:pt>
                <c:pt idx="417">
                  <c:v>151356.12484362084</c:v>
                </c:pt>
                <c:pt idx="418">
                  <c:v>154881.66189124843</c:v>
                </c:pt>
                <c:pt idx="419">
                  <c:v>158489.31924611164</c:v>
                </c:pt>
                <c:pt idx="420">
                  <c:v>162181.00973589328</c:v>
                </c:pt>
                <c:pt idx="421">
                  <c:v>165958.69074375604</c:v>
                </c:pt>
                <c:pt idx="422">
                  <c:v>169824.36524617471</c:v>
                </c:pt>
                <c:pt idx="423">
                  <c:v>173780.0828749378</c:v>
                </c:pt>
                <c:pt idx="424">
                  <c:v>177827.94100389251</c:v>
                </c:pt>
                <c:pt idx="425">
                  <c:v>181970.08586099857</c:v>
                </c:pt>
                <c:pt idx="426">
                  <c:v>186208.71366628664</c:v>
                </c:pt>
                <c:pt idx="427">
                  <c:v>190546.07179632492</c:v>
                </c:pt>
                <c:pt idx="428">
                  <c:v>194984.45997580473</c:v>
                </c:pt>
                <c:pt idx="429">
                  <c:v>199526.23149688813</c:v>
                </c:pt>
                <c:pt idx="430">
                  <c:v>204173.79446695308</c:v>
                </c:pt>
                <c:pt idx="431">
                  <c:v>208929.61308540447</c:v>
                </c:pt>
                <c:pt idx="432">
                  <c:v>213796.20895022334</c:v>
                </c:pt>
                <c:pt idx="433">
                  <c:v>218776.16239495538</c:v>
                </c:pt>
                <c:pt idx="434">
                  <c:v>223872.11385683404</c:v>
                </c:pt>
                <c:pt idx="435">
                  <c:v>229086.76527677779</c:v>
                </c:pt>
                <c:pt idx="436">
                  <c:v>234422.88153199267</c:v>
                </c:pt>
                <c:pt idx="437">
                  <c:v>239883.29190194907</c:v>
                </c:pt>
                <c:pt idx="438">
                  <c:v>245470.89156850305</c:v>
                </c:pt>
                <c:pt idx="439">
                  <c:v>251188.64315095844</c:v>
                </c:pt>
                <c:pt idx="440">
                  <c:v>257039.57827688678</c:v>
                </c:pt>
                <c:pt idx="441">
                  <c:v>263026.79918953858</c:v>
                </c:pt>
                <c:pt idx="442">
                  <c:v>269153.48039269145</c:v>
                </c:pt>
                <c:pt idx="443">
                  <c:v>275422.87033381703</c:v>
                </c:pt>
                <c:pt idx="444">
                  <c:v>281838.29312644573</c:v>
                </c:pt>
                <c:pt idx="445">
                  <c:v>288403.1503126609</c:v>
                </c:pt>
                <c:pt idx="446">
                  <c:v>295120.92266663886</c:v>
                </c:pt>
                <c:pt idx="447">
                  <c:v>301995.17204020242</c:v>
                </c:pt>
                <c:pt idx="448">
                  <c:v>309029.54325135931</c:v>
                </c:pt>
                <c:pt idx="449">
                  <c:v>316227.7660168382</c:v>
                </c:pt>
                <c:pt idx="450">
                  <c:v>323593.65692962846</c:v>
                </c:pt>
                <c:pt idx="451">
                  <c:v>331131.12148259126</c:v>
                </c:pt>
                <c:pt idx="452">
                  <c:v>338844.15613920329</c:v>
                </c:pt>
                <c:pt idx="453">
                  <c:v>346736.85045253241</c:v>
                </c:pt>
                <c:pt idx="454">
                  <c:v>354813.38923357555</c:v>
                </c:pt>
                <c:pt idx="455">
                  <c:v>363078.05477010203</c:v>
                </c:pt>
                <c:pt idx="456">
                  <c:v>371535.2290971732</c:v>
                </c:pt>
                <c:pt idx="457">
                  <c:v>380189.39632056188</c:v>
                </c:pt>
                <c:pt idx="458">
                  <c:v>389045.14499428123</c:v>
                </c:pt>
                <c:pt idx="459">
                  <c:v>398107.17055349716</c:v>
                </c:pt>
                <c:pt idx="460">
                  <c:v>407380.27780411334</c:v>
                </c:pt>
                <c:pt idx="461">
                  <c:v>416869.38347033598</c:v>
                </c:pt>
                <c:pt idx="462">
                  <c:v>426579.51880159322</c:v>
                </c:pt>
                <c:pt idx="463">
                  <c:v>436515.83224016649</c:v>
                </c:pt>
                <c:pt idx="464">
                  <c:v>446683.59215096442</c:v>
                </c:pt>
                <c:pt idx="465">
                  <c:v>457088.18961487547</c:v>
                </c:pt>
                <c:pt idx="466">
                  <c:v>467735.14128719864</c:v>
                </c:pt>
                <c:pt idx="467">
                  <c:v>478630.09232263872</c:v>
                </c:pt>
                <c:pt idx="468">
                  <c:v>489778.81936844654</c:v>
                </c:pt>
                <c:pt idx="469">
                  <c:v>501187.23362727347</c:v>
                </c:pt>
                <c:pt idx="470">
                  <c:v>512861.38399136515</c:v>
                </c:pt>
                <c:pt idx="471">
                  <c:v>524807.46024977288</c:v>
                </c:pt>
                <c:pt idx="472">
                  <c:v>537031.7963702539</c:v>
                </c:pt>
                <c:pt idx="473">
                  <c:v>549540.87385762564</c:v>
                </c:pt>
                <c:pt idx="474">
                  <c:v>562341.32519035018</c:v>
                </c:pt>
                <c:pt idx="475">
                  <c:v>575439.93733715697</c:v>
                </c:pt>
                <c:pt idx="476">
                  <c:v>588843.65535558888</c:v>
                </c:pt>
                <c:pt idx="477">
                  <c:v>602559.58607435878</c:v>
                </c:pt>
                <c:pt idx="478">
                  <c:v>616595.00186148309</c:v>
                </c:pt>
                <c:pt idx="479">
                  <c:v>630957.34448019415</c:v>
                </c:pt>
                <c:pt idx="480">
                  <c:v>645654.22903465747</c:v>
                </c:pt>
                <c:pt idx="481">
                  <c:v>660693.44800759677</c:v>
                </c:pt>
                <c:pt idx="482">
                  <c:v>676082.97539198259</c:v>
                </c:pt>
                <c:pt idx="483">
                  <c:v>691830.97091893724</c:v>
                </c:pt>
                <c:pt idx="484">
                  <c:v>707945.78438413853</c:v>
                </c:pt>
                <c:pt idx="485">
                  <c:v>724435.96007499192</c:v>
                </c:pt>
                <c:pt idx="486">
                  <c:v>741310.24130091805</c:v>
                </c:pt>
                <c:pt idx="487">
                  <c:v>758577.57502918423</c:v>
                </c:pt>
                <c:pt idx="488">
                  <c:v>776247.11662869214</c:v>
                </c:pt>
                <c:pt idx="489">
                  <c:v>794328.23472428333</c:v>
                </c:pt>
                <c:pt idx="490">
                  <c:v>812830.51616410096</c:v>
                </c:pt>
                <c:pt idx="491">
                  <c:v>831763.77110267128</c:v>
                </c:pt>
                <c:pt idx="492">
                  <c:v>851138.03820237669</c:v>
                </c:pt>
                <c:pt idx="493">
                  <c:v>870963.58995608077</c:v>
                </c:pt>
                <c:pt idx="494">
                  <c:v>891250.93813374708</c:v>
                </c:pt>
                <c:pt idx="495">
                  <c:v>912010.83935591124</c:v>
                </c:pt>
                <c:pt idx="496">
                  <c:v>933254.30079699249</c:v>
                </c:pt>
                <c:pt idx="497">
                  <c:v>954992.58602143743</c:v>
                </c:pt>
                <c:pt idx="498">
                  <c:v>977237.22095581202</c:v>
                </c:pt>
                <c:pt idx="499">
                  <c:v>1000000</c:v>
                </c:pt>
                <c:pt idx="500">
                  <c:v>1023292.9922807553</c:v>
                </c:pt>
                <c:pt idx="501">
                  <c:v>1047128.5480509007</c:v>
                </c:pt>
                <c:pt idx="502">
                  <c:v>1071519.3052376076</c:v>
                </c:pt>
                <c:pt idx="503">
                  <c:v>1096478.196143186</c:v>
                </c:pt>
                <c:pt idx="504">
                  <c:v>1122018.4543019643</c:v>
                </c:pt>
                <c:pt idx="505">
                  <c:v>1148153.6214968837</c:v>
                </c:pt>
                <c:pt idx="506">
                  <c:v>1174897.5549395324</c:v>
                </c:pt>
                <c:pt idx="507">
                  <c:v>1202264.4346174158</c:v>
                </c:pt>
                <c:pt idx="508">
                  <c:v>1230268.770812382</c:v>
                </c:pt>
                <c:pt idx="509">
                  <c:v>1258925.4117941677</c:v>
                </c:pt>
                <c:pt idx="510">
                  <c:v>1288249.5516931366</c:v>
                </c:pt>
                <c:pt idx="511">
                  <c:v>1318256.7385564097</c:v>
                </c:pt>
                <c:pt idx="512">
                  <c:v>1348962.8825916562</c:v>
                </c:pt>
                <c:pt idx="513">
                  <c:v>1380384.2646028849</c:v>
                </c:pt>
                <c:pt idx="514">
                  <c:v>1412537.5446227565</c:v>
                </c:pt>
                <c:pt idx="515">
                  <c:v>1445439.7707459298</c:v>
                </c:pt>
                <c:pt idx="516">
                  <c:v>1479108.3881682095</c:v>
                </c:pt>
                <c:pt idx="517">
                  <c:v>1513561.2484362102</c:v>
                </c:pt>
                <c:pt idx="518">
                  <c:v>1548816.6189124861</c:v>
                </c:pt>
                <c:pt idx="519">
                  <c:v>1584893.1924611153</c:v>
                </c:pt>
                <c:pt idx="520">
                  <c:v>1621810.0973589318</c:v>
                </c:pt>
                <c:pt idx="521">
                  <c:v>1659586.9074375622</c:v>
                </c:pt>
                <c:pt idx="522">
                  <c:v>1698243.6524617488</c:v>
                </c:pt>
                <c:pt idx="523">
                  <c:v>1737800.8287493798</c:v>
                </c:pt>
                <c:pt idx="524">
                  <c:v>1778279.4100389241</c:v>
                </c:pt>
                <c:pt idx="525">
                  <c:v>1819700.8586099846</c:v>
                </c:pt>
                <c:pt idx="526">
                  <c:v>1862087.1366628683</c:v>
                </c:pt>
                <c:pt idx="527">
                  <c:v>1905460.7179632513</c:v>
                </c:pt>
                <c:pt idx="528">
                  <c:v>1949844.5997580495</c:v>
                </c:pt>
                <c:pt idx="529">
                  <c:v>1995262.31496888</c:v>
                </c:pt>
                <c:pt idx="530">
                  <c:v>2041737.9446695296</c:v>
                </c:pt>
                <c:pt idx="531">
                  <c:v>2089296.1308540432</c:v>
                </c:pt>
                <c:pt idx="532">
                  <c:v>2137962.0895022359</c:v>
                </c:pt>
                <c:pt idx="533">
                  <c:v>2187761.6239495561</c:v>
                </c:pt>
                <c:pt idx="534">
                  <c:v>2238721.1385683389</c:v>
                </c:pt>
                <c:pt idx="535">
                  <c:v>2290867.6527677765</c:v>
                </c:pt>
                <c:pt idx="536">
                  <c:v>2344228.8153199251</c:v>
                </c:pt>
                <c:pt idx="537">
                  <c:v>2398832.9190194933</c:v>
                </c:pt>
                <c:pt idx="538">
                  <c:v>2454708.915685033</c:v>
                </c:pt>
                <c:pt idx="539">
                  <c:v>2511886.431509587</c:v>
                </c:pt>
                <c:pt idx="540">
                  <c:v>2570395.782768866</c:v>
                </c:pt>
                <c:pt idx="541">
                  <c:v>2630267.9918953842</c:v>
                </c:pt>
              </c:numCache>
            </c:numRef>
          </c:xVal>
          <c:yVal>
            <c:numRef>
              <c:f>CCM_Loop_Modeling_Isolated!$AW$19:$AW$560</c:f>
              <c:numCache>
                <c:formatCode>0.000</c:formatCode>
                <c:ptCount val="542"/>
                <c:pt idx="0">
                  <c:v>93.796652833848754</c:v>
                </c:pt>
                <c:pt idx="1">
                  <c:v>93.779335630008774</c:v>
                </c:pt>
                <c:pt idx="2">
                  <c:v>93.761277270838207</c:v>
                </c:pt>
                <c:pt idx="3">
                  <c:v>93.742448809036972</c:v>
                </c:pt>
                <c:pt idx="4">
                  <c:v>93.722820454789883</c:v>
                </c:pt>
                <c:pt idx="5">
                  <c:v>93.702361574350221</c:v>
                </c:pt>
                <c:pt idx="6">
                  <c:v>93.681040690996028</c:v>
                </c:pt>
                <c:pt idx="7">
                  <c:v>93.658825488557596</c:v>
                </c:pt>
                <c:pt idx="8">
                  <c:v>93.635682817719243</c:v>
                </c:pt>
                <c:pt idx="9">
                  <c:v>93.611578705299706</c:v>
                </c:pt>
                <c:pt idx="10">
                  <c:v>93.586478366718183</c:v>
                </c:pt>
                <c:pt idx="11">
                  <c:v>93.560346221850992</c:v>
                </c:pt>
                <c:pt idx="12">
                  <c:v>93.533145914482873</c:v>
                </c:pt>
                <c:pt idx="13">
                  <c:v>93.504840335551251</c:v>
                </c:pt>
                <c:pt idx="14">
                  <c:v>93.475391650375443</c:v>
                </c:pt>
                <c:pt idx="15">
                  <c:v>93.444761330053723</c:v>
                </c:pt>
                <c:pt idx="16">
                  <c:v>93.412910187198236</c:v>
                </c:pt>
                <c:pt idx="17">
                  <c:v>93.379798416163709</c:v>
                </c:pt>
                <c:pt idx="18">
                  <c:v>93.345385637907142</c:v>
                </c:pt>
                <c:pt idx="19">
                  <c:v>93.309630949594975</c:v>
                </c:pt>
                <c:pt idx="20">
                  <c:v>93.27249297904892</c:v>
                </c:pt>
                <c:pt idx="21">
                  <c:v>93.233929944095308</c:v>
                </c:pt>
                <c:pt idx="22">
                  <c:v>93.193899716848165</c:v>
                </c:pt>
                <c:pt idx="23">
                  <c:v>93.152359892927706</c:v>
                </c:pt>
                <c:pt idx="24">
                  <c:v>93.109267865568739</c:v>
                </c:pt>
                <c:pt idx="25">
                  <c:v>93.064580904543988</c:v>
                </c:pt>
                <c:pt idx="26">
                  <c:v>93.018256239771873</c:v>
                </c:pt>
                <c:pt idx="27">
                  <c:v>92.970251149441452</c:v>
                </c:pt>
                <c:pt idx="28">
                  <c:v>92.920523052432088</c:v>
                </c:pt>
                <c:pt idx="29">
                  <c:v>92.869029604758566</c:v>
                </c:pt>
                <c:pt idx="30">
                  <c:v>92.815728799720759</c:v>
                </c:pt>
                <c:pt idx="31">
                  <c:v>92.760579071382082</c:v>
                </c:pt>
                <c:pt idx="32">
                  <c:v>92.703539400953971</c:v>
                </c:pt>
                <c:pt idx="33">
                  <c:v>92.644569425608722</c:v>
                </c:pt>
                <c:pt idx="34">
                  <c:v>92.583629549195592</c:v>
                </c:pt>
                <c:pt idx="35">
                  <c:v>92.520681054288417</c:v>
                </c:pt>
                <c:pt idx="36">
                  <c:v>92.455686214951299</c:v>
                </c:pt>
                <c:pt idx="37">
                  <c:v>92.388608409568405</c:v>
                </c:pt>
                <c:pt idx="38">
                  <c:v>92.31941223305148</c:v>
                </c:pt>
                <c:pt idx="39">
                  <c:v>92.248063607713235</c:v>
                </c:pt>
                <c:pt idx="40">
                  <c:v>92.174529892072954</c:v>
                </c:pt>
                <c:pt idx="41">
                  <c:v>92.098779986849152</c:v>
                </c:pt>
                <c:pt idx="42">
                  <c:v>92.020784437391129</c:v>
                </c:pt>
                <c:pt idx="43">
                  <c:v>91.940515531805403</c:v>
                </c:pt>
                <c:pt idx="44">
                  <c:v>91.857947394048324</c:v>
                </c:pt>
                <c:pt idx="45">
                  <c:v>91.773056071279399</c:v>
                </c:pt>
                <c:pt idx="46">
                  <c:v>91.685819614804629</c:v>
                </c:pt>
                <c:pt idx="47">
                  <c:v>91.596218153981766</c:v>
                </c:pt>
                <c:pt idx="48">
                  <c:v>91.504233962510554</c:v>
                </c:pt>
                <c:pt idx="49">
                  <c:v>91.409851516594102</c:v>
                </c:pt>
                <c:pt idx="50">
                  <c:v>91.313057544524952</c:v>
                </c:pt>
                <c:pt idx="51">
                  <c:v>91.213841067324907</c:v>
                </c:pt>
                <c:pt idx="52">
                  <c:v>91.112193430150853</c:v>
                </c:pt>
                <c:pt idx="53">
                  <c:v>91.008108324264398</c:v>
                </c:pt>
                <c:pt idx="54">
                  <c:v>90.901581799453908</c:v>
                </c:pt>
                <c:pt idx="55">
                  <c:v>90.792612266889194</c:v>
                </c:pt>
                <c:pt idx="56">
                  <c:v>90.681200492483583</c:v>
                </c:pt>
                <c:pt idx="57">
                  <c:v>90.567349580926816</c:v>
                </c:pt>
                <c:pt idx="58">
                  <c:v>90.451064950646554</c:v>
                </c:pt>
                <c:pt idx="59">
                  <c:v>90.332354300038432</c:v>
                </c:pt>
                <c:pt idx="60">
                  <c:v>90.211227565386224</c:v>
                </c:pt>
                <c:pt idx="61">
                  <c:v>90.087696870970547</c:v>
                </c:pt>
                <c:pt idx="62">
                  <c:v>89.961776471926242</c:v>
                </c:pt>
                <c:pt idx="63">
                  <c:v>89.833482690472977</c:v>
                </c:pt>
                <c:pt idx="64">
                  <c:v>89.702833846186763</c:v>
                </c:pt>
                <c:pt idx="65">
                  <c:v>89.569850181022574</c:v>
                </c:pt>
                <c:pt idx="66">
                  <c:v>89.43455377982508</c:v>
                </c:pt>
                <c:pt idx="67">
                  <c:v>89.296968487082268</c:v>
                </c:pt>
                <c:pt idx="68">
                  <c:v>89.157119820683377</c:v>
                </c:pt>
                <c:pt idx="69">
                  <c:v>89.015034883440336</c:v>
                </c:pt>
                <c:pt idx="70">
                  <c:v>88.870742273114161</c:v>
                </c:pt>
                <c:pt idx="71">
                  <c:v>88.724271991669198</c:v>
                </c:pt>
                <c:pt idx="72">
                  <c:v>88.575655354439419</c:v>
                </c:pt>
                <c:pt idx="73">
                  <c:v>88.424924899853806</c:v>
                </c:pt>
                <c:pt idx="74">
                  <c:v>88.272114300316176</c:v>
                </c:pt>
                <c:pt idx="75">
                  <c:v>88.117258274780284</c:v>
                </c:pt>
                <c:pt idx="76">
                  <c:v>87.960392503499648</c:v>
                </c:pt>
                <c:pt idx="77">
                  <c:v>87.801553545365906</c:v>
                </c:pt>
                <c:pt idx="78">
                  <c:v>87.640778758180147</c:v>
                </c:pt>
                <c:pt idx="79">
                  <c:v>87.4781062221318</c:v>
                </c:pt>
                <c:pt idx="80">
                  <c:v>87.313574666686662</c:v>
                </c:pt>
                <c:pt idx="81">
                  <c:v>87.147223401012639</c:v>
                </c:pt>
                <c:pt idx="82">
                  <c:v>86.979092248004761</c:v>
                </c:pt>
                <c:pt idx="83">
                  <c:v>86.809221481897538</c:v>
                </c:pt>
                <c:pt idx="84">
                  <c:v>86.637651769392335</c:v>
                </c:pt>
                <c:pt idx="85">
                  <c:v>86.464424114163819</c:v>
                </c:pt>
                <c:pt idx="86">
                  <c:v>86.289579804553938</c:v>
                </c:pt>
                <c:pt idx="87">
                  <c:v>86.113160364214011</c:v>
                </c:pt>
                <c:pt idx="88">
                  <c:v>85.935207505410858</c:v>
                </c:pt>
                <c:pt idx="89">
                  <c:v>85.755763084676516</c:v>
                </c:pt>
                <c:pt idx="90">
                  <c:v>85.574869060454901</c:v>
                </c:pt>
                <c:pt idx="91">
                  <c:v>85.392567452377108</c:v>
                </c:pt>
                <c:pt idx="92">
                  <c:v>85.208900301784936</c:v>
                </c:pt>
                <c:pt idx="93">
                  <c:v>85.023909633122059</c:v>
                </c:pt>
                <c:pt idx="94">
                  <c:v>84.837637415811727</c:v>
                </c:pt>
                <c:pt idx="95">
                  <c:v>84.650125526260382</c:v>
                </c:pt>
                <c:pt idx="96">
                  <c:v>84.461415709640718</c:v>
                </c:pt>
                <c:pt idx="97">
                  <c:v>84.271549541142576</c:v>
                </c:pt>
                <c:pt idx="98">
                  <c:v>84.080568386411073</c:v>
                </c:pt>
                <c:pt idx="99">
                  <c:v>83.888513360936088</c:v>
                </c:pt>
                <c:pt idx="100">
                  <c:v>83.695425288202188</c:v>
                </c:pt>
                <c:pt idx="101">
                  <c:v>83.501344656460347</c:v>
                </c:pt>
                <c:pt idx="102">
                  <c:v>83.306311574036556</c:v>
                </c:pt>
                <c:pt idx="103">
                  <c:v>83.110365723148448</c:v>
                </c:pt>
                <c:pt idx="104">
                  <c:v>82.913546312258006</c:v>
                </c:pt>
                <c:pt idx="105">
                  <c:v>82.715892027045129</c:v>
                </c:pt>
                <c:pt idx="106">
                  <c:v>82.517440980141984</c:v>
                </c:pt>
                <c:pt idx="107">
                  <c:v>82.318230659817175</c:v>
                </c:pt>
                <c:pt idx="108">
                  <c:v>82.118297877850637</c:v>
                </c:pt>
                <c:pt idx="109">
                  <c:v>81.917678716878299</c:v>
                </c:pt>
                <c:pt idx="110">
                  <c:v>81.716408477525576</c:v>
                </c:pt>
                <c:pt idx="111">
                  <c:v>81.514521625675826</c:v>
                </c:pt>
                <c:pt idx="112">
                  <c:v>81.31205174024376</c:v>
                </c:pt>
                <c:pt idx="113">
                  <c:v>81.109031461837816</c:v>
                </c:pt>
                <c:pt idx="114">
                  <c:v>80.90549244270025</c:v>
                </c:pt>
                <c:pt idx="115">
                  <c:v>80.701465298317117</c:v>
                </c:pt>
                <c:pt idx="116">
                  <c:v>80.496979561071953</c:v>
                </c:pt>
                <c:pt idx="117">
                  <c:v>80.292063636309891</c:v>
                </c:pt>
                <c:pt idx="118">
                  <c:v>80.086744761147173</c:v>
                </c:pt>
                <c:pt idx="119">
                  <c:v>79.881048966333083</c:v>
                </c:pt>
                <c:pt idx="120">
                  <c:v>79.675001041438009</c:v>
                </c:pt>
                <c:pt idx="121">
                  <c:v>79.468624503595279</c:v>
                </c:pt>
                <c:pt idx="122">
                  <c:v>79.261941569985225</c:v>
                </c:pt>
                <c:pt idx="123">
                  <c:v>79.054973134201077</c:v>
                </c:pt>
                <c:pt idx="124">
                  <c:v>78.847738746586288</c:v>
                </c:pt>
                <c:pt idx="125">
                  <c:v>78.640256598589914</c:v>
                </c:pt>
                <c:pt idx="126">
                  <c:v>78.432543511130291</c:v>
                </c:pt>
                <c:pt idx="127">
                  <c:v>78.224614926918974</c:v>
                </c:pt>
                <c:pt idx="128">
                  <c:v>78.016484906645417</c:v>
                </c:pt>
                <c:pt idx="129">
                  <c:v>77.808166128887265</c:v>
                </c:pt>
                <c:pt idx="130">
                  <c:v>77.599669893569626</c:v>
                </c:pt>
                <c:pt idx="131">
                  <c:v>77.391006128764928</c:v>
                </c:pt>
                <c:pt idx="132">
                  <c:v>77.182183400596131</c:v>
                </c:pt>
                <c:pt idx="133">
                  <c:v>76.973208925982405</c:v>
                </c:pt>
                <c:pt idx="134">
                  <c:v>76.764088587945054</c:v>
                </c:pt>
                <c:pt idx="135">
                  <c:v>76.554826953181205</c:v>
                </c:pt>
                <c:pt idx="136">
                  <c:v>76.345427291600686</c:v>
                </c:pt>
                <c:pt idx="137">
                  <c:v>76.135891597517926</c:v>
                </c:pt>
                <c:pt idx="138">
                  <c:v>75.926220612191045</c:v>
                </c:pt>
                <c:pt idx="139">
                  <c:v>75.716413847404567</c:v>
                </c:pt>
                <c:pt idx="140">
                  <c:v>75.506469609799765</c:v>
                </c:pt>
                <c:pt idx="141">
                  <c:v>75.296385025668158</c:v>
                </c:pt>
                <c:pt idx="142">
                  <c:v>75.086156065938411</c:v>
                </c:pt>
                <c:pt idx="143">
                  <c:v>74.87577757110347</c:v>
                </c:pt>
                <c:pt idx="144">
                  <c:v>74.665243275853257</c:v>
                </c:pt>
                <c:pt idx="145">
                  <c:v>74.454545833200555</c:v>
                </c:pt>
                <c:pt idx="146">
                  <c:v>74.2436768379076</c:v>
                </c:pt>
                <c:pt idx="147">
                  <c:v>74.032626849045087</c:v>
                </c:pt>
                <c:pt idx="148">
                  <c:v>73.82138541153904</c:v>
                </c:pt>
                <c:pt idx="149">
                  <c:v>73.609941076583709</c:v>
                </c:pt>
                <c:pt idx="150">
                  <c:v>73.398281420823025</c:v>
                </c:pt>
                <c:pt idx="151">
                  <c:v>73.186393064226522</c:v>
                </c:pt>
                <c:pt idx="152">
                  <c:v>72.974261686609651</c:v>
                </c:pt>
                <c:pt idx="153">
                  <c:v>72.761872042768886</c:v>
                </c:pt>
                <c:pt idx="154">
                  <c:v>72.549207976225958</c:v>
                </c:pt>
                <c:pt idx="155">
                  <c:v>72.33625243159652</c:v>
                </c:pt>
                <c:pt idx="156">
                  <c:v>72.122987465616774</c:v>
                </c:pt>
                <c:pt idx="157">
                  <c:v>71.909394256882351</c:v>
                </c:pt>
                <c:pt idx="158">
                  <c:v>71.695453114373805</c:v>
                </c:pt>
                <c:pt idx="159">
                  <c:v>71.481143484856659</c:v>
                </c:pt>
                <c:pt idx="160">
                  <c:v>71.26644395926337</c:v>
                </c:pt>
                <c:pt idx="161">
                  <c:v>71.051332278180737</c:v>
                </c:pt>
                <c:pt idx="162">
                  <c:v>70.835785336577374</c:v>
                </c:pt>
                <c:pt idx="163">
                  <c:v>70.619779187925403</c:v>
                </c:pt>
                <c:pt idx="164">
                  <c:v>70.403289047877649</c:v>
                </c:pt>
                <c:pt idx="165">
                  <c:v>70.186289297679409</c:v>
                </c:pt>
                <c:pt idx="166">
                  <c:v>69.968753487501402</c:v>
                </c:pt>
                <c:pt idx="167">
                  <c:v>69.750654339893075</c:v>
                </c:pt>
                <c:pt idx="168">
                  <c:v>69.531963753566259</c:v>
                </c:pt>
                <c:pt idx="169">
                  <c:v>69.312652807725826</c:v>
                </c:pt>
                <c:pt idx="170">
                  <c:v>69.092691767174614</c:v>
                </c:pt>
                <c:pt idx="171">
                  <c:v>68.872050088426889</c:v>
                </c:pt>
                <c:pt idx="172">
                  <c:v>68.65069642706986</c:v>
                </c:pt>
                <c:pt idx="173">
                  <c:v>68.428598646620259</c:v>
                </c:pt>
                <c:pt idx="174">
                  <c:v>68.205723829125432</c:v>
                </c:pt>
                <c:pt idx="175">
                  <c:v>67.982038287762009</c:v>
                </c:pt>
                <c:pt idx="176">
                  <c:v>67.757507581689239</c:v>
                </c:pt>
                <c:pt idx="177">
                  <c:v>67.532096533408733</c:v>
                </c:pt>
                <c:pt idx="178">
                  <c:v>67.305769248887472</c:v>
                </c:pt>
                <c:pt idx="179">
                  <c:v>67.078489140691687</c:v>
                </c:pt>
                <c:pt idx="180">
                  <c:v>66.850218954378875</c:v>
                </c:pt>
                <c:pt idx="181">
                  <c:v>66.620920798381619</c:v>
                </c:pt>
                <c:pt idx="182">
                  <c:v>66.390556177612737</c:v>
                </c:pt>
                <c:pt idx="183">
                  <c:v>66.159086031004108</c:v>
                </c:pt>
                <c:pt idx="184">
                  <c:v>65.926470773177911</c:v>
                </c:pt>
                <c:pt idx="185">
                  <c:v>65.692670340430396</c:v>
                </c:pt>
                <c:pt idx="186">
                  <c:v>65.457644241184568</c:v>
                </c:pt>
                <c:pt idx="187">
                  <c:v>65.221351611047268</c:v>
                </c:pt>
                <c:pt idx="188">
                  <c:v>64.98375127257377</c:v>
                </c:pt>
                <c:pt idx="189">
                  <c:v>64.7448017998137</c:v>
                </c:pt>
                <c:pt idx="190">
                  <c:v>64.504461587676502</c:v>
                </c:pt>
                <c:pt idx="191">
                  <c:v>64.262688926117477</c:v>
                </c:pt>
                <c:pt idx="192">
                  <c:v>64.019442079101552</c:v>
                </c:pt>
                <c:pt idx="193">
                  <c:v>63.774679368260728</c:v>
                </c:pt>
                <c:pt idx="194">
                  <c:v>63.528359261111135</c:v>
                </c:pt>
                <c:pt idx="195">
                  <c:v>63.280440463648404</c:v>
                </c:pt>
                <c:pt idx="196">
                  <c:v>63.030882017086761</c:v>
                </c:pt>
                <c:pt idx="197">
                  <c:v>62.779643398455704</c:v>
                </c:pt>
                <c:pt idx="198">
                  <c:v>62.526684624712843</c:v>
                </c:pt>
                <c:pt idx="199">
                  <c:v>62.271966359978926</c:v>
                </c:pt>
                <c:pt idx="200">
                  <c:v>62.015450025445048</c:v>
                </c:pt>
                <c:pt idx="201">
                  <c:v>61.757097911452838</c:v>
                </c:pt>
                <c:pt idx="202">
                  <c:v>61.496873291193815</c:v>
                </c:pt>
                <c:pt idx="203">
                  <c:v>61.234740535431584</c:v>
                </c:pt>
                <c:pt idx="204">
                  <c:v>60.970665227601572</c:v>
                </c:pt>
                <c:pt idx="205">
                  <c:v>60.704614278609156</c:v>
                </c:pt>
                <c:pt idx="206">
                  <c:v>60.436556040610043</c:v>
                </c:pt>
                <c:pt idx="207">
                  <c:v>60.166460419032461</c:v>
                </c:pt>
                <c:pt idx="208">
                  <c:v>59.894298982079803</c:v>
                </c:pt>
                <c:pt idx="209">
                  <c:v>59.620045066941245</c:v>
                </c:pt>
                <c:pt idx="210">
                  <c:v>59.343673881936056</c:v>
                </c:pt>
                <c:pt idx="211">
                  <c:v>59.065162603821747</c:v>
                </c:pt>
                <c:pt idx="212">
                  <c:v>58.784490469513045</c:v>
                </c:pt>
                <c:pt idx="213">
                  <c:v>58.501638861483414</c:v>
                </c:pt>
                <c:pt idx="214">
                  <c:v>58.216591386155528</c:v>
                </c:pt>
                <c:pt idx="215">
                  <c:v>57.92933394463175</c:v>
                </c:pt>
                <c:pt idx="216">
                  <c:v>57.639854795167516</c:v>
                </c:pt>
                <c:pt idx="217">
                  <c:v>57.348144606853715</c:v>
                </c:pt>
                <c:pt idx="218">
                  <c:v>57.054196504041911</c:v>
                </c:pt>
                <c:pt idx="219">
                  <c:v>56.758006101122938</c:v>
                </c:pt>
                <c:pt idx="220">
                  <c:v>56.45957152735204</c:v>
                </c:pt>
                <c:pt idx="221">
                  <c:v>56.158893441497156</c:v>
                </c:pt>
                <c:pt idx="222">
                  <c:v>55.855975036179053</c:v>
                </c:pt>
                <c:pt idx="223">
                  <c:v>55.550822031864001</c:v>
                </c:pt>
                <c:pt idx="224">
                  <c:v>55.243442660555438</c:v>
                </c:pt>
                <c:pt idx="225">
                  <c:v>54.93384763933183</c:v>
                </c:pt>
                <c:pt idx="226">
                  <c:v>54.622050133954346</c:v>
                </c:pt>
                <c:pt idx="227">
                  <c:v>54.308065712863687</c:v>
                </c:pt>
                <c:pt idx="228">
                  <c:v>53.991912291954463</c:v>
                </c:pt>
                <c:pt idx="229">
                  <c:v>53.673610070598379</c:v>
                </c:pt>
                <c:pt idx="230">
                  <c:v>53.3531814594458</c:v>
                </c:pt>
                <c:pt idx="231">
                  <c:v>53.03065100059689</c:v>
                </c:pt>
                <c:pt idx="232">
                  <c:v>52.706045280782156</c:v>
                </c:pt>
                <c:pt idx="233">
                  <c:v>52.379392838233017</c:v>
                </c:pt>
                <c:pt idx="234">
                  <c:v>52.050724063950213</c:v>
                </c:pt>
                <c:pt idx="235">
                  <c:v>51.720071098103631</c:v>
                </c:pt>
                <c:pt idx="236">
                  <c:v>51.387467722304443</c:v>
                </c:pt>
                <c:pt idx="237">
                  <c:v>51.052949248494315</c:v>
                </c:pt>
                <c:pt idx="238">
                  <c:v>50.716552405188224</c:v>
                </c:pt>
                <c:pt idx="239">
                  <c:v>50.378315221795241</c:v>
                </c:pt>
                <c:pt idx="240">
                  <c:v>50.038276911714092</c:v>
                </c:pt>
                <c:pt idx="241">
                  <c:v>49.696477754874451</c:v>
                </c:pt>
                <c:pt idx="242">
                  <c:v>49.352958980358189</c:v>
                </c:pt>
                <c:pt idx="243">
                  <c:v>49.007762649691308</c:v>
                </c:pt>
                <c:pt idx="244">
                  <c:v>48.660931541356575</c:v>
                </c:pt>
                <c:pt idx="245">
                  <c:v>48.312509037023979</c:v>
                </c:pt>
                <c:pt idx="246">
                  <c:v>47.962539009949253</c:v>
                </c:pt>
                <c:pt idx="247">
                  <c:v>47.611065715934529</c:v>
                </c:pt>
                <c:pt idx="248">
                  <c:v>47.258133687197954</c:v>
                </c:pt>
                <c:pt idx="249">
                  <c:v>46.903787629440494</c:v>
                </c:pt>
                <c:pt idx="250">
                  <c:v>46.548072322352255</c:v>
                </c:pt>
                <c:pt idx="251">
                  <c:v>46.191032523748319</c:v>
                </c:pt>
                <c:pt idx="252">
                  <c:v>45.83271287747781</c:v>
                </c:pt>
                <c:pt idx="253">
                  <c:v>45.473157825205625</c:v>
                </c:pt>
                <c:pt idx="254">
                  <c:v>45.112411522125726</c:v>
                </c:pt>
                <c:pt idx="255">
                  <c:v>44.750517756627175</c:v>
                </c:pt>
                <c:pt idx="256">
                  <c:v>44.387519873903585</c:v>
                </c:pt>
                <c:pt idx="257">
                  <c:v>44.023460703461495</c:v>
                </c:pt>
                <c:pt idx="258">
                  <c:v>43.6583824904693</c:v>
                </c:pt>
                <c:pt idx="259">
                  <c:v>43.292326830856723</c:v>
                </c:pt>
                <c:pt idx="260">
                  <c:v>42.925334610068674</c:v>
                </c:pt>
                <c:pt idx="261">
                  <c:v>42.557445945361685</c:v>
                </c:pt>
                <c:pt idx="262">
                  <c:v>42.188700131524747</c:v>
                </c:pt>
                <c:pt idx="263">
                  <c:v>41.81913558990621</c:v>
                </c:pt>
                <c:pt idx="264">
                  <c:v>41.4487898206267</c:v>
                </c:pt>
                <c:pt idx="265">
                  <c:v>41.077699357865356</c:v>
                </c:pt>
                <c:pt idx="266">
                  <c:v>40.705899728114716</c:v>
                </c:pt>
                <c:pt idx="267">
                  <c:v>40.3334254113092</c:v>
                </c:pt>
                <c:pt idx="268">
                  <c:v>39.960309804750679</c:v>
                </c:pt>
                <c:pt idx="269">
                  <c:v>39.586585189765032</c:v>
                </c:pt>
                <c:pt idx="270">
                  <c:v>39.212282701046966</c:v>
                </c:pt>
                <c:pt idx="271">
                  <c:v>38.837432298667295</c:v>
                </c:pt>
                <c:pt idx="272">
                  <c:v>38.462062742737906</c:v>
                </c:pt>
                <c:pt idx="273">
                  <c:v>38.086201570750276</c:v>
                </c:pt>
                <c:pt idx="274">
                  <c:v>37.70987507762235</c:v>
                </c:pt>
                <c:pt idx="275">
                  <c:v>37.333108298512897</c:v>
                </c:pt>
                <c:pt idx="276">
                  <c:v>36.955924994472824</c:v>
                </c:pt>
                <c:pt idx="277">
                  <c:v>36.578347641028664</c:v>
                </c:pt>
                <c:pt idx="278">
                  <c:v>36.200397419798954</c:v>
                </c:pt>
                <c:pt idx="279">
                  <c:v>35.822094213261543</c:v>
                </c:pt>
                <c:pt idx="280">
                  <c:v>35.443456602794861</c:v>
                </c:pt>
                <c:pt idx="281">
                  <c:v>35.064501870119486</c:v>
                </c:pt>
                <c:pt idx="282">
                  <c:v>34.685246002268585</c:v>
                </c:pt>
                <c:pt idx="283">
                  <c:v>34.305703700208994</c:v>
                </c:pt>
                <c:pt idx="284">
                  <c:v>33.925888391227083</c:v>
                </c:pt>
                <c:pt idx="285">
                  <c:v>33.545812245177672</c:v>
                </c:pt>
                <c:pt idx="286">
                  <c:v>33.165486194678031</c:v>
                </c:pt>
                <c:pt idx="287">
                  <c:v>32.784919959302918</c:v>
                </c:pt>
                <c:pt idx="288">
                  <c:v>32.404122073811465</c:v>
                </c:pt>
                <c:pt idx="289">
                  <c:v>32.023099920402551</c:v>
                </c:pt>
                <c:pt idx="290">
                  <c:v>31.641859764961971</c:v>
                </c:pt>
                <c:pt idx="291">
                  <c:v>31.260406797224604</c:v>
                </c:pt>
                <c:pt idx="292">
                  <c:v>30.878745174734728</c:v>
                </c:pt>
                <c:pt idx="293">
                  <c:v>30.496878070446524</c:v>
                </c:pt>
                <c:pt idx="294">
                  <c:v>30.114807723761263</c:v>
                </c:pt>
                <c:pt idx="295">
                  <c:v>29.732535494756803</c:v>
                </c:pt>
                <c:pt idx="296">
                  <c:v>29.350061921323629</c:v>
                </c:pt>
                <c:pt idx="297">
                  <c:v>28.967386778880368</c:v>
                </c:pt>
                <c:pt idx="298">
                  <c:v>28.584509142306246</c:v>
                </c:pt>
                <c:pt idx="299">
                  <c:v>28.201427449696471</c:v>
                </c:pt>
                <c:pt idx="300">
                  <c:v>27.818139567515129</c:v>
                </c:pt>
                <c:pt idx="301">
                  <c:v>27.434642856702567</c:v>
                </c:pt>
                <c:pt idx="302">
                  <c:v>27.050934239271808</c:v>
                </c:pt>
                <c:pt idx="303">
                  <c:v>26.667010264924986</c:v>
                </c:pt>
                <c:pt idx="304">
                  <c:v>26.28286717721106</c:v>
                </c:pt>
                <c:pt idx="305">
                  <c:v>25.898500978755266</c:v>
                </c:pt>
                <c:pt idx="306">
                  <c:v>25.513907495096593</c:v>
                </c:pt>
                <c:pt idx="307">
                  <c:v>25.129082436691643</c:v>
                </c:pt>
                <c:pt idx="308">
                  <c:v>24.744021458660374</c:v>
                </c:pt>
                <c:pt idx="309">
                  <c:v>24.358720217886752</c:v>
                </c:pt>
                <c:pt idx="310">
                  <c:v>23.973174427114113</c:v>
                </c:pt>
                <c:pt idx="311">
                  <c:v>23.587379905720173</c:v>
                </c:pt>
                <c:pt idx="312">
                  <c:v>23.201332626895535</c:v>
                </c:pt>
                <c:pt idx="313">
                  <c:v>22.815028760998626</c:v>
                </c:pt>
                <c:pt idx="314">
                  <c:v>22.428464714904042</c:v>
                </c:pt>
                <c:pt idx="315">
                  <c:v>22.041637167213878</c:v>
                </c:pt>
                <c:pt idx="316">
                  <c:v>21.654543099246023</c:v>
                </c:pt>
                <c:pt idx="317">
                  <c:v>21.267179821764216</c:v>
                </c:pt>
                <c:pt idx="318">
                  <c:v>20.879544997461394</c:v>
                </c:pt>
                <c:pt idx="319">
                  <c:v>20.491636659247106</c:v>
                </c:pt>
                <c:pt idx="320">
                  <c:v>20.103453224437121</c:v>
                </c:pt>
                <c:pt idx="321">
                  <c:v>19.714993504975197</c:v>
                </c:pt>
                <c:pt idx="322">
                  <c:v>19.326256713853205</c:v>
                </c:pt>
                <c:pt idx="323">
                  <c:v>18.937242467925305</c:v>
                </c:pt>
                <c:pt idx="324">
                  <c:v>18.547950787332127</c:v>
                </c:pt>
                <c:pt idx="325">
                  <c:v>18.158382091779007</c:v>
                </c:pt>
                <c:pt idx="326">
                  <c:v>17.768537193918341</c:v>
                </c:pt>
                <c:pt idx="327">
                  <c:v>17.378417290105372</c:v>
                </c:pt>
                <c:pt idx="328">
                  <c:v>16.988023948797611</c:v>
                </c:pt>
                <c:pt idx="329">
                  <c:v>16.597359096873809</c:v>
                </c:pt>
                <c:pt idx="330">
                  <c:v>16.206425004148937</c:v>
                </c:pt>
                <c:pt idx="331">
                  <c:v>15.815224266350327</c:v>
                </c:pt>
                <c:pt idx="332">
                  <c:v>15.423759786822739</c:v>
                </c:pt>
                <c:pt idx="333">
                  <c:v>15.032034757211232</c:v>
                </c:pt>
                <c:pt idx="334">
                  <c:v>14.640052637363461</c:v>
                </c:pt>
                <c:pt idx="335">
                  <c:v>14.247817134678552</c:v>
                </c:pt>
                <c:pt idx="336">
                  <c:v>13.855332183112969</c:v>
                </c:pt>
                <c:pt idx="337">
                  <c:v>13.462601922037781</c:v>
                </c:pt>
                <c:pt idx="338">
                  <c:v>13.069630675125101</c:v>
                </c:pt>
                <c:pt idx="339">
                  <c:v>12.676422929425925</c:v>
                </c:pt>
                <c:pt idx="340">
                  <c:v>12.282983314778868</c:v>
                </c:pt>
                <c:pt idx="341">
                  <c:v>11.889316583678022</c:v>
                </c:pt>
                <c:pt idx="342">
                  <c:v>11.495427591707713</c:v>
                </c:pt>
                <c:pt idx="343">
                  <c:v>11.10132127863656</c:v>
                </c:pt>
                <c:pt idx="344">
                  <c:v>10.707002650247556</c:v>
                </c:pt>
                <c:pt idx="345">
                  <c:v>10.31247676096732</c:v>
                </c:pt>
                <c:pt idx="346">
                  <c:v>9.9177486973407252</c:v>
                </c:pt>
                <c:pt idx="347">
                  <c:v>9.5228235623916611</c:v>
                </c:pt>
                <c:pt idx="348">
                  <c:v>9.1277064608868219</c:v>
                </c:pt>
                <c:pt idx="349">
                  <c:v>8.7324024855236999</c:v>
                </c:pt>
                <c:pt idx="350">
                  <c:v>8.3369167040417924</c:v>
                </c:pt>
                <c:pt idx="351">
                  <c:v>7.9412541472554965</c:v>
                </c:pt>
                <c:pt idx="352">
                  <c:v>7.5454197979958968</c:v>
                </c:pt>
                <c:pt idx="353">
                  <c:v>7.1494185809445066</c:v>
                </c:pt>
                <c:pt idx="354">
                  <c:v>6.7532553533333859</c:v>
                </c:pt>
                <c:pt idx="355">
                  <c:v>6.3569348964878278</c:v>
                </c:pt>
                <c:pt idx="356">
                  <c:v>5.9604619081741337</c:v>
                </c:pt>
                <c:pt idx="357">
                  <c:v>5.5638409957221393</c:v>
                </c:pt>
                <c:pt idx="358">
                  <c:v>5.1670766698842225</c:v>
                </c:pt>
                <c:pt idx="359">
                  <c:v>4.7701733393900261</c:v>
                </c:pt>
                <c:pt idx="360">
                  <c:v>4.3731353061583658</c:v>
                </c:pt>
                <c:pt idx="361">
                  <c:v>3.9759667611263239</c:v>
                </c:pt>
                <c:pt idx="362">
                  <c:v>3.578671780651578</c:v>
                </c:pt>
                <c:pt idx="363">
                  <c:v>3.1812543234502138</c:v>
                </c:pt>
                <c:pt idx="364">
                  <c:v>2.7837182280272419</c:v>
                </c:pt>
                <c:pt idx="365">
                  <c:v>2.3860672105613014</c:v>
                </c:pt>
                <c:pt idx="366">
                  <c:v>1.9883048632028206</c:v>
                </c:pt>
                <c:pt idx="367">
                  <c:v>1.5904346527517874</c:v>
                </c:pt>
                <c:pt idx="368">
                  <c:v>1.1924599196722632</c:v>
                </c:pt>
                <c:pt idx="369">
                  <c:v>0.79438387741602012</c:v>
                </c:pt>
                <c:pt idx="370">
                  <c:v>0.39620961201527483</c:v>
                </c:pt>
                <c:pt idx="371">
                  <c:v>-2.059918083618197E-3</c:v>
                </c:pt>
                <c:pt idx="372">
                  <c:v>-0.40042188197924544</c:v>
                </c:pt>
                <c:pt idx="373">
                  <c:v>-0.79887357609170717</c:v>
                </c:pt>
                <c:pt idx="374">
                  <c:v>-1.1974124237891939</c:v>
                </c:pt>
                <c:pt idx="375">
                  <c:v>-1.5960359748865032</c:v>
                </c:pt>
                <c:pt idx="376">
                  <c:v>-1.9947419050421562</c:v>
                </c:pt>
                <c:pt idx="377">
                  <c:v>-2.3935280150760687</c:v>
                </c:pt>
                <c:pt idx="378">
                  <c:v>-2.7923922302291757</c:v>
                </c:pt>
                <c:pt idx="379">
                  <c:v>-3.1913325993865556</c:v>
                </c:pt>
                <c:pt idx="380">
                  <c:v>-3.5903472942805781</c:v>
                </c:pt>
                <c:pt idx="381">
                  <c:v>-3.9894346086937778</c:v>
                </c:pt>
                <c:pt idx="382">
                  <c:v>-4.388592957677055</c:v>
                </c:pt>
                <c:pt idx="383">
                  <c:v>-4.787820876798289</c:v>
                </c:pt>
                <c:pt idx="384">
                  <c:v>-5.1871170214365687</c:v>
                </c:pt>
                <c:pt idx="385">
                  <c:v>-5.5864801661340593</c:v>
                </c:pt>
                <c:pt idx="386">
                  <c:v>-5.9859092040197295</c:v>
                </c:pt>
                <c:pt idx="387">
                  <c:v>-6.3854031463146921</c:v>
                </c:pt>
                <c:pt idx="388">
                  <c:v>-6.7849611219322572</c:v>
                </c:pt>
                <c:pt idx="389">
                  <c:v>-7.1845823771810959</c:v>
                </c:pt>
                <c:pt idx="390">
                  <c:v>-7.5842662755815402</c:v>
                </c:pt>
                <c:pt idx="391">
                  <c:v>-7.9840122978050365</c:v>
                </c:pt>
                <c:pt idx="392">
                  <c:v>-8.3838200417446824</c:v>
                </c:pt>
                <c:pt idx="393">
                  <c:v>-8.7836892227246324</c:v>
                </c:pt>
                <c:pt idx="394">
                  <c:v>-9.1836196738563096</c:v>
                </c:pt>
                <c:pt idx="395">
                  <c:v>-9.5836113465501001</c:v>
                </c:pt>
                <c:pt idx="396">
                  <c:v>-9.9836643111869243</c:v>
                </c:pt>
                <c:pt idx="397">
                  <c:v>-10.383778757959341</c:v>
                </c:pt>
                <c:pt idx="398">
                  <c:v>-10.783954997887463</c:v>
                </c:pt>
                <c:pt idx="399">
                  <c:v>-11.184193464015873</c:v>
                </c:pt>
                <c:pt idx="400">
                  <c:v>-11.584494712798946</c:v>
                </c:pt>
                <c:pt idx="401">
                  <c:v>-11.984859425679682</c:v>
                </c:pt>
                <c:pt idx="402">
                  <c:v>-12.385288410869375</c:v>
                </c:pt>
                <c:pt idx="403">
                  <c:v>-12.785782605332949</c:v>
                </c:pt>
                <c:pt idx="404">
                  <c:v>-13.186343076987834</c:v>
                </c:pt>
                <c:pt idx="405">
                  <c:v>-13.586971027120073</c:v>
                </c:pt>
                <c:pt idx="406">
                  <c:v>-13.987667793026649</c:v>
                </c:pt>
                <c:pt idx="407">
                  <c:v>-14.388434850887188</c:v>
                </c:pt>
                <c:pt idx="408">
                  <c:v>-14.789273818874214</c:v>
                </c:pt>
                <c:pt idx="409">
                  <c:v>-15.190186460505789</c:v>
                </c:pt>
                <c:pt idx="410">
                  <c:v>-15.591174688248589</c:v>
                </c:pt>
                <c:pt idx="411">
                  <c:v>-15.99224056737711</c:v>
                </c:pt>
                <c:pt idx="412">
                  <c:v>-16.393386320095122</c:v>
                </c:pt>
                <c:pt idx="413">
                  <c:v>-16.794614329927466</c:v>
                </c:pt>
                <c:pt idx="414">
                  <c:v>-17.195927146386992</c:v>
                </c:pt>
                <c:pt idx="415">
                  <c:v>-17.597327489924638</c:v>
                </c:pt>
                <c:pt idx="416">
                  <c:v>-17.998818257169699</c:v>
                </c:pt>
                <c:pt idx="417">
                  <c:v>-18.400402526465889</c:v>
                </c:pt>
                <c:pt idx="418">
                  <c:v>-18.802083563711207</c:v>
                </c:pt>
                <c:pt idx="419">
                  <c:v>-19.203864828507822</c:v>
                </c:pt>
                <c:pt idx="420">
                  <c:v>-19.605749980630168</c:v>
                </c:pt>
                <c:pt idx="421">
                  <c:v>-20.007742886815944</c:v>
                </c:pt>
                <c:pt idx="422">
                  <c:v>-20.409847627889441</c:v>
                </c:pt>
                <c:pt idx="423">
                  <c:v>-20.812068506221017</c:v>
                </c:pt>
                <c:pt idx="424">
                  <c:v>-21.214410053532369</c:v>
                </c:pt>
                <c:pt idx="425">
                  <c:v>-21.616877039051055</c:v>
                </c:pt>
                <c:pt idx="426">
                  <c:v>-22.019474478022708</c:v>
                </c:pt>
                <c:pt idx="427">
                  <c:v>-22.422207640584489</c:v>
                </c:pt>
                <c:pt idx="428">
                  <c:v>-22.825082061006896</c:v>
                </c:pt>
                <c:pt idx="429">
                  <c:v>-23.22810354730948</c:v>
                </c:pt>
                <c:pt idx="430">
                  <c:v>-23.631278191249862</c:v>
                </c:pt>
                <c:pt idx="431">
                  <c:v>-24.034612378698121</c:v>
                </c:pt>
                <c:pt idx="432">
                  <c:v>-24.438112800390769</c:v>
                </c:pt>
                <c:pt idx="433">
                  <c:v>-24.841786463072872</c:v>
                </c:pt>
                <c:pt idx="434">
                  <c:v>-25.245640701026176</c:v>
                </c:pt>
                <c:pt idx="435">
                  <c:v>-25.649683187983893</c:v>
                </c:pt>
                <c:pt idx="436">
                  <c:v>-26.053921949431324</c:v>
                </c:pt>
                <c:pt idx="437">
                  <c:v>-26.458365375289183</c:v>
                </c:pt>
                <c:pt idx="438">
                  <c:v>-26.863022232976348</c:v>
                </c:pt>
                <c:pt idx="439">
                  <c:v>-27.267901680843785</c:v>
                </c:pt>
                <c:pt idx="440">
                  <c:v>-27.673013281975159</c:v>
                </c:pt>
                <c:pt idx="441">
                  <c:v>-28.078367018340884</c:v>
                </c:pt>
                <c:pt idx="442">
                  <c:v>-28.483973305295159</c:v>
                </c:pt>
                <c:pt idx="443">
                  <c:v>-28.889843006399886</c:v>
                </c:pt>
                <c:pt idx="444">
                  <c:v>-29.295987448559071</c:v>
                </c:pt>
                <c:pt idx="445">
                  <c:v>-29.702418437440123</c:v>
                </c:pt>
                <c:pt idx="446">
                  <c:v>-30.109148273161324</c:v>
                </c:pt>
                <c:pt idx="447">
                  <c:v>-30.516189766214303</c:v>
                </c:pt>
                <c:pt idx="448">
                  <c:v>-30.923556253591524</c:v>
                </c:pt>
                <c:pt idx="449">
                  <c:v>-31.33126161508152</c:v>
                </c:pt>
                <c:pt idx="450">
                  <c:v>-31.739320289692493</c:v>
                </c:pt>
                <c:pt idx="451">
                  <c:v>-32.147747292157028</c:v>
                </c:pt>
                <c:pt idx="452">
                  <c:v>-32.556558229467441</c:v>
                </c:pt>
                <c:pt idx="453">
                  <c:v>-32.965769317387213</c:v>
                </c:pt>
                <c:pt idx="454">
                  <c:v>-33.37539739687243</c:v>
                </c:pt>
                <c:pt idx="455">
                  <c:v>-33.785459950338947</c:v>
                </c:pt>
                <c:pt idx="456">
                  <c:v>-34.195975117694715</c:v>
                </c:pt>
                <c:pt idx="457">
                  <c:v>-34.606961712061597</c:v>
                </c:pt>
                <c:pt idx="458">
                  <c:v>-35.018439235090149</c:v>
                </c:pt>
                <c:pt idx="459">
                  <c:v>-35.430427891776773</c:v>
                </c:pt>
                <c:pt idx="460">
                  <c:v>-35.84294860467373</c:v>
                </c:pt>
                <c:pt idx="461">
                  <c:v>-36.256023027381353</c:v>
                </c:pt>
                <c:pt idx="462">
                  <c:v>-36.669673557201691</c:v>
                </c:pt>
                <c:pt idx="463">
                  <c:v>-37.083923346822246</c:v>
                </c:pt>
                <c:pt idx="464">
                  <c:v>-37.49879631489393</c:v>
                </c:pt>
                <c:pt idx="465">
                  <c:v>-37.914317155355391</c:v>
                </c:pt>
                <c:pt idx="466">
                  <c:v>-38.330511345349677</c:v>
                </c:pt>
                <c:pt idx="467">
                  <c:v>-38.747405151569048</c:v>
                </c:pt>
                <c:pt idx="468">
                  <c:v>-39.165025634858893</c:v>
                </c:pt>
                <c:pt idx="469">
                  <c:v>-39.583400652898618</c:v>
                </c:pt>
                <c:pt idx="470">
                  <c:v>-40.002558860778088</c:v>
                </c:pt>
                <c:pt idx="471">
                  <c:v>-40.422529709272716</c:v>
                </c:pt>
                <c:pt idx="472">
                  <c:v>-40.843343440622746</c:v>
                </c:pt>
                <c:pt idx="473">
                  <c:v>-41.265031081611525</c:v>
                </c:pt>
                <c:pt idx="474">
                  <c:v>-41.68762443373852</c:v>
                </c:pt>
                <c:pt idx="475">
                  <c:v>-42.11115606027694</c:v>
                </c:pt>
                <c:pt idx="476">
                  <c:v>-42.535659270007919</c:v>
                </c:pt>
                <c:pt idx="477">
                  <c:v>-42.961168097422458</c:v>
                </c:pt>
                <c:pt idx="478">
                  <c:v>-43.387717279187335</c:v>
                </c:pt>
                <c:pt idx="479">
                  <c:v>-43.81534222667355</c:v>
                </c:pt>
                <c:pt idx="480">
                  <c:v>-44.244078994356769</c:v>
                </c:pt>
                <c:pt idx="481">
                  <c:v>-44.673964243906603</c:v>
                </c:pt>
                <c:pt idx="482">
                  <c:v>-45.105035203797286</c:v>
                </c:pt>
                <c:pt idx="483">
                  <c:v>-45.53732962428473</c:v>
                </c:pt>
                <c:pt idx="484">
                  <c:v>-45.970885727618381</c:v>
                </c:pt>
                <c:pt idx="485">
                  <c:v>-46.405742153374554</c:v>
                </c:pt>
                <c:pt idx="486">
                  <c:v>-46.841937898826828</c:v>
                </c:pt>
                <c:pt idx="487">
                  <c:v>-47.27951225429684</c:v>
                </c:pt>
                <c:pt idx="488">
                  <c:v>-47.718504733459909</c:v>
                </c:pt>
                <c:pt idx="489">
                  <c:v>-48.15895499861967</c:v>
                </c:pt>
                <c:pt idx="490">
                  <c:v>-48.600902781001452</c:v>
                </c:pt>
                <c:pt idx="491">
                  <c:v>-49.044387796158375</c:v>
                </c:pt>
                <c:pt idx="492">
                  <c:v>-49.48944965462843</c:v>
                </c:pt>
                <c:pt idx="493">
                  <c:v>-49.936127768029237</c:v>
                </c:pt>
                <c:pt idx="494">
                  <c:v>-50.384461250827016</c:v>
                </c:pt>
                <c:pt idx="495">
                  <c:v>-50.834488818065076</c:v>
                </c:pt>
                <c:pt idx="496">
                  <c:v>-51.286248679395655</c:v>
                </c:pt>
                <c:pt idx="497">
                  <c:v>-51.739778429803849</c:v>
                </c:pt>
                <c:pt idx="498">
                  <c:v>-52.195114937472283</c:v>
                </c:pt>
                <c:pt idx="499">
                  <c:v>-52.652294229281729</c:v>
                </c:pt>
                <c:pt idx="500">
                  <c:v>-53.111351374495257</c:v>
                </c:pt>
                <c:pt idx="501">
                  <c:v>-53.572320367218644</c:v>
                </c:pt>
                <c:pt idx="502">
                  <c:v>-54.035234008275239</c:v>
                </c:pt>
                <c:pt idx="503">
                  <c:v>-54.500123787167752</c:v>
                </c:pt>
                <c:pt idx="504">
                  <c:v>-54.967019764838305</c:v>
                </c:pt>
                <c:pt idx="505">
                  <c:v>-55.435950457959478</c:v>
                </c:pt>
                <c:pt idx="506">
                  <c:v>-55.90694272551297</c:v>
                </c:pt>
                <c:pt idx="507">
                  <c:v>-56.380021658419032</c:v>
                </c:pt>
                <c:pt idx="508">
                  <c:v>-56.855210472991082</c:v>
                </c:pt>
                <c:pt idx="509">
                  <c:v>-57.332530408973753</c:v>
                </c:pt>
                <c:pt idx="510">
                  <c:v>-57.812000632917233</c:v>
                </c:pt>
                <c:pt idx="511">
                  <c:v>-58.293638147608846</c:v>
                </c:pt>
                <c:pt idx="512">
                  <c:v>-58.777457708254055</c:v>
                </c:pt>
                <c:pt idx="513">
                  <c:v>-59.263471746049412</c:v>
                </c:pt>
                <c:pt idx="514">
                  <c:v>-59.751690299744446</c:v>
                </c:pt>
                <c:pt idx="515">
                  <c:v>-60.242120955719649</c:v>
                </c:pt>
                <c:pt idx="516">
                  <c:v>-60.734768797047266</c:v>
                </c:pt>
                <c:pt idx="517">
                  <c:v>-61.229636361918111</c:v>
                </c:pt>
                <c:pt idx="518">
                  <c:v>-61.726723611740738</c:v>
                </c:pt>
                <c:pt idx="519">
                  <c:v>-62.226027909129144</c:v>
                </c:pt>
                <c:pt idx="520">
                  <c:v>-62.727544005908001</c:v>
                </c:pt>
                <c:pt idx="521">
                  <c:v>-63.231264041169425</c:v>
                </c:pt>
                <c:pt idx="522">
                  <c:v>-63.73717754932423</c:v>
                </c:pt>
                <c:pt idx="523">
                  <c:v>-64.245271477997562</c:v>
                </c:pt>
                <c:pt idx="524">
                  <c:v>-64.75553021553219</c:v>
                </c:pt>
                <c:pt idx="525">
                  <c:v>-65.267935627768651</c:v>
                </c:pt>
                <c:pt idx="526">
                  <c:v>-65.782467103700512</c:v>
                </c:pt>
                <c:pt idx="527">
                  <c:v>-66.299101609518573</c:v>
                </c:pt>
                <c:pt idx="528">
                  <c:v>-66.817813750495333</c:v>
                </c:pt>
                <c:pt idx="529">
                  <c:v>-67.338575840099267</c:v>
                </c:pt>
                <c:pt idx="530">
                  <c:v>-67.861357975672007</c:v>
                </c:pt>
                <c:pt idx="531">
                  <c:v>-68.386128119970408</c:v>
                </c:pt>
                <c:pt idx="532">
                  <c:v>-68.912852187827355</c:v>
                </c:pt>
                <c:pt idx="533">
                  <c:v>-69.441494137177585</c:v>
                </c:pt>
                <c:pt idx="534">
                  <c:v>-69.972016063668391</c:v>
                </c:pt>
                <c:pt idx="535">
                  <c:v>-70.504378298078748</c:v>
                </c:pt>
                <c:pt idx="536">
                  <c:v>-71.038539505770871</c:v>
                </c:pt>
                <c:pt idx="537">
                  <c:v>-71.574456787417958</c:v>
                </c:pt>
                <c:pt idx="538">
                  <c:v>-72.112085780264607</c:v>
                </c:pt>
                <c:pt idx="539">
                  <c:v>-72.651380759213339</c:v>
                </c:pt>
                <c:pt idx="540">
                  <c:v>-73.192294737060635</c:v>
                </c:pt>
                <c:pt idx="541">
                  <c:v>-73.734779563251379</c:v>
                </c:pt>
              </c:numCache>
            </c:numRef>
          </c:yVal>
          <c:smooth val="1"/>
          <c:extLst>
            <c:ext xmlns:c16="http://schemas.microsoft.com/office/drawing/2014/chart" uri="{C3380CC4-5D6E-409C-BE32-E72D297353CC}">
              <c16:uniqueId val="{00000000-2860-4C4C-B618-5424CA982335}"/>
            </c:ext>
          </c:extLst>
        </c:ser>
        <c:ser>
          <c:idx val="2"/>
          <c:order val="2"/>
          <c:tx>
            <c:v>f_LP</c:v>
          </c:tx>
          <c:spPr>
            <a:ln w="38100" cmpd="sng"/>
          </c:spPr>
          <c:marker>
            <c:symbol val="x"/>
            <c:size val="7"/>
            <c:spPr>
              <a:noFill/>
            </c:spPr>
          </c:marker>
          <c:dPt>
            <c:idx val="0"/>
            <c:marker>
              <c:spPr>
                <a:noFill/>
                <a:ln w="19050">
                  <a:solidFill>
                    <a:schemeClr val="tx1"/>
                  </a:solidFill>
                </a:ln>
              </c:spPr>
            </c:marker>
            <c:bubble3D val="0"/>
            <c:extLst>
              <c:ext xmlns:c16="http://schemas.microsoft.com/office/drawing/2014/chart" uri="{C3380CC4-5D6E-409C-BE32-E72D297353CC}">
                <c16:uniqueId val="{00000001-2860-4C4C-B618-5424CA982335}"/>
              </c:ext>
            </c:extLst>
          </c:dPt>
          <c:dLbls>
            <c:dLbl>
              <c:idx val="0"/>
              <c:tx>
                <c:rich>
                  <a:bodyPr/>
                  <a:lstStyle/>
                  <a:p>
                    <a:r>
                      <a:rPr lang="en-US" sz="1100" b="1"/>
                      <a:t>f</a:t>
                    </a:r>
                    <a:r>
                      <a:rPr lang="en-US" sz="1100" b="1" baseline="-25000"/>
                      <a:t>LP</a:t>
                    </a:r>
                    <a:endParaRPr lang="en-US" b="1" baseline="-25000"/>
                  </a:p>
                </c:rich>
              </c:tx>
              <c:dLblPos val="b"/>
              <c:showLegendKey val="0"/>
              <c:showVal val="0"/>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60-4C4C-B618-5424CA982335}"/>
                </c:ext>
              </c:extLst>
            </c:dLbl>
            <c:spPr>
              <a:noFill/>
              <a:ln>
                <a:noFill/>
              </a:ln>
              <a:effectLst/>
            </c:spPr>
            <c:dLblPos val="b"/>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CCM_Loop_Modeling_Isolated!$O$11</c:f>
              <c:numCache>
                <c:formatCode>0</c:formatCode>
                <c:ptCount val="1"/>
                <c:pt idx="0">
                  <c:v>34.057847904438518</c:v>
                </c:pt>
              </c:numCache>
            </c:numRef>
          </c:xVal>
          <c:yVal>
            <c:numRef>
              <c:f>CCM_Loop_Modeling_Isolated!$AW$11</c:f>
              <c:numCache>
                <c:formatCode>0.000</c:formatCode>
                <c:ptCount val="1"/>
                <c:pt idx="0">
                  <c:v>91.089326143903193</c:v>
                </c:pt>
              </c:numCache>
            </c:numRef>
          </c:yVal>
          <c:smooth val="0"/>
          <c:extLst>
            <c:ext xmlns:c16="http://schemas.microsoft.com/office/drawing/2014/chart" uri="{C3380CC4-5D6E-409C-BE32-E72D297353CC}">
              <c16:uniqueId val="{00000002-2860-4C4C-B618-5424CA982335}"/>
            </c:ext>
          </c:extLst>
        </c:ser>
        <c:ser>
          <c:idx val="3"/>
          <c:order val="3"/>
          <c:tx>
            <c:v>fz_rhp</c:v>
          </c:tx>
          <c:spPr>
            <a:ln>
              <a:solidFill>
                <a:schemeClr val="tx1"/>
              </a:solidFill>
            </a:ln>
          </c:spPr>
          <c:marker>
            <c:symbol val="circle"/>
            <c:size val="7"/>
            <c:spPr>
              <a:noFill/>
              <a:ln w="19050">
                <a:solidFill>
                  <a:schemeClr val="tx1"/>
                </a:solidFill>
              </a:ln>
            </c:spPr>
          </c:marker>
          <c:dLbls>
            <c:dLbl>
              <c:idx val="0"/>
              <c:layout>
                <c:manualLayout>
                  <c:x val="8.0501209561423519E-3"/>
                  <c:y val="-1.5493667278504181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2860-4C4C-B618-5424CA982335}"/>
                </c:ext>
              </c:extLst>
            </c:dLbl>
            <c:spPr>
              <a:noFill/>
              <a:ln>
                <a:noFill/>
              </a:ln>
              <a:effectLst/>
            </c:spPr>
            <c:txPr>
              <a:bodyPr/>
              <a:lstStyle/>
              <a:p>
                <a:pPr>
                  <a:defRPr b="1"/>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CCM_Loop_Modeling_Isolated!$O$9</c:f>
              <c:numCache>
                <c:formatCode>0</c:formatCode>
                <c:ptCount val="1"/>
                <c:pt idx="0">
                  <c:v>9824.3792032034162</c:v>
                </c:pt>
              </c:numCache>
            </c:numRef>
          </c:xVal>
          <c:yVal>
            <c:numRef>
              <c:f>CCM_Loop_Modeling_Isolated!$AW$9</c:f>
              <c:numCache>
                <c:formatCode>0.000</c:formatCode>
                <c:ptCount val="1"/>
                <c:pt idx="0">
                  <c:v>28.49622249251501</c:v>
                </c:pt>
              </c:numCache>
            </c:numRef>
          </c:yVal>
          <c:smooth val="1"/>
          <c:extLst>
            <c:ext xmlns:c16="http://schemas.microsoft.com/office/drawing/2014/chart" uri="{C3380CC4-5D6E-409C-BE32-E72D297353CC}">
              <c16:uniqueId val="{00000004-2860-4C4C-B618-5424CA982335}"/>
            </c:ext>
          </c:extLst>
        </c:ser>
        <c:ser>
          <c:idx val="4"/>
          <c:order val="4"/>
          <c:tx>
            <c:v>f_esr</c:v>
          </c:tx>
          <c:spPr>
            <a:ln>
              <a:noFill/>
            </a:ln>
          </c:spPr>
          <c:marker>
            <c:symbol val="circle"/>
            <c:size val="5"/>
            <c:spPr>
              <a:noFill/>
              <a:ln w="19050">
                <a:solidFill>
                  <a:schemeClr val="tx1"/>
                </a:solidFill>
              </a:ln>
            </c:spPr>
          </c:marker>
          <c:dPt>
            <c:idx val="0"/>
            <c:marker>
              <c:symbol val="circle"/>
              <c:size val="7"/>
            </c:marker>
            <c:bubble3D val="0"/>
            <c:extLst>
              <c:ext xmlns:c16="http://schemas.microsoft.com/office/drawing/2014/chart" uri="{C3380CC4-5D6E-409C-BE32-E72D297353CC}">
                <c16:uniqueId val="{00000005-2860-4C4C-B618-5424CA982335}"/>
              </c:ext>
            </c:extLst>
          </c:dPt>
          <c:dLbls>
            <c:dLbl>
              <c:idx val="0"/>
              <c:layout>
                <c:manualLayout>
                  <c:x val="-5.990474489899654E-2"/>
                  <c:y val="-1.2457193490087108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2860-4C4C-B618-5424CA982335}"/>
                </c:ext>
              </c:extLst>
            </c:dLbl>
            <c:spPr>
              <a:noFill/>
              <a:ln>
                <a:noFill/>
              </a:ln>
              <a:effectLst/>
            </c:spPr>
            <c:txPr>
              <a:bodyPr/>
              <a:lstStyle/>
              <a:p>
                <a:pPr>
                  <a:defRPr b="1"/>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CCM_Loop_Modeling_Isolated!$O$10</c:f>
              <c:numCache>
                <c:formatCode>0</c:formatCode>
                <c:ptCount val="1"/>
                <c:pt idx="0">
                  <c:v>15931425.734924462</c:v>
                </c:pt>
              </c:numCache>
            </c:numRef>
          </c:xVal>
          <c:yVal>
            <c:numRef>
              <c:f>CCM_Loop_Modeling_Isolated!$AW$10</c:f>
              <c:numCache>
                <c:formatCode>0.000</c:formatCode>
                <c:ptCount val="1"/>
                <c:pt idx="0">
                  <c:v>-116.52609825227333</c:v>
                </c:pt>
              </c:numCache>
            </c:numRef>
          </c:yVal>
          <c:smooth val="1"/>
          <c:extLst>
            <c:ext xmlns:c16="http://schemas.microsoft.com/office/drawing/2014/chart" uri="{C3380CC4-5D6E-409C-BE32-E72D297353CC}">
              <c16:uniqueId val="{00000006-2860-4C4C-B618-5424CA982335}"/>
            </c:ext>
          </c:extLst>
        </c:ser>
        <c:ser>
          <c:idx val="5"/>
          <c:order val="5"/>
          <c:tx>
            <c:v>fz_ea</c:v>
          </c:tx>
          <c:marker>
            <c:symbol val="circle"/>
            <c:size val="8"/>
            <c:spPr>
              <a:noFill/>
              <a:ln w="25400">
                <a:solidFill>
                  <a:srgbClr val="00B0F0"/>
                </a:solidFill>
              </a:ln>
            </c:spPr>
          </c:marker>
          <c:dLbls>
            <c:dLbl>
              <c:idx val="0"/>
              <c:spPr/>
              <c:txPr>
                <a:bodyPr/>
                <a:lstStyle/>
                <a:p>
                  <a:pPr>
                    <a:defRPr b="1"/>
                  </a:pPr>
                  <a:endParaRPr lang="en-US"/>
                </a:p>
              </c:txPr>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2860-4C4C-B618-5424CA98233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CCM_Loop_Modeling_Isolated!$O$12</c:f>
              <c:numCache>
                <c:formatCode>General</c:formatCode>
                <c:ptCount val="1"/>
                <c:pt idx="0">
                  <c:v>137.01355293723773</c:v>
                </c:pt>
              </c:numCache>
            </c:numRef>
          </c:xVal>
          <c:yVal>
            <c:numRef>
              <c:f>CCM_Loop_Modeling_Isolated!$AW$12</c:f>
              <c:numCache>
                <c:formatCode>0.000</c:formatCode>
                <c:ptCount val="1"/>
                <c:pt idx="0">
                  <c:v>81.174796684756814</c:v>
                </c:pt>
              </c:numCache>
            </c:numRef>
          </c:yVal>
          <c:smooth val="1"/>
          <c:extLst>
            <c:ext xmlns:c16="http://schemas.microsoft.com/office/drawing/2014/chart" uri="{C3380CC4-5D6E-409C-BE32-E72D297353CC}">
              <c16:uniqueId val="{00000008-2860-4C4C-B618-5424CA982335}"/>
            </c:ext>
          </c:extLst>
        </c:ser>
        <c:dLbls>
          <c:showLegendKey val="0"/>
          <c:showVal val="0"/>
          <c:showCatName val="0"/>
          <c:showSerName val="0"/>
          <c:showPercent val="0"/>
          <c:showBubbleSize val="0"/>
        </c:dLbls>
        <c:axId val="377478144"/>
        <c:axId val="377496704"/>
      </c:scatterChart>
      <c:scatterChart>
        <c:scatterStyle val="smoothMarker"/>
        <c:varyColors val="0"/>
        <c:ser>
          <c:idx val="1"/>
          <c:order val="1"/>
          <c:tx>
            <c:v>Phase (deg)</c:v>
          </c:tx>
          <c:spPr>
            <a:ln w="28575">
              <a:solidFill>
                <a:schemeClr val="tx1">
                  <a:lumMod val="95000"/>
                  <a:lumOff val="5000"/>
                </a:schemeClr>
              </a:solidFill>
              <a:prstDash val="sysDash"/>
            </a:ln>
          </c:spPr>
          <c:marker>
            <c:symbol val="none"/>
          </c:marker>
          <c:xVal>
            <c:numRef>
              <c:f>CCM_Loop_Modeling_Isolated!$O$19:$O$560</c:f>
              <c:numCache>
                <c:formatCode>0.00</c:formatCode>
                <c:ptCount val="542"/>
                <c:pt idx="0">
                  <c:v>10.232929922807543</c:v>
                </c:pt>
                <c:pt idx="1">
                  <c:v>10.471285480509</c:v>
                </c:pt>
                <c:pt idx="2">
                  <c:v>10.715193052376069</c:v>
                </c:pt>
                <c:pt idx="3">
                  <c:v>10.964781961431854</c:v>
                </c:pt>
                <c:pt idx="4">
                  <c:v>11.220184543019636</c:v>
                </c:pt>
                <c:pt idx="5">
                  <c:v>11.481536214968834</c:v>
                </c:pt>
                <c:pt idx="6">
                  <c:v>11.748975549395301</c:v>
                </c:pt>
                <c:pt idx="7">
                  <c:v>12.022644346174133</c:v>
                </c:pt>
                <c:pt idx="8">
                  <c:v>12.302687708123818</c:v>
                </c:pt>
                <c:pt idx="9">
                  <c:v>12.58925411794168</c:v>
                </c:pt>
                <c:pt idx="10">
                  <c:v>12.882495516931346</c:v>
                </c:pt>
                <c:pt idx="11">
                  <c:v>13.182567385564075</c:v>
                </c:pt>
                <c:pt idx="12">
                  <c:v>13.489628825916535</c:v>
                </c:pt>
                <c:pt idx="13">
                  <c:v>13.803842646028857</c:v>
                </c:pt>
                <c:pt idx="14">
                  <c:v>14.125375446227544</c:v>
                </c:pt>
                <c:pt idx="15">
                  <c:v>14.454397707459275</c:v>
                </c:pt>
                <c:pt idx="16">
                  <c:v>14.791083881682074</c:v>
                </c:pt>
                <c:pt idx="17">
                  <c:v>15.135612484362087</c:v>
                </c:pt>
                <c:pt idx="18">
                  <c:v>15.488166189124817</c:v>
                </c:pt>
                <c:pt idx="19">
                  <c:v>15.848931924611136</c:v>
                </c:pt>
                <c:pt idx="20">
                  <c:v>16.218100973589298</c:v>
                </c:pt>
                <c:pt idx="21">
                  <c:v>16.595869074375614</c:v>
                </c:pt>
                <c:pt idx="22">
                  <c:v>16.982436524617448</c:v>
                </c:pt>
                <c:pt idx="23">
                  <c:v>17.378008287493756</c:v>
                </c:pt>
                <c:pt idx="24">
                  <c:v>17.782794100389236</c:v>
                </c:pt>
                <c:pt idx="25">
                  <c:v>18.197008586099841</c:v>
                </c:pt>
                <c:pt idx="26">
                  <c:v>18.62087136662868</c:v>
                </c:pt>
                <c:pt idx="27">
                  <c:v>19.054607179632477</c:v>
                </c:pt>
                <c:pt idx="28">
                  <c:v>19.498445997580465</c:v>
                </c:pt>
                <c:pt idx="29">
                  <c:v>19.952623149688804</c:v>
                </c:pt>
                <c:pt idx="30">
                  <c:v>20.4173794466953</c:v>
                </c:pt>
                <c:pt idx="31">
                  <c:v>20.8929613085404</c:v>
                </c:pt>
                <c:pt idx="32">
                  <c:v>21.379620895022335</c:v>
                </c:pt>
                <c:pt idx="33">
                  <c:v>21.877616239495538</c:v>
                </c:pt>
                <c:pt idx="34">
                  <c:v>22.387211385683404</c:v>
                </c:pt>
                <c:pt idx="35">
                  <c:v>22.908676527677727</c:v>
                </c:pt>
                <c:pt idx="36">
                  <c:v>23.442288153199236</c:v>
                </c:pt>
                <c:pt idx="37">
                  <c:v>23.988329190194907</c:v>
                </c:pt>
                <c:pt idx="38">
                  <c:v>24.547089156850316</c:v>
                </c:pt>
                <c:pt idx="39">
                  <c:v>25.118864315095799</c:v>
                </c:pt>
                <c:pt idx="40">
                  <c:v>25.703957827688647</c:v>
                </c:pt>
                <c:pt idx="41">
                  <c:v>26.302679918953825</c:v>
                </c:pt>
                <c:pt idx="42">
                  <c:v>26.915348039269158</c:v>
                </c:pt>
                <c:pt idx="43">
                  <c:v>27.542287033381665</c:v>
                </c:pt>
                <c:pt idx="44">
                  <c:v>28.183829312644548</c:v>
                </c:pt>
                <c:pt idx="45">
                  <c:v>28.840315031266066</c:v>
                </c:pt>
                <c:pt idx="46">
                  <c:v>29.512092266663863</c:v>
                </c:pt>
                <c:pt idx="47">
                  <c:v>30.199517204020164</c:v>
                </c:pt>
                <c:pt idx="48">
                  <c:v>30.902954325135919</c:v>
                </c:pt>
                <c:pt idx="49">
                  <c:v>31.622776601683803</c:v>
                </c:pt>
                <c:pt idx="50">
                  <c:v>32.359365692962832</c:v>
                </c:pt>
                <c:pt idx="51">
                  <c:v>33.113112148259127</c:v>
                </c:pt>
                <c:pt idx="52">
                  <c:v>33.884415613920268</c:v>
                </c:pt>
                <c:pt idx="53">
                  <c:v>34.67368504525318</c:v>
                </c:pt>
                <c:pt idx="54">
                  <c:v>35.481338923357555</c:v>
                </c:pt>
                <c:pt idx="55">
                  <c:v>36.307805477010156</c:v>
                </c:pt>
                <c:pt idx="56">
                  <c:v>37.15352290971726</c:v>
                </c:pt>
                <c:pt idx="57">
                  <c:v>38.018939632056139</c:v>
                </c:pt>
                <c:pt idx="58">
                  <c:v>38.904514499428053</c:v>
                </c:pt>
                <c:pt idx="59">
                  <c:v>39.810717055349755</c:v>
                </c:pt>
                <c:pt idx="60">
                  <c:v>40.738027780411279</c:v>
                </c:pt>
                <c:pt idx="61">
                  <c:v>41.686938347033561</c:v>
                </c:pt>
                <c:pt idx="62">
                  <c:v>42.657951880159267</c:v>
                </c:pt>
                <c:pt idx="63">
                  <c:v>43.651583224016633</c:v>
                </c:pt>
                <c:pt idx="64">
                  <c:v>44.668359215096324</c:v>
                </c:pt>
                <c:pt idx="65">
                  <c:v>45.70881896148753</c:v>
                </c:pt>
                <c:pt idx="66">
                  <c:v>46.773514128719818</c:v>
                </c:pt>
                <c:pt idx="67">
                  <c:v>47.863009232263877</c:v>
                </c:pt>
                <c:pt idx="68">
                  <c:v>48.977881936844632</c:v>
                </c:pt>
                <c:pt idx="69">
                  <c:v>50.118723362727238</c:v>
                </c:pt>
                <c:pt idx="70">
                  <c:v>51.28613839913649</c:v>
                </c:pt>
                <c:pt idx="71">
                  <c:v>52.480746024977286</c:v>
                </c:pt>
                <c:pt idx="72">
                  <c:v>53.703179637025293</c:v>
                </c:pt>
                <c:pt idx="73">
                  <c:v>54.95408738576247</c:v>
                </c:pt>
                <c:pt idx="74">
                  <c:v>56.234132519034915</c:v>
                </c:pt>
                <c:pt idx="75">
                  <c:v>57.543993733715695</c:v>
                </c:pt>
                <c:pt idx="76">
                  <c:v>58.884365535558949</c:v>
                </c:pt>
                <c:pt idx="77">
                  <c:v>60.255958607435822</c:v>
                </c:pt>
                <c:pt idx="78">
                  <c:v>61.659500186148257</c:v>
                </c:pt>
                <c:pt idx="79">
                  <c:v>63.095734448019364</c:v>
                </c:pt>
                <c:pt idx="80">
                  <c:v>64.565422903465588</c:v>
                </c:pt>
                <c:pt idx="81">
                  <c:v>66.069344800759623</c:v>
                </c:pt>
                <c:pt idx="82">
                  <c:v>67.60829753919819</c:v>
                </c:pt>
                <c:pt idx="83">
                  <c:v>69.183097091893657</c:v>
                </c:pt>
                <c:pt idx="84">
                  <c:v>70.794578438413865</c:v>
                </c:pt>
                <c:pt idx="85">
                  <c:v>72.443596007499011</c:v>
                </c:pt>
                <c:pt idx="86">
                  <c:v>74.131024130091816</c:v>
                </c:pt>
                <c:pt idx="87">
                  <c:v>75.857757502918361</c:v>
                </c:pt>
                <c:pt idx="88">
                  <c:v>77.624711662869217</c:v>
                </c:pt>
                <c:pt idx="89">
                  <c:v>79.432823472428197</c:v>
                </c:pt>
                <c:pt idx="90">
                  <c:v>81.283051616409963</c:v>
                </c:pt>
                <c:pt idx="91">
                  <c:v>83.176377110267126</c:v>
                </c:pt>
                <c:pt idx="92">
                  <c:v>85.113803820237734</c:v>
                </c:pt>
                <c:pt idx="93">
                  <c:v>87.096358995608071</c:v>
                </c:pt>
                <c:pt idx="94">
                  <c:v>89.125093813374562</c:v>
                </c:pt>
                <c:pt idx="95">
                  <c:v>91.201083935590972</c:v>
                </c:pt>
                <c:pt idx="96">
                  <c:v>93.325430079699174</c:v>
                </c:pt>
                <c:pt idx="97">
                  <c:v>95.499258602143655</c:v>
                </c:pt>
                <c:pt idx="98">
                  <c:v>97.723722095581124</c:v>
                </c:pt>
                <c:pt idx="99">
                  <c:v>100</c:v>
                </c:pt>
                <c:pt idx="100">
                  <c:v>102.32929922807544</c:v>
                </c:pt>
                <c:pt idx="101">
                  <c:v>104.71285480508998</c:v>
                </c:pt>
                <c:pt idx="102">
                  <c:v>107.15193052376065</c:v>
                </c:pt>
                <c:pt idx="103">
                  <c:v>109.64781961431861</c:v>
                </c:pt>
                <c:pt idx="104">
                  <c:v>112.20184543019634</c:v>
                </c:pt>
                <c:pt idx="105">
                  <c:v>114.81536214968835</c:v>
                </c:pt>
                <c:pt idx="106">
                  <c:v>117.48975549395293</c:v>
                </c:pt>
                <c:pt idx="107">
                  <c:v>120.22644346174135</c:v>
                </c:pt>
                <c:pt idx="108">
                  <c:v>123.02687708123821</c:v>
                </c:pt>
                <c:pt idx="109">
                  <c:v>125.89254117941677</c:v>
                </c:pt>
                <c:pt idx="110">
                  <c:v>128.82495516931343</c:v>
                </c:pt>
                <c:pt idx="111">
                  <c:v>131.82567385564084</c:v>
                </c:pt>
                <c:pt idx="112">
                  <c:v>134.89628825916537</c:v>
                </c:pt>
                <c:pt idx="113">
                  <c:v>138.0384264602886</c:v>
                </c:pt>
                <c:pt idx="114">
                  <c:v>141.25375446227542</c:v>
                </c:pt>
                <c:pt idx="115">
                  <c:v>144.54397707459285</c:v>
                </c:pt>
                <c:pt idx="116">
                  <c:v>147.91083881682084</c:v>
                </c:pt>
                <c:pt idx="117">
                  <c:v>151.3561248436209</c:v>
                </c:pt>
                <c:pt idx="118">
                  <c:v>154.8816618912482</c:v>
                </c:pt>
                <c:pt idx="119">
                  <c:v>158.48931924611153</c:v>
                </c:pt>
                <c:pt idx="120">
                  <c:v>162.18100973589304</c:v>
                </c:pt>
                <c:pt idx="121">
                  <c:v>165.95869074375622</c:v>
                </c:pt>
                <c:pt idx="122">
                  <c:v>169.82436524617444</c:v>
                </c:pt>
                <c:pt idx="123">
                  <c:v>173.78008287493768</c:v>
                </c:pt>
                <c:pt idx="124">
                  <c:v>177.82794100389242</c:v>
                </c:pt>
                <c:pt idx="125">
                  <c:v>181.9700858609983</c:v>
                </c:pt>
                <c:pt idx="126">
                  <c:v>186.20871366628685</c:v>
                </c:pt>
                <c:pt idx="127">
                  <c:v>190.54607179632498</c:v>
                </c:pt>
                <c:pt idx="128">
                  <c:v>194.98445997580458</c:v>
                </c:pt>
                <c:pt idx="129">
                  <c:v>199.52623149688802</c:v>
                </c:pt>
                <c:pt idx="130">
                  <c:v>204.17379446695315</c:v>
                </c:pt>
                <c:pt idx="131">
                  <c:v>208.92961308540396</c:v>
                </c:pt>
                <c:pt idx="132">
                  <c:v>213.79620895022339</c:v>
                </c:pt>
                <c:pt idx="133">
                  <c:v>218.77616239495524</c:v>
                </c:pt>
                <c:pt idx="134">
                  <c:v>223.87211385683412</c:v>
                </c:pt>
                <c:pt idx="135">
                  <c:v>229.08676527677744</c:v>
                </c:pt>
                <c:pt idx="136">
                  <c:v>234.42288153199232</c:v>
                </c:pt>
                <c:pt idx="137">
                  <c:v>239.88329190194912</c:v>
                </c:pt>
                <c:pt idx="138">
                  <c:v>245.4708915685033</c:v>
                </c:pt>
                <c:pt idx="139">
                  <c:v>251.18864315095806</c:v>
                </c:pt>
                <c:pt idx="140">
                  <c:v>257.03957827688663</c:v>
                </c:pt>
                <c:pt idx="141">
                  <c:v>263.02679918953817</c:v>
                </c:pt>
                <c:pt idx="142">
                  <c:v>269.15348039269179</c:v>
                </c:pt>
                <c:pt idx="143">
                  <c:v>275.42287033381683</c:v>
                </c:pt>
                <c:pt idx="144">
                  <c:v>281.83829312644554</c:v>
                </c:pt>
                <c:pt idx="145">
                  <c:v>288.40315031266073</c:v>
                </c:pt>
                <c:pt idx="146">
                  <c:v>295.12092266663871</c:v>
                </c:pt>
                <c:pt idx="147">
                  <c:v>301.99517204020168</c:v>
                </c:pt>
                <c:pt idx="148">
                  <c:v>309.02954325135937</c:v>
                </c:pt>
                <c:pt idx="149">
                  <c:v>316.22776601683825</c:v>
                </c:pt>
                <c:pt idx="150">
                  <c:v>323.59365692962825</c:v>
                </c:pt>
                <c:pt idx="151">
                  <c:v>331.13112148259137</c:v>
                </c:pt>
                <c:pt idx="152">
                  <c:v>338.84415613920277</c:v>
                </c:pt>
                <c:pt idx="153">
                  <c:v>346.73685045253183</c:v>
                </c:pt>
                <c:pt idx="154">
                  <c:v>354.81338923357566</c:v>
                </c:pt>
                <c:pt idx="155">
                  <c:v>363.07805477010152</c:v>
                </c:pt>
                <c:pt idx="156">
                  <c:v>371.53522909717265</c:v>
                </c:pt>
                <c:pt idx="157">
                  <c:v>380.18939632056163</c:v>
                </c:pt>
                <c:pt idx="158">
                  <c:v>389.04514499428063</c:v>
                </c:pt>
                <c:pt idx="159">
                  <c:v>398.10717055349761</c:v>
                </c:pt>
                <c:pt idx="160">
                  <c:v>407.38027780411272</c:v>
                </c:pt>
                <c:pt idx="161">
                  <c:v>416.86938347033572</c:v>
                </c:pt>
                <c:pt idx="162">
                  <c:v>426.57951880159294</c:v>
                </c:pt>
                <c:pt idx="163">
                  <c:v>436.51583224016622</c:v>
                </c:pt>
                <c:pt idx="164">
                  <c:v>446.68359215096331</c:v>
                </c:pt>
                <c:pt idx="165">
                  <c:v>457.0881896148756</c:v>
                </c:pt>
                <c:pt idx="166">
                  <c:v>467.7351412871983</c:v>
                </c:pt>
                <c:pt idx="167">
                  <c:v>478.63009232263886</c:v>
                </c:pt>
                <c:pt idx="168">
                  <c:v>489.77881936844625</c:v>
                </c:pt>
                <c:pt idx="169">
                  <c:v>501.18723362727269</c:v>
                </c:pt>
                <c:pt idx="170">
                  <c:v>512.86138399136519</c:v>
                </c:pt>
                <c:pt idx="171">
                  <c:v>524.80746024977248</c:v>
                </c:pt>
                <c:pt idx="172">
                  <c:v>537.03179637025301</c:v>
                </c:pt>
                <c:pt idx="173">
                  <c:v>549.54087385762534</c:v>
                </c:pt>
                <c:pt idx="174">
                  <c:v>562.34132519034927</c:v>
                </c:pt>
                <c:pt idx="175">
                  <c:v>575.43993733715706</c:v>
                </c:pt>
                <c:pt idx="176">
                  <c:v>588.84365535558959</c:v>
                </c:pt>
                <c:pt idx="177">
                  <c:v>602.55958607435832</c:v>
                </c:pt>
                <c:pt idx="178">
                  <c:v>616.59500186148273</c:v>
                </c:pt>
                <c:pt idx="179">
                  <c:v>630.95734448019323</c:v>
                </c:pt>
                <c:pt idx="180">
                  <c:v>645.65422903465594</c:v>
                </c:pt>
                <c:pt idx="181">
                  <c:v>660.69344800759643</c:v>
                </c:pt>
                <c:pt idx="182">
                  <c:v>676.08297539198213</c:v>
                </c:pt>
                <c:pt idx="183">
                  <c:v>691.83097091893671</c:v>
                </c:pt>
                <c:pt idx="184">
                  <c:v>707.94578438413873</c:v>
                </c:pt>
                <c:pt idx="185">
                  <c:v>724.43596007499025</c:v>
                </c:pt>
                <c:pt idx="186">
                  <c:v>741.31024130091828</c:v>
                </c:pt>
                <c:pt idx="187">
                  <c:v>758.57757502918378</c:v>
                </c:pt>
                <c:pt idx="188">
                  <c:v>776.24711662869231</c:v>
                </c:pt>
                <c:pt idx="189">
                  <c:v>794.32823472428208</c:v>
                </c:pt>
                <c:pt idx="190">
                  <c:v>812.83051616409978</c:v>
                </c:pt>
                <c:pt idx="191">
                  <c:v>831.7637711026714</c:v>
                </c:pt>
                <c:pt idx="192">
                  <c:v>851.13803820237763</c:v>
                </c:pt>
                <c:pt idx="193">
                  <c:v>870.96358995608091</c:v>
                </c:pt>
                <c:pt idx="194">
                  <c:v>891.25093813374656</c:v>
                </c:pt>
                <c:pt idx="195">
                  <c:v>912.01083935590987</c:v>
                </c:pt>
                <c:pt idx="196">
                  <c:v>933.25430079699106</c:v>
                </c:pt>
                <c:pt idx="197">
                  <c:v>954.99258602143675</c:v>
                </c:pt>
                <c:pt idx="198">
                  <c:v>977.23722095581138</c:v>
                </c:pt>
                <c:pt idx="199">
                  <c:v>1000</c:v>
                </c:pt>
                <c:pt idx="200">
                  <c:v>1023.2929922807547</c:v>
                </c:pt>
                <c:pt idx="201">
                  <c:v>1047.1285480509</c:v>
                </c:pt>
                <c:pt idx="202">
                  <c:v>1071.5193052376069</c:v>
                </c:pt>
                <c:pt idx="203">
                  <c:v>1096.4781961431863</c:v>
                </c:pt>
                <c:pt idx="204">
                  <c:v>1122.0184543019636</c:v>
                </c:pt>
                <c:pt idx="205">
                  <c:v>1148.1536214968839</c:v>
                </c:pt>
                <c:pt idx="206">
                  <c:v>1174.8975549395295</c:v>
                </c:pt>
                <c:pt idx="207">
                  <c:v>1202.2644346174138</c:v>
                </c:pt>
                <c:pt idx="208">
                  <c:v>1230.2687708123824</c:v>
                </c:pt>
                <c:pt idx="209">
                  <c:v>1258.925411794168</c:v>
                </c:pt>
                <c:pt idx="210">
                  <c:v>1288.2495516931347</c:v>
                </c:pt>
                <c:pt idx="211">
                  <c:v>1318.2567385564089</c:v>
                </c:pt>
                <c:pt idx="212">
                  <c:v>1348.9628825916541</c:v>
                </c:pt>
                <c:pt idx="213">
                  <c:v>1380.3842646028863</c:v>
                </c:pt>
                <c:pt idx="214">
                  <c:v>1412.5375446227545</c:v>
                </c:pt>
                <c:pt idx="215">
                  <c:v>1445.4397707459289</c:v>
                </c:pt>
                <c:pt idx="216">
                  <c:v>1479.1083881682086</c:v>
                </c:pt>
                <c:pt idx="217">
                  <c:v>1513.5612484362093</c:v>
                </c:pt>
                <c:pt idx="218">
                  <c:v>1548.8166189124822</c:v>
                </c:pt>
                <c:pt idx="219">
                  <c:v>1584.8931924611156</c:v>
                </c:pt>
                <c:pt idx="220">
                  <c:v>1621.8100973589308</c:v>
                </c:pt>
                <c:pt idx="221">
                  <c:v>1659.5869074375626</c:v>
                </c:pt>
                <c:pt idx="222">
                  <c:v>1698.2436524617447</c:v>
                </c:pt>
                <c:pt idx="223">
                  <c:v>1737.8008287493772</c:v>
                </c:pt>
                <c:pt idx="224">
                  <c:v>1778.2794100389244</c:v>
                </c:pt>
                <c:pt idx="225">
                  <c:v>1819.7008586099832</c:v>
                </c:pt>
                <c:pt idx="226">
                  <c:v>1862.0871366628687</c:v>
                </c:pt>
                <c:pt idx="227">
                  <c:v>1905.4607179632501</c:v>
                </c:pt>
                <c:pt idx="228">
                  <c:v>1949.8445997580463</c:v>
                </c:pt>
                <c:pt idx="229">
                  <c:v>1995.2623149688804</c:v>
                </c:pt>
                <c:pt idx="230">
                  <c:v>2041.7379446695318</c:v>
                </c:pt>
                <c:pt idx="231">
                  <c:v>2089.2961308540398</c:v>
                </c:pt>
                <c:pt idx="232">
                  <c:v>2137.9620895022344</c:v>
                </c:pt>
                <c:pt idx="233">
                  <c:v>2187.7616239495528</c:v>
                </c:pt>
                <c:pt idx="234">
                  <c:v>2238.7211385683418</c:v>
                </c:pt>
                <c:pt idx="235">
                  <c:v>2290.8676527677749</c:v>
                </c:pt>
                <c:pt idx="236">
                  <c:v>2344.2288153199238</c:v>
                </c:pt>
                <c:pt idx="237">
                  <c:v>2398.8329190194918</c:v>
                </c:pt>
                <c:pt idx="238">
                  <c:v>2454.7089156850338</c:v>
                </c:pt>
                <c:pt idx="239">
                  <c:v>2511.8864315095811</c:v>
                </c:pt>
                <c:pt idx="240">
                  <c:v>2570.3957827688669</c:v>
                </c:pt>
                <c:pt idx="241">
                  <c:v>2630.2679918953822</c:v>
                </c:pt>
                <c:pt idx="242">
                  <c:v>2691.5348039269184</c:v>
                </c:pt>
                <c:pt idx="243">
                  <c:v>2754.228703338169</c:v>
                </c:pt>
                <c:pt idx="244">
                  <c:v>2818.3829312644561</c:v>
                </c:pt>
                <c:pt idx="245">
                  <c:v>2884.0315031266077</c:v>
                </c:pt>
                <c:pt idx="246">
                  <c:v>2951.2092266663876</c:v>
                </c:pt>
                <c:pt idx="247">
                  <c:v>3019.9517204020176</c:v>
                </c:pt>
                <c:pt idx="248">
                  <c:v>3090.295432513592</c:v>
                </c:pt>
                <c:pt idx="249">
                  <c:v>3162.2776601683804</c:v>
                </c:pt>
                <c:pt idx="250">
                  <c:v>3235.9365692962833</c:v>
                </c:pt>
                <c:pt idx="251">
                  <c:v>3311.3112148259115</c:v>
                </c:pt>
                <c:pt idx="252">
                  <c:v>3388.4415613920314</c:v>
                </c:pt>
                <c:pt idx="253">
                  <c:v>3467.3685045253224</c:v>
                </c:pt>
                <c:pt idx="254">
                  <c:v>3548.1338923357539</c:v>
                </c:pt>
                <c:pt idx="255">
                  <c:v>3630.7805477010188</c:v>
                </c:pt>
                <c:pt idx="256">
                  <c:v>3715.352290971724</c:v>
                </c:pt>
                <c:pt idx="257">
                  <c:v>3801.8939632056172</c:v>
                </c:pt>
                <c:pt idx="258">
                  <c:v>3890.451449942811</c:v>
                </c:pt>
                <c:pt idx="259">
                  <c:v>3981.0717055349769</c:v>
                </c:pt>
                <c:pt idx="260">
                  <c:v>4073.8027780411317</c:v>
                </c:pt>
                <c:pt idx="261">
                  <c:v>4168.6938347033583</c:v>
                </c:pt>
                <c:pt idx="262">
                  <c:v>4265.7951880159299</c:v>
                </c:pt>
                <c:pt idx="263">
                  <c:v>4365.1583224016631</c:v>
                </c:pt>
                <c:pt idx="264">
                  <c:v>4466.8359215096343</c:v>
                </c:pt>
                <c:pt idx="265">
                  <c:v>4570.8818961487532</c:v>
                </c:pt>
                <c:pt idx="266">
                  <c:v>4677.3514128719844</c:v>
                </c:pt>
                <c:pt idx="267">
                  <c:v>4786.3009232263848</c:v>
                </c:pt>
                <c:pt idx="268">
                  <c:v>4897.7881936844633</c:v>
                </c:pt>
                <c:pt idx="269">
                  <c:v>5011.8723362727324</c:v>
                </c:pt>
                <c:pt idx="270">
                  <c:v>5128.6138399136489</c:v>
                </c:pt>
                <c:pt idx="271">
                  <c:v>5248.0746024977261</c:v>
                </c:pt>
                <c:pt idx="272">
                  <c:v>5370.3179637025269</c:v>
                </c:pt>
                <c:pt idx="273">
                  <c:v>5495.4087385762541</c:v>
                </c:pt>
                <c:pt idx="274">
                  <c:v>5623.4132519034993</c:v>
                </c:pt>
                <c:pt idx="275">
                  <c:v>5754.399373371567</c:v>
                </c:pt>
                <c:pt idx="276">
                  <c:v>5888.4365535558973</c:v>
                </c:pt>
                <c:pt idx="277">
                  <c:v>6025.595860743585</c:v>
                </c:pt>
                <c:pt idx="278">
                  <c:v>6165.9500186148289</c:v>
                </c:pt>
                <c:pt idx="279">
                  <c:v>6309.5734448019384</c:v>
                </c:pt>
                <c:pt idx="280">
                  <c:v>6456.5422903465615</c:v>
                </c:pt>
                <c:pt idx="281">
                  <c:v>6606.9344800759654</c:v>
                </c:pt>
                <c:pt idx="282">
                  <c:v>6760.8297539198229</c:v>
                </c:pt>
                <c:pt idx="283">
                  <c:v>6918.3097091893687</c:v>
                </c:pt>
                <c:pt idx="284">
                  <c:v>7079.4578438413828</c:v>
                </c:pt>
                <c:pt idx="285">
                  <c:v>7244.3596007499036</c:v>
                </c:pt>
                <c:pt idx="286">
                  <c:v>7413.1024130091773</c:v>
                </c:pt>
                <c:pt idx="287">
                  <c:v>7585.7757502918394</c:v>
                </c:pt>
                <c:pt idx="288">
                  <c:v>7762.4711662869322</c:v>
                </c:pt>
                <c:pt idx="289">
                  <c:v>7943.2823472428154</c:v>
                </c:pt>
                <c:pt idx="290">
                  <c:v>8128.3051616410066</c:v>
                </c:pt>
                <c:pt idx="291">
                  <c:v>8317.6377110267094</c:v>
                </c:pt>
                <c:pt idx="292">
                  <c:v>8511.3803820237772</c:v>
                </c:pt>
                <c:pt idx="293">
                  <c:v>8709.6358995608189</c:v>
                </c:pt>
                <c:pt idx="294">
                  <c:v>8912.5093813374679</c:v>
                </c:pt>
                <c:pt idx="295">
                  <c:v>9120.1083935591087</c:v>
                </c:pt>
                <c:pt idx="296">
                  <c:v>9332.5430079699217</c:v>
                </c:pt>
                <c:pt idx="297">
                  <c:v>9549.9258602143691</c:v>
                </c:pt>
                <c:pt idx="298">
                  <c:v>9772.3722095581161</c:v>
                </c:pt>
                <c:pt idx="299">
                  <c:v>10000</c:v>
                </c:pt>
                <c:pt idx="300">
                  <c:v>10232.929922807549</c:v>
                </c:pt>
                <c:pt idx="301">
                  <c:v>10471.285480509003</c:v>
                </c:pt>
                <c:pt idx="302">
                  <c:v>10715.193052376071</c:v>
                </c:pt>
                <c:pt idx="303">
                  <c:v>10964.781961431856</c:v>
                </c:pt>
                <c:pt idx="304">
                  <c:v>11220.184543019639</c:v>
                </c:pt>
                <c:pt idx="305">
                  <c:v>11481.536214968832</c:v>
                </c:pt>
                <c:pt idx="306">
                  <c:v>11748.975549395318</c:v>
                </c:pt>
                <c:pt idx="307">
                  <c:v>12022.644346174151</c:v>
                </c:pt>
                <c:pt idx="308">
                  <c:v>12302.687708123816</c:v>
                </c:pt>
                <c:pt idx="309">
                  <c:v>12589.254117941671</c:v>
                </c:pt>
                <c:pt idx="310">
                  <c:v>12882.49551693136</c:v>
                </c:pt>
                <c:pt idx="311">
                  <c:v>13182.567385564091</c:v>
                </c:pt>
                <c:pt idx="312">
                  <c:v>13489.628825916556</c:v>
                </c:pt>
                <c:pt idx="313">
                  <c:v>13803.842646028841</c:v>
                </c:pt>
                <c:pt idx="314">
                  <c:v>14125.375446227561</c:v>
                </c:pt>
                <c:pt idx="315">
                  <c:v>14454.397707459291</c:v>
                </c:pt>
                <c:pt idx="316">
                  <c:v>14791.083881682089</c:v>
                </c:pt>
                <c:pt idx="317">
                  <c:v>15135.612484362096</c:v>
                </c:pt>
                <c:pt idx="318">
                  <c:v>15488.166189124853</c:v>
                </c:pt>
                <c:pt idx="319">
                  <c:v>15848.931924611146</c:v>
                </c:pt>
                <c:pt idx="320">
                  <c:v>16218.100973589309</c:v>
                </c:pt>
                <c:pt idx="321">
                  <c:v>16595.869074375616</c:v>
                </c:pt>
                <c:pt idx="322">
                  <c:v>16982.436524617482</c:v>
                </c:pt>
                <c:pt idx="323">
                  <c:v>17378.008287493791</c:v>
                </c:pt>
                <c:pt idx="324">
                  <c:v>17782.794100389234</c:v>
                </c:pt>
                <c:pt idx="325">
                  <c:v>18197.008586099837</c:v>
                </c:pt>
                <c:pt idx="326">
                  <c:v>18620.871366628675</c:v>
                </c:pt>
                <c:pt idx="327">
                  <c:v>19054.607179632505</c:v>
                </c:pt>
                <c:pt idx="328">
                  <c:v>19498.445997580486</c:v>
                </c:pt>
                <c:pt idx="329">
                  <c:v>19952.623149688792</c:v>
                </c:pt>
                <c:pt idx="330">
                  <c:v>20417.379446695286</c:v>
                </c:pt>
                <c:pt idx="331">
                  <c:v>20892.961308540423</c:v>
                </c:pt>
                <c:pt idx="332">
                  <c:v>21379.620895022348</c:v>
                </c:pt>
                <c:pt idx="333">
                  <c:v>21877.61623949555</c:v>
                </c:pt>
                <c:pt idx="334">
                  <c:v>22387.211385683382</c:v>
                </c:pt>
                <c:pt idx="335">
                  <c:v>22908.676527677751</c:v>
                </c:pt>
                <c:pt idx="336">
                  <c:v>23442.288153199243</c:v>
                </c:pt>
                <c:pt idx="337">
                  <c:v>23988.329190194923</c:v>
                </c:pt>
                <c:pt idx="338">
                  <c:v>24547.089156850321</c:v>
                </c:pt>
                <c:pt idx="339">
                  <c:v>25118.86431509586</c:v>
                </c:pt>
                <c:pt idx="340">
                  <c:v>25703.95782768865</c:v>
                </c:pt>
                <c:pt idx="341">
                  <c:v>26302.679918953829</c:v>
                </c:pt>
                <c:pt idx="342">
                  <c:v>26915.348039269167</c:v>
                </c:pt>
                <c:pt idx="343">
                  <c:v>27542.287033381719</c:v>
                </c:pt>
                <c:pt idx="344">
                  <c:v>28183.829312644593</c:v>
                </c:pt>
                <c:pt idx="345">
                  <c:v>28840.315031266062</c:v>
                </c:pt>
                <c:pt idx="346">
                  <c:v>29512.092266663854</c:v>
                </c:pt>
                <c:pt idx="347">
                  <c:v>30199.517204020212</c:v>
                </c:pt>
                <c:pt idx="348">
                  <c:v>30902.954325135954</c:v>
                </c:pt>
                <c:pt idx="349">
                  <c:v>31622.77660168384</c:v>
                </c:pt>
                <c:pt idx="350">
                  <c:v>32359.365692962871</c:v>
                </c:pt>
                <c:pt idx="351">
                  <c:v>33113.11214825909</c:v>
                </c:pt>
                <c:pt idx="352">
                  <c:v>33884.41561392029</c:v>
                </c:pt>
                <c:pt idx="353">
                  <c:v>34673.685045253202</c:v>
                </c:pt>
                <c:pt idx="354">
                  <c:v>35481.33892335758</c:v>
                </c:pt>
                <c:pt idx="355">
                  <c:v>36307.805477010232</c:v>
                </c:pt>
                <c:pt idx="356">
                  <c:v>37153.522909717351</c:v>
                </c:pt>
                <c:pt idx="357">
                  <c:v>38018.939632056143</c:v>
                </c:pt>
                <c:pt idx="358">
                  <c:v>38904.514499428085</c:v>
                </c:pt>
                <c:pt idx="359">
                  <c:v>39810.717055349742</c:v>
                </c:pt>
                <c:pt idx="360">
                  <c:v>40738.027780411358</c:v>
                </c:pt>
                <c:pt idx="361">
                  <c:v>41686.938347033625</c:v>
                </c:pt>
                <c:pt idx="362">
                  <c:v>42657.951880159271</c:v>
                </c:pt>
                <c:pt idx="363">
                  <c:v>43651.583224016598</c:v>
                </c:pt>
                <c:pt idx="364">
                  <c:v>44668.359215096389</c:v>
                </c:pt>
                <c:pt idx="365">
                  <c:v>45708.818961487581</c:v>
                </c:pt>
                <c:pt idx="366">
                  <c:v>46773.514128719893</c:v>
                </c:pt>
                <c:pt idx="367">
                  <c:v>47863.009232263823</c:v>
                </c:pt>
                <c:pt idx="368">
                  <c:v>48977.881936844598</c:v>
                </c:pt>
                <c:pt idx="369">
                  <c:v>50118.723362727294</c:v>
                </c:pt>
                <c:pt idx="370">
                  <c:v>51286.138399136544</c:v>
                </c:pt>
                <c:pt idx="371">
                  <c:v>52480.746024977314</c:v>
                </c:pt>
                <c:pt idx="372">
                  <c:v>53703.179637025423</c:v>
                </c:pt>
                <c:pt idx="373">
                  <c:v>54954.087385762505</c:v>
                </c:pt>
                <c:pt idx="374">
                  <c:v>56234.132519034953</c:v>
                </c:pt>
                <c:pt idx="375">
                  <c:v>57543.993733715732</c:v>
                </c:pt>
                <c:pt idx="376">
                  <c:v>58884.365535558936</c:v>
                </c:pt>
                <c:pt idx="377">
                  <c:v>60255.95860743591</c:v>
                </c:pt>
                <c:pt idx="378">
                  <c:v>61659.500186148245</c:v>
                </c:pt>
                <c:pt idx="379">
                  <c:v>63095.734448019342</c:v>
                </c:pt>
                <c:pt idx="380">
                  <c:v>64565.422903465682</c:v>
                </c:pt>
                <c:pt idx="381">
                  <c:v>66069.344800759733</c:v>
                </c:pt>
                <c:pt idx="382">
                  <c:v>67608.297539198305</c:v>
                </c:pt>
                <c:pt idx="383">
                  <c:v>69183.097091893651</c:v>
                </c:pt>
                <c:pt idx="384">
                  <c:v>70794.578438413781</c:v>
                </c:pt>
                <c:pt idx="385">
                  <c:v>72443.596007499116</c:v>
                </c:pt>
                <c:pt idx="386">
                  <c:v>74131.024130091857</c:v>
                </c:pt>
                <c:pt idx="387">
                  <c:v>75857.757502918481</c:v>
                </c:pt>
                <c:pt idx="388">
                  <c:v>77624.711662869129</c:v>
                </c:pt>
                <c:pt idx="389">
                  <c:v>79432.823472428237</c:v>
                </c:pt>
                <c:pt idx="390">
                  <c:v>81283.051616410012</c:v>
                </c:pt>
                <c:pt idx="391">
                  <c:v>83176.377110267174</c:v>
                </c:pt>
                <c:pt idx="392">
                  <c:v>85113.803820237721</c:v>
                </c:pt>
                <c:pt idx="393">
                  <c:v>87096.358995608127</c:v>
                </c:pt>
                <c:pt idx="394">
                  <c:v>89125.093813374609</c:v>
                </c:pt>
                <c:pt idx="395">
                  <c:v>91201.083935591028</c:v>
                </c:pt>
                <c:pt idx="396">
                  <c:v>93325.430079699145</c:v>
                </c:pt>
                <c:pt idx="397">
                  <c:v>95499.258602143804</c:v>
                </c:pt>
                <c:pt idx="398">
                  <c:v>97723.722095581266</c:v>
                </c:pt>
                <c:pt idx="399">
                  <c:v>100000</c:v>
                </c:pt>
                <c:pt idx="400">
                  <c:v>102329.29922807543</c:v>
                </c:pt>
                <c:pt idx="401">
                  <c:v>104712.85480508996</c:v>
                </c:pt>
                <c:pt idx="402">
                  <c:v>107151.93052376082</c:v>
                </c:pt>
                <c:pt idx="403">
                  <c:v>109647.81961431868</c:v>
                </c:pt>
                <c:pt idx="404">
                  <c:v>112201.84543019651</c:v>
                </c:pt>
                <c:pt idx="405">
                  <c:v>114815.36214968823</c:v>
                </c:pt>
                <c:pt idx="406">
                  <c:v>117489.75549395311</c:v>
                </c:pt>
                <c:pt idx="407">
                  <c:v>120226.44346174144</c:v>
                </c:pt>
                <c:pt idx="408">
                  <c:v>123026.87708123829</c:v>
                </c:pt>
                <c:pt idx="409">
                  <c:v>125892.54117941685</c:v>
                </c:pt>
                <c:pt idx="410">
                  <c:v>128824.95516931375</c:v>
                </c:pt>
                <c:pt idx="411">
                  <c:v>131825.67385564081</c:v>
                </c:pt>
                <c:pt idx="412">
                  <c:v>134896.28825916545</c:v>
                </c:pt>
                <c:pt idx="413">
                  <c:v>138038.42646028858</c:v>
                </c:pt>
                <c:pt idx="414">
                  <c:v>141253.75446227577</c:v>
                </c:pt>
                <c:pt idx="415">
                  <c:v>144543.97707459307</c:v>
                </c:pt>
                <c:pt idx="416">
                  <c:v>147910.83881682079</c:v>
                </c:pt>
                <c:pt idx="417">
                  <c:v>151356.12484362084</c:v>
                </c:pt>
                <c:pt idx="418">
                  <c:v>154881.66189124843</c:v>
                </c:pt>
                <c:pt idx="419">
                  <c:v>158489.31924611164</c:v>
                </c:pt>
                <c:pt idx="420">
                  <c:v>162181.00973589328</c:v>
                </c:pt>
                <c:pt idx="421">
                  <c:v>165958.69074375604</c:v>
                </c:pt>
                <c:pt idx="422">
                  <c:v>169824.36524617471</c:v>
                </c:pt>
                <c:pt idx="423">
                  <c:v>173780.0828749378</c:v>
                </c:pt>
                <c:pt idx="424">
                  <c:v>177827.94100389251</c:v>
                </c:pt>
                <c:pt idx="425">
                  <c:v>181970.08586099857</c:v>
                </c:pt>
                <c:pt idx="426">
                  <c:v>186208.71366628664</c:v>
                </c:pt>
                <c:pt idx="427">
                  <c:v>190546.07179632492</c:v>
                </c:pt>
                <c:pt idx="428">
                  <c:v>194984.45997580473</c:v>
                </c:pt>
                <c:pt idx="429">
                  <c:v>199526.23149688813</c:v>
                </c:pt>
                <c:pt idx="430">
                  <c:v>204173.79446695308</c:v>
                </c:pt>
                <c:pt idx="431">
                  <c:v>208929.61308540447</c:v>
                </c:pt>
                <c:pt idx="432">
                  <c:v>213796.20895022334</c:v>
                </c:pt>
                <c:pt idx="433">
                  <c:v>218776.16239495538</c:v>
                </c:pt>
                <c:pt idx="434">
                  <c:v>223872.11385683404</c:v>
                </c:pt>
                <c:pt idx="435">
                  <c:v>229086.76527677779</c:v>
                </c:pt>
                <c:pt idx="436">
                  <c:v>234422.88153199267</c:v>
                </c:pt>
                <c:pt idx="437">
                  <c:v>239883.29190194907</c:v>
                </c:pt>
                <c:pt idx="438">
                  <c:v>245470.89156850305</c:v>
                </c:pt>
                <c:pt idx="439">
                  <c:v>251188.64315095844</c:v>
                </c:pt>
                <c:pt idx="440">
                  <c:v>257039.57827688678</c:v>
                </c:pt>
                <c:pt idx="441">
                  <c:v>263026.79918953858</c:v>
                </c:pt>
                <c:pt idx="442">
                  <c:v>269153.48039269145</c:v>
                </c:pt>
                <c:pt idx="443">
                  <c:v>275422.87033381703</c:v>
                </c:pt>
                <c:pt idx="444">
                  <c:v>281838.29312644573</c:v>
                </c:pt>
                <c:pt idx="445">
                  <c:v>288403.1503126609</c:v>
                </c:pt>
                <c:pt idx="446">
                  <c:v>295120.92266663886</c:v>
                </c:pt>
                <c:pt idx="447">
                  <c:v>301995.17204020242</c:v>
                </c:pt>
                <c:pt idx="448">
                  <c:v>309029.54325135931</c:v>
                </c:pt>
                <c:pt idx="449">
                  <c:v>316227.7660168382</c:v>
                </c:pt>
                <c:pt idx="450">
                  <c:v>323593.65692962846</c:v>
                </c:pt>
                <c:pt idx="451">
                  <c:v>331131.12148259126</c:v>
                </c:pt>
                <c:pt idx="452">
                  <c:v>338844.15613920329</c:v>
                </c:pt>
                <c:pt idx="453">
                  <c:v>346736.85045253241</c:v>
                </c:pt>
                <c:pt idx="454">
                  <c:v>354813.38923357555</c:v>
                </c:pt>
                <c:pt idx="455">
                  <c:v>363078.05477010203</c:v>
                </c:pt>
                <c:pt idx="456">
                  <c:v>371535.2290971732</c:v>
                </c:pt>
                <c:pt idx="457">
                  <c:v>380189.39632056188</c:v>
                </c:pt>
                <c:pt idx="458">
                  <c:v>389045.14499428123</c:v>
                </c:pt>
                <c:pt idx="459">
                  <c:v>398107.17055349716</c:v>
                </c:pt>
                <c:pt idx="460">
                  <c:v>407380.27780411334</c:v>
                </c:pt>
                <c:pt idx="461">
                  <c:v>416869.38347033598</c:v>
                </c:pt>
                <c:pt idx="462">
                  <c:v>426579.51880159322</c:v>
                </c:pt>
                <c:pt idx="463">
                  <c:v>436515.83224016649</c:v>
                </c:pt>
                <c:pt idx="464">
                  <c:v>446683.59215096442</c:v>
                </c:pt>
                <c:pt idx="465">
                  <c:v>457088.18961487547</c:v>
                </c:pt>
                <c:pt idx="466">
                  <c:v>467735.14128719864</c:v>
                </c:pt>
                <c:pt idx="467">
                  <c:v>478630.09232263872</c:v>
                </c:pt>
                <c:pt idx="468">
                  <c:v>489778.81936844654</c:v>
                </c:pt>
                <c:pt idx="469">
                  <c:v>501187.23362727347</c:v>
                </c:pt>
                <c:pt idx="470">
                  <c:v>512861.38399136515</c:v>
                </c:pt>
                <c:pt idx="471">
                  <c:v>524807.46024977288</c:v>
                </c:pt>
                <c:pt idx="472">
                  <c:v>537031.7963702539</c:v>
                </c:pt>
                <c:pt idx="473">
                  <c:v>549540.87385762564</c:v>
                </c:pt>
                <c:pt idx="474">
                  <c:v>562341.32519035018</c:v>
                </c:pt>
                <c:pt idx="475">
                  <c:v>575439.93733715697</c:v>
                </c:pt>
                <c:pt idx="476">
                  <c:v>588843.65535558888</c:v>
                </c:pt>
                <c:pt idx="477">
                  <c:v>602559.58607435878</c:v>
                </c:pt>
                <c:pt idx="478">
                  <c:v>616595.00186148309</c:v>
                </c:pt>
                <c:pt idx="479">
                  <c:v>630957.34448019415</c:v>
                </c:pt>
                <c:pt idx="480">
                  <c:v>645654.22903465747</c:v>
                </c:pt>
                <c:pt idx="481">
                  <c:v>660693.44800759677</c:v>
                </c:pt>
                <c:pt idx="482">
                  <c:v>676082.97539198259</c:v>
                </c:pt>
                <c:pt idx="483">
                  <c:v>691830.97091893724</c:v>
                </c:pt>
                <c:pt idx="484">
                  <c:v>707945.78438413853</c:v>
                </c:pt>
                <c:pt idx="485">
                  <c:v>724435.96007499192</c:v>
                </c:pt>
                <c:pt idx="486">
                  <c:v>741310.24130091805</c:v>
                </c:pt>
                <c:pt idx="487">
                  <c:v>758577.57502918423</c:v>
                </c:pt>
                <c:pt idx="488">
                  <c:v>776247.11662869214</c:v>
                </c:pt>
                <c:pt idx="489">
                  <c:v>794328.23472428333</c:v>
                </c:pt>
                <c:pt idx="490">
                  <c:v>812830.51616410096</c:v>
                </c:pt>
                <c:pt idx="491">
                  <c:v>831763.77110267128</c:v>
                </c:pt>
                <c:pt idx="492">
                  <c:v>851138.03820237669</c:v>
                </c:pt>
                <c:pt idx="493">
                  <c:v>870963.58995608077</c:v>
                </c:pt>
                <c:pt idx="494">
                  <c:v>891250.93813374708</c:v>
                </c:pt>
                <c:pt idx="495">
                  <c:v>912010.83935591124</c:v>
                </c:pt>
                <c:pt idx="496">
                  <c:v>933254.30079699249</c:v>
                </c:pt>
                <c:pt idx="497">
                  <c:v>954992.58602143743</c:v>
                </c:pt>
                <c:pt idx="498">
                  <c:v>977237.22095581202</c:v>
                </c:pt>
                <c:pt idx="499">
                  <c:v>1000000</c:v>
                </c:pt>
                <c:pt idx="500">
                  <c:v>1023292.9922807553</c:v>
                </c:pt>
                <c:pt idx="501">
                  <c:v>1047128.5480509007</c:v>
                </c:pt>
                <c:pt idx="502">
                  <c:v>1071519.3052376076</c:v>
                </c:pt>
                <c:pt idx="503">
                  <c:v>1096478.196143186</c:v>
                </c:pt>
                <c:pt idx="504">
                  <c:v>1122018.4543019643</c:v>
                </c:pt>
                <c:pt idx="505">
                  <c:v>1148153.6214968837</c:v>
                </c:pt>
                <c:pt idx="506">
                  <c:v>1174897.5549395324</c:v>
                </c:pt>
                <c:pt idx="507">
                  <c:v>1202264.4346174158</c:v>
                </c:pt>
                <c:pt idx="508">
                  <c:v>1230268.770812382</c:v>
                </c:pt>
                <c:pt idx="509">
                  <c:v>1258925.4117941677</c:v>
                </c:pt>
                <c:pt idx="510">
                  <c:v>1288249.5516931366</c:v>
                </c:pt>
                <c:pt idx="511">
                  <c:v>1318256.7385564097</c:v>
                </c:pt>
                <c:pt idx="512">
                  <c:v>1348962.8825916562</c:v>
                </c:pt>
                <c:pt idx="513">
                  <c:v>1380384.2646028849</c:v>
                </c:pt>
                <c:pt idx="514">
                  <c:v>1412537.5446227565</c:v>
                </c:pt>
                <c:pt idx="515">
                  <c:v>1445439.7707459298</c:v>
                </c:pt>
                <c:pt idx="516">
                  <c:v>1479108.3881682095</c:v>
                </c:pt>
                <c:pt idx="517">
                  <c:v>1513561.2484362102</c:v>
                </c:pt>
                <c:pt idx="518">
                  <c:v>1548816.6189124861</c:v>
                </c:pt>
                <c:pt idx="519">
                  <c:v>1584893.1924611153</c:v>
                </c:pt>
                <c:pt idx="520">
                  <c:v>1621810.0973589318</c:v>
                </c:pt>
                <c:pt idx="521">
                  <c:v>1659586.9074375622</c:v>
                </c:pt>
                <c:pt idx="522">
                  <c:v>1698243.6524617488</c:v>
                </c:pt>
                <c:pt idx="523">
                  <c:v>1737800.8287493798</c:v>
                </c:pt>
                <c:pt idx="524">
                  <c:v>1778279.4100389241</c:v>
                </c:pt>
                <c:pt idx="525">
                  <c:v>1819700.8586099846</c:v>
                </c:pt>
                <c:pt idx="526">
                  <c:v>1862087.1366628683</c:v>
                </c:pt>
                <c:pt idx="527">
                  <c:v>1905460.7179632513</c:v>
                </c:pt>
                <c:pt idx="528">
                  <c:v>1949844.5997580495</c:v>
                </c:pt>
                <c:pt idx="529">
                  <c:v>1995262.31496888</c:v>
                </c:pt>
                <c:pt idx="530">
                  <c:v>2041737.9446695296</c:v>
                </c:pt>
                <c:pt idx="531">
                  <c:v>2089296.1308540432</c:v>
                </c:pt>
                <c:pt idx="532">
                  <c:v>2137962.0895022359</c:v>
                </c:pt>
                <c:pt idx="533">
                  <c:v>2187761.6239495561</c:v>
                </c:pt>
                <c:pt idx="534">
                  <c:v>2238721.1385683389</c:v>
                </c:pt>
                <c:pt idx="535">
                  <c:v>2290867.6527677765</c:v>
                </c:pt>
                <c:pt idx="536">
                  <c:v>2344228.8153199251</c:v>
                </c:pt>
                <c:pt idx="537">
                  <c:v>2398832.9190194933</c:v>
                </c:pt>
                <c:pt idx="538">
                  <c:v>2454708.915685033</c:v>
                </c:pt>
                <c:pt idx="539">
                  <c:v>2511886.431509587</c:v>
                </c:pt>
                <c:pt idx="540">
                  <c:v>2570395.782768866</c:v>
                </c:pt>
                <c:pt idx="541">
                  <c:v>2630267.9918953842</c:v>
                </c:pt>
              </c:numCache>
            </c:numRef>
          </c:xVal>
          <c:yVal>
            <c:numRef>
              <c:f>CCM_Loop_Modeling_Isolated!$AX$19:$AX$560</c:f>
              <c:numCache>
                <c:formatCode>General</c:formatCode>
                <c:ptCount val="542"/>
                <c:pt idx="0">
                  <c:v>161.29135984544462</c:v>
                </c:pt>
                <c:pt idx="1">
                  <c:v>160.91963119532016</c:v>
                </c:pt>
                <c:pt idx="2">
                  <c:v>160.53980634932762</c:v>
                </c:pt>
                <c:pt idx="3">
                  <c:v>160.15181280548768</c:v>
                </c:pt>
                <c:pt idx="4">
                  <c:v>159.7555812559456</c:v>
                </c:pt>
                <c:pt idx="5">
                  <c:v>159.35104591335701</c:v>
                </c:pt>
                <c:pt idx="6">
                  <c:v>158.93814484856887</c:v>
                </c:pt>
                <c:pt idx="7">
                  <c:v>158.51682033910566</c:v>
                </c:pt>
                <c:pt idx="8">
                  <c:v>158.08701922785443</c:v>
                </c:pt>
                <c:pt idx="9">
                  <c:v>157.64869329121544</c:v>
                </c:pt>
                <c:pt idx="10">
                  <c:v>157.2017996158493</c:v>
                </c:pt>
                <c:pt idx="11">
                  <c:v>156.74630098301259</c:v>
                </c:pt>
                <c:pt idx="12">
                  <c:v>156.28216625932816</c:v>
                </c:pt>
                <c:pt idx="13">
                  <c:v>155.80937079267056</c:v>
                </c:pt>
                <c:pt idx="14">
                  <c:v>155.32789681170294</c:v>
                </c:pt>
                <c:pt idx="15">
                  <c:v>154.83773382742555</c:v>
                </c:pt>
                <c:pt idx="16">
                  <c:v>154.33887903493743</c:v>
                </c:pt>
                <c:pt idx="17">
                  <c:v>153.83133771344231</c:v>
                </c:pt>
                <c:pt idx="18">
                  <c:v>153.31512362237228</c:v>
                </c:pt>
                <c:pt idx="19">
                  <c:v>152.7902593913299</c:v>
                </c:pt>
                <c:pt idx="20">
                  <c:v>152.25677690140728</c:v>
                </c:pt>
                <c:pt idx="21">
                  <c:v>151.71471765528574</c:v>
                </c:pt>
                <c:pt idx="22">
                  <c:v>151.16413313339083</c:v>
                </c:pt>
                <c:pt idx="23">
                  <c:v>150.60508513325311</c:v>
                </c:pt>
                <c:pt idx="24">
                  <c:v>150.03764608913013</c:v>
                </c:pt>
                <c:pt idx="25">
                  <c:v>149.46189936885773</c:v>
                </c:pt>
                <c:pt idx="26">
                  <c:v>148.87793954484923</c:v>
                </c:pt>
                <c:pt idx="27">
                  <c:v>148.28587263613082</c:v>
                </c:pt>
                <c:pt idx="28">
                  <c:v>147.68581631830145</c:v>
                </c:pt>
                <c:pt idx="29">
                  <c:v>147.07790009835315</c:v>
                </c:pt>
                <c:pt idx="30">
                  <c:v>146.46226545134718</c:v>
                </c:pt>
                <c:pt idx="31">
                  <c:v>145.83906591606618</c:v>
                </c:pt>
                <c:pt idx="32">
                  <c:v>145.20846714691334</c:v>
                </c:pt>
                <c:pt idx="33">
                  <c:v>144.57064691951868</c:v>
                </c:pt>
                <c:pt idx="34">
                  <c:v>143.92579508776217</c:v>
                </c:pt>
                <c:pt idx="35">
                  <c:v>143.27411349019752</c:v>
                </c:pt>
                <c:pt idx="36">
                  <c:v>142.61581580418479</c:v>
                </c:pt>
                <c:pt idx="37">
                  <c:v>141.95112734640711</c:v>
                </c:pt>
                <c:pt idx="38">
                  <c:v>141.2802848188422</c:v>
                </c:pt>
                <c:pt idx="39">
                  <c:v>140.60353599970361</c:v>
                </c:pt>
                <c:pt idx="40">
                  <c:v>139.92113937931779</c:v>
                </c:pt>
                <c:pt idx="41">
                  <c:v>139.23336374140916</c:v>
                </c:pt>
                <c:pt idx="42">
                  <c:v>138.54048769075769</c:v>
                </c:pt>
                <c:pt idx="43">
                  <c:v>137.84279912872336</c:v>
                </c:pt>
                <c:pt idx="44">
                  <c:v>137.14059467864661</c:v>
                </c:pt>
                <c:pt idx="45">
                  <c:v>136.43417906365823</c:v>
                </c:pt>
                <c:pt idx="46">
                  <c:v>135.72386443993429</c:v>
                </c:pt>
                <c:pt idx="47">
                  <c:v>135.00996968891681</c:v>
                </c:pt>
                <c:pt idx="48">
                  <c:v>134.29281967247954</c:v>
                </c:pt>
                <c:pt idx="49">
                  <c:v>133.5727444554287</c:v>
                </c:pt>
                <c:pt idx="50">
                  <c:v>132.85007850010606</c:v>
                </c:pt>
                <c:pt idx="51">
                  <c:v>132.12515983817659</c:v>
                </c:pt>
                <c:pt idx="52">
                  <c:v>131.3983292249462</c:v>
                </c:pt>
                <c:pt idx="53">
                  <c:v>130.66992928173613</c:v>
                </c:pt>
                <c:pt idx="54">
                  <c:v>129.94030363199002</c:v>
                </c:pt>
                <c:pt idx="55">
                  <c:v>129.20979603681201</c:v>
                </c:pt>
                <c:pt idx="56">
                  <c:v>128.47874953564263</c:v>
                </c:pt>
                <c:pt idx="57">
                  <c:v>127.74750559765658</c:v>
                </c:pt>
                <c:pt idx="58">
                  <c:v>127.01640328932909</c:v>
                </c:pt>
                <c:pt idx="59">
                  <c:v>126.28577846334456</c:v>
                </c:pt>
                <c:pt idx="60">
                  <c:v>125.55596297375047</c:v>
                </c:pt>
                <c:pt idx="61">
                  <c:v>124.8272839218714</c:v>
                </c:pt>
                <c:pt idx="62">
                  <c:v>124.10006293708445</c:v>
                </c:pt>
                <c:pt idx="63">
                  <c:v>123.37461549609424</c:v>
                </c:pt>
                <c:pt idx="64">
                  <c:v>122.65125028382782</c:v>
                </c:pt>
                <c:pt idx="65">
                  <c:v>121.93026859854324</c:v>
                </c:pt>
                <c:pt idx="66">
                  <c:v>121.21196380317301</c:v>
                </c:pt>
                <c:pt idx="67">
                  <c:v>120.49662082435798</c:v>
                </c:pt>
                <c:pt idx="68">
                  <c:v>119.78451570005281</c:v>
                </c:pt>
                <c:pt idx="69">
                  <c:v>119.07591517600358</c:v>
                </c:pt>
                <c:pt idx="70">
                  <c:v>118.37107635084897</c:v>
                </c:pt>
                <c:pt idx="71">
                  <c:v>117.67024636906619</c:v>
                </c:pt>
                <c:pt idx="72">
                  <c:v>116.97366216046883</c:v>
                </c:pt>
                <c:pt idx="73">
                  <c:v>116.28155022450402</c:v>
                </c:pt>
                <c:pt idx="74">
                  <c:v>115.59412645718058</c:v>
                </c:pt>
                <c:pt idx="75">
                  <c:v>114.9115960180699</c:v>
                </c:pt>
                <c:pt idx="76">
                  <c:v>114.23415323451329</c:v>
                </c:pt>
                <c:pt idx="77">
                  <c:v>113.56198153990208</c:v>
                </c:pt>
                <c:pt idx="78">
                  <c:v>112.89525344268749</c:v>
                </c:pt>
                <c:pt idx="79">
                  <c:v>112.23413052262809</c:v>
                </c:pt>
                <c:pt idx="80">
                  <c:v>111.57876345071338</c:v>
                </c:pt>
                <c:pt idx="81">
                  <c:v>110.92929202915356</c:v>
                </c:pt>
                <c:pt idx="82">
                  <c:v>110.28584524787648</c:v>
                </c:pt>
                <c:pt idx="83">
                  <c:v>109.64854135405999</c:v>
                </c:pt>
                <c:pt idx="84">
                  <c:v>109.01748793136726</c:v>
                </c:pt>
                <c:pt idx="85">
                  <c:v>108.39278198575425</c:v>
                </c:pt>
                <c:pt idx="86">
                  <c:v>107.77451003495729</c:v>
                </c:pt>
                <c:pt idx="87">
                  <c:v>107.16274819905391</c:v>
                </c:pt>
                <c:pt idx="88">
                  <c:v>106.55756228980886</c:v>
                </c:pt>
                <c:pt idx="89">
                  <c:v>105.95900789686485</c:v>
                </c:pt>
                <c:pt idx="90">
                  <c:v>105.36713046921525</c:v>
                </c:pt>
                <c:pt idx="91">
                  <c:v>104.78196539078235</c:v>
                </c:pt>
                <c:pt idx="92">
                  <c:v>104.20353804932677</c:v>
                </c:pt>
                <c:pt idx="93">
                  <c:v>103.63186389831623</c:v>
                </c:pt>
                <c:pt idx="94">
                  <c:v>103.06694851177967</c:v>
                </c:pt>
                <c:pt idx="95">
                  <c:v>102.50878763255855</c:v>
                </c:pt>
                <c:pt idx="96">
                  <c:v>101.9573672147354</c:v>
                </c:pt>
                <c:pt idx="97">
                  <c:v>101.41266346135717</c:v>
                </c:pt>
                <c:pt idx="98">
                  <c:v>100.87464285888107</c:v>
                </c:pt>
                <c:pt idx="99">
                  <c:v>100.3432622100397</c:v>
                </c:pt>
                <c:pt idx="100">
                  <c:v>99.818468667045181</c:v>
                </c:pt>
                <c:pt idx="101">
                  <c:v>99.300199767230666</c:v>
                </c:pt>
                <c:pt idx="102">
                  <c:v>98.788383473349683</c:v>
                </c:pt>
                <c:pt idx="103">
                  <c:v>98.282938220827987</c:v>
                </c:pt>
                <c:pt idx="104">
                  <c:v>97.78377297427221</c:v>
                </c:pt>
                <c:pt idx="105">
                  <c:v>97.290787295503108</c:v>
                </c:pt>
                <c:pt idx="106">
                  <c:v>96.803871425280079</c:v>
                </c:pt>
                <c:pt idx="107">
                  <c:v>96.322906380742239</c:v>
                </c:pt>
                <c:pt idx="108">
                  <c:v>95.847764070388607</c:v>
                </c:pt>
                <c:pt idx="109">
                  <c:v>95.378307428183163</c:v>
                </c:pt>
                <c:pt idx="110">
                  <c:v>94.914390568089928</c:v>
                </c:pt>
                <c:pt idx="111">
                  <c:v>94.455858960037162</c:v>
                </c:pt>
                <c:pt idx="112">
                  <c:v>94.002549627966744</c:v>
                </c:pt>
                <c:pt idx="113">
                  <c:v>93.554291370286919</c:v>
                </c:pt>
                <c:pt idx="114">
                  <c:v>93.110905002672169</c:v>
                </c:pt>
                <c:pt idx="115">
                  <c:v>92.672203622810713</c:v>
                </c:pt>
                <c:pt idx="116">
                  <c:v>92.237992896333367</c:v>
                </c:pt>
                <c:pt idx="117">
                  <c:v>91.808071362831484</c:v>
                </c:pt>
                <c:pt idx="118">
                  <c:v>91.382230760558741</c:v>
                </c:pt>
                <c:pt idx="119">
                  <c:v>90.960256368112013</c:v>
                </c:pt>
                <c:pt idx="120">
                  <c:v>90.541927361161882</c:v>
                </c:pt>
                <c:pt idx="121">
                  <c:v>90.127017182062147</c:v>
                </c:pt>
                <c:pt idx="122">
                  <c:v>89.715293920023086</c:v>
                </c:pt>
                <c:pt idx="123">
                  <c:v>89.306520699392095</c:v>
                </c:pt>
                <c:pt idx="124">
                  <c:v>88.900456073509048</c:v>
                </c:pt>
                <c:pt idx="125">
                  <c:v>88.496854421574042</c:v>
                </c:pt>
                <c:pt idx="126">
                  <c:v>88.095466345966599</c:v>
                </c:pt>
                <c:pt idx="127">
                  <c:v>87.696039067511947</c:v>
                </c:pt>
                <c:pt idx="128">
                  <c:v>87.298316816275644</c:v>
                </c:pt>
                <c:pt idx="129">
                  <c:v>86.902041215606587</c:v>
                </c:pt>
                <c:pt idx="130">
                  <c:v>86.506951657284219</c:v>
                </c:pt>
                <c:pt idx="131">
                  <c:v>86.112785665835204</c:v>
                </c:pt>
                <c:pt idx="132">
                  <c:v>85.719279250268983</c:v>
                </c:pt>
                <c:pt idx="133">
                  <c:v>85.326167241726367</c:v>
                </c:pt>
                <c:pt idx="134">
                  <c:v>84.933183615749741</c:v>
                </c:pt>
                <c:pt idx="135">
                  <c:v>84.540061798147633</c:v>
                </c:pt>
                <c:pt idx="136">
                  <c:v>84.146534953654921</c:v>
                </c:pt>
                <c:pt idx="137">
                  <c:v>83.752336256844799</c:v>
                </c:pt>
                <c:pt idx="138">
                  <c:v>83.357199144985614</c:v>
                </c:pt>
                <c:pt idx="139">
                  <c:v>82.960857552761524</c:v>
                </c:pt>
                <c:pt idx="140">
                  <c:v>82.563046129003439</c:v>
                </c:pt>
                <c:pt idx="141">
                  <c:v>82.163500435771965</c:v>
                </c:pt>
                <c:pt idx="142">
                  <c:v>81.761957130333002</c:v>
                </c:pt>
                <c:pt idx="143">
                  <c:v>81.358154130729474</c:v>
                </c:pt>
                <c:pt idx="144">
                  <c:v>80.951830765812659</c:v>
                </c:pt>
                <c:pt idx="145">
                  <c:v>80.542727910731145</c:v>
                </c:pt>
                <c:pt idx="146">
                  <c:v>80.130588108988249</c:v>
                </c:pt>
                <c:pt idx="147">
                  <c:v>79.715155682278507</c:v>
                </c:pt>
                <c:pt idx="148">
                  <c:v>79.296176829396273</c:v>
                </c:pt>
                <c:pt idx="149">
                  <c:v>78.87339971556581</c:v>
                </c:pt>
                <c:pt idx="150">
                  <c:v>78.446574553591063</c:v>
                </c:pt>
                <c:pt idx="151">
                  <c:v>78.01545367825382</c:v>
                </c:pt>
                <c:pt idx="152">
                  <c:v>77.579791615402669</c:v>
                </c:pt>
                <c:pt idx="153">
                  <c:v>77.13934514717603</c:v>
                </c:pt>
                <c:pt idx="154">
                  <c:v>76.693873374796084</c:v>
                </c:pt>
                <c:pt idx="155">
                  <c:v>76.243137780345137</c:v>
                </c:pt>
                <c:pt idx="156">
                  <c:v>75.78690228890818</c:v>
                </c:pt>
                <c:pt idx="157">
                  <c:v>75.324933332418425</c:v>
                </c:pt>
                <c:pt idx="158">
                  <c:v>74.856999916506254</c:v>
                </c:pt>
                <c:pt idx="159">
                  <c:v>74.382873691579832</c:v>
                </c:pt>
                <c:pt idx="160">
                  <c:v>73.902329029319702</c:v>
                </c:pt>
                <c:pt idx="161">
                  <c:v>73.415143105686766</c:v>
                </c:pt>
                <c:pt idx="162">
                  <c:v>72.92109599148155</c:v>
                </c:pt>
                <c:pt idx="163">
                  <c:v>72.419970751400953</c:v>
                </c:pt>
                <c:pt idx="164">
                  <c:v>71.911553552467481</c:v>
                </c:pt>
                <c:pt idx="165">
                  <c:v>71.395633782603241</c:v>
                </c:pt>
                <c:pt idx="166">
                  <c:v>70.872004180040719</c:v>
                </c:pt>
                <c:pt idx="167">
                  <c:v>70.340460974150091</c:v>
                </c:pt>
                <c:pt idx="168">
                  <c:v>69.800804038173254</c:v>
                </c:pt>
                <c:pt idx="169">
                  <c:v>69.252837054231478</c:v>
                </c:pt>
                <c:pt idx="170">
                  <c:v>68.696367690872421</c:v>
                </c:pt>
                <c:pt idx="171">
                  <c:v>68.131207793296653</c:v>
                </c:pt>
                <c:pt idx="172">
                  <c:v>67.557173586278907</c:v>
                </c:pt>
                <c:pt idx="173">
                  <c:v>66.97408588967005</c:v>
                </c:pt>
                <c:pt idx="174">
                  <c:v>66.381770346230908</c:v>
                </c:pt>
                <c:pt idx="175">
                  <c:v>65.780057661404499</c:v>
                </c:pt>
                <c:pt idx="176">
                  <c:v>65.168783854484772</c:v>
                </c:pt>
                <c:pt idx="177">
                  <c:v>64.547790520488832</c:v>
                </c:pt>
                <c:pt idx="178">
                  <c:v>63.916925101878498</c:v>
                </c:pt>
                <c:pt idx="179">
                  <c:v>63.276041169111586</c:v>
                </c:pt>
                <c:pt idx="180">
                  <c:v>62.624998708840685</c:v>
                </c:pt>
                <c:pt idx="181">
                  <c:v>61.963664418393584</c:v>
                </c:pt>
                <c:pt idx="182">
                  <c:v>61.291912005011532</c:v>
                </c:pt>
                <c:pt idx="183">
                  <c:v>60.609622488128011</c:v>
                </c:pt>
                <c:pt idx="184">
                  <c:v>59.916684502809318</c:v>
                </c:pt>
                <c:pt idx="185">
                  <c:v>59.212994602294785</c:v>
                </c:pt>
                <c:pt idx="186">
                  <c:v>58.49845755741196</c:v>
                </c:pt>
                <c:pt idx="187">
                  <c:v>57.772986650474166</c:v>
                </c:pt>
                <c:pt idx="188">
                  <c:v>57.036503961112317</c:v>
                </c:pt>
                <c:pt idx="189">
                  <c:v>56.288940641355616</c:v>
                </c:pt>
                <c:pt idx="190">
                  <c:v>55.53023717713814</c:v>
                </c:pt>
                <c:pt idx="191">
                  <c:v>54.760343633302746</c:v>
                </c:pt>
                <c:pt idx="192">
                  <c:v>53.979219879080794</c:v>
                </c:pt>
                <c:pt idx="193">
                  <c:v>53.186835790954269</c:v>
                </c:pt>
                <c:pt idx="194">
                  <c:v>52.383171429774116</c:v>
                </c:pt>
                <c:pt idx="195">
                  <c:v>51.56821718899041</c:v>
                </c:pt>
                <c:pt idx="196">
                  <c:v>50.741973910878549</c:v>
                </c:pt>
                <c:pt idx="197">
                  <c:v>49.904452967700813</c:v>
                </c:pt>
                <c:pt idx="198">
                  <c:v>49.055676304843566</c:v>
                </c:pt>
                <c:pt idx="199">
                  <c:v>48.195676443107011</c:v>
                </c:pt>
                <c:pt idx="200">
                  <c:v>47.324496437503974</c:v>
                </c:pt>
                <c:pt idx="201">
                  <c:v>46.442189790159595</c:v>
                </c:pt>
                <c:pt idx="202">
                  <c:v>45.548820315154025</c:v>
                </c:pt>
                <c:pt idx="203">
                  <c:v>44.644461953486136</c:v>
                </c:pt>
                <c:pt idx="204">
                  <c:v>43.72919853667134</c:v>
                </c:pt>
                <c:pt idx="205">
                  <c:v>42.803123497899001</c:v>
                </c:pt>
                <c:pt idx="206">
                  <c:v>41.866339530098799</c:v>
                </c:pt>
                <c:pt idx="207">
                  <c:v>40.918958190741684</c:v>
                </c:pt>
                <c:pt idx="208">
                  <c:v>39.961099453693151</c:v>
                </c:pt>
                <c:pt idx="209">
                  <c:v>38.992891208962334</c:v>
                </c:pt>
                <c:pt idx="210">
                  <c:v>38.014468711727751</c:v>
                </c:pt>
                <c:pt idx="211">
                  <c:v>37.025973982571912</c:v>
                </c:pt>
                <c:pt idx="212">
                  <c:v>36.027555161410426</c:v>
                </c:pt>
                <c:pt idx="213">
                  <c:v>35.019365818144095</c:v>
                </c:pt>
                <c:pt idx="214">
                  <c:v>34.001564223604525</c:v>
                </c:pt>
                <c:pt idx="215">
                  <c:v>32.974312584867882</c:v>
                </c:pt>
                <c:pt idx="216">
                  <c:v>31.93777624949843</c:v>
                </c:pt>
                <c:pt idx="217">
                  <c:v>30.892122883724351</c:v>
                </c:pt>
                <c:pt idx="218">
                  <c:v>29.837521629945794</c:v>
                </c:pt>
                <c:pt idx="219">
                  <c:v>28.77414224931848</c:v>
                </c:pt>
                <c:pt idx="220">
                  <c:v>27.702154255445343</c:v>
                </c:pt>
                <c:pt idx="221">
                  <c:v>26.621726045421973</c:v>
                </c:pt>
                <c:pt idx="222">
                  <c:v>25.533024034645859</c:v>
                </c:pt>
                <c:pt idx="223">
                  <c:v>24.43621180186863</c:v>
                </c:pt>
                <c:pt idx="224">
                  <c:v>23.331449250999945</c:v>
                </c:pt>
                <c:pt idx="225">
                  <c:v>22.218891796089064</c:v>
                </c:pt>
                <c:pt idx="226">
                  <c:v>21.098689575797373</c:v>
                </c:pt>
                <c:pt idx="227">
                  <c:v>19.970986703472597</c:v>
                </c:pt>
                <c:pt idx="228">
                  <c:v>18.83592055866594</c:v>
                </c:pt>
                <c:pt idx="229">
                  <c:v>17.693621125616406</c:v>
                </c:pt>
                <c:pt idx="230">
                  <c:v>16.544210383870421</c:v>
                </c:pt>
                <c:pt idx="231">
                  <c:v>15.387801755748669</c:v>
                </c:pt>
                <c:pt idx="232">
                  <c:v>14.224499614960999</c:v>
                </c:pt>
                <c:pt idx="233">
                  <c:v>13.054398860137352</c:v>
                </c:pt>
                <c:pt idx="234">
                  <c:v>11.877584556572309</c:v>
                </c:pt>
                <c:pt idx="235">
                  <c:v>10.694131648922992</c:v>
                </c:pt>
                <c:pt idx="236">
                  <c:v>9.5041047470873838</c:v>
                </c:pt>
                <c:pt idx="237">
                  <c:v>8.3075579869523768</c:v>
                </c:pt>
                <c:pt idx="238">
                  <c:v>7.1045349671701947</c:v>
                </c:pt>
                <c:pt idx="239">
                  <c:v>5.8950687626170888</c:v>
                </c:pt>
                <c:pt idx="240">
                  <c:v>4.6791820146957024</c:v>
                </c:pt>
                <c:pt idx="241">
                  <c:v>3.456887098157956</c:v>
                </c:pt>
                <c:pt idx="242">
                  <c:v>2.2281863637056283</c:v>
                </c:pt>
                <c:pt idx="243">
                  <c:v>0.99307245518706766</c:v>
                </c:pt>
                <c:pt idx="244">
                  <c:v>-0.24847130015491009</c:v>
                </c:pt>
                <c:pt idx="245">
                  <c:v>-1.4964704302982506</c:v>
                </c:pt>
                <c:pt idx="246">
                  <c:v>-2.750958788132154</c:v>
                </c:pt>
                <c:pt idx="247">
                  <c:v>-4.0119779547452072</c:v>
                </c:pt>
                <c:pt idx="248">
                  <c:v>-5.2795765790741678</c:v>
                </c:pt>
                <c:pt idx="249">
                  <c:v>-6.5538096569187605</c:v>
                </c:pt>
                <c:pt idx="250">
                  <c:v>-7.8347377525283219</c:v>
                </c:pt>
                <c:pt idx="251">
                  <c:v>-9.1224261661501984</c:v>
                </c:pt>
                <c:pt idx="252">
                  <c:v>-10.416944051098072</c:v>
                </c:pt>
                <c:pt idx="253">
                  <c:v>-11.718363484046437</c:v>
                </c:pt>
                <c:pt idx="254">
                  <c:v>-13.026758492397114</c:v>
                </c:pt>
                <c:pt idx="255">
                  <c:v>-14.342204042693087</c:v>
                </c:pt>
                <c:pt idx="256">
                  <c:v>-15.664774994177012</c:v>
                </c:pt>
                <c:pt idx="257">
                  <c:v>-16.994545021727298</c:v>
                </c:pt>
                <c:pt idx="258">
                  <c:v>-18.331585512510564</c:v>
                </c:pt>
                <c:pt idx="259">
                  <c:v>-19.675964440829322</c:v>
                </c:pt>
                <c:pt idx="260">
                  <c:v>-21.02774522577046</c:v>
                </c:pt>
                <c:pt idx="261">
                  <c:v>-22.386985576397908</c:v>
                </c:pt>
                <c:pt idx="262">
                  <c:v>-23.753736329371851</c:v>
                </c:pt>
                <c:pt idx="263">
                  <c:v>-25.128040284036913</c:v>
                </c:pt>
                <c:pt idx="264">
                  <c:v>-26.509931040159415</c:v>
                </c:pt>
                <c:pt idx="265">
                  <c:v>-27.899431843671884</c:v>
                </c:pt>
                <c:pt idx="266">
                  <c:v>-29.296554445922968</c:v>
                </c:pt>
                <c:pt idx="267">
                  <c:v>-30.701297982109761</c:v>
                </c:pt>
                <c:pt idx="268">
                  <c:v>-32.113647874703226</c:v>
                </c:pt>
                <c:pt idx="269">
                  <c:v>-33.533574767838843</c:v>
                </c:pt>
                <c:pt idx="270">
                  <c:v>-34.961033498764607</c:v>
                </c:pt>
                <c:pt idx="271">
                  <c:v>-36.395962112558614</c:v>
                </c:pt>
                <c:pt idx="272">
                  <c:v>-37.838280926402234</c:v>
                </c:pt>
                <c:pt idx="273">
                  <c:v>-39.287891649772014</c:v>
                </c:pt>
                <c:pt idx="274">
                  <c:v>-40.744676566909909</c:v>
                </c:pt>
                <c:pt idx="275">
                  <c:v>-42.208497787923761</c:v>
                </c:pt>
                <c:pt idx="276">
                  <c:v>-43.679196574788321</c:v>
                </c:pt>
                <c:pt idx="277">
                  <c:v>-45.156592748390096</c:v>
                </c:pt>
                <c:pt idx="278">
                  <c:v>-46.640484182572628</c:v>
                </c:pt>
                <c:pt idx="279">
                  <c:v>-48.130646390875171</c:v>
                </c:pt>
                <c:pt idx="280">
                  <c:v>-49.626832211343611</c:v>
                </c:pt>
                <c:pt idx="281">
                  <c:v>-51.128771594380318</c:v>
                </c:pt>
                <c:pt idx="282">
                  <c:v>-52.636171498139618</c:v>
                </c:pt>
                <c:pt idx="283">
                  <c:v>-54.1487158954126</c:v>
                </c:pt>
                <c:pt idx="284">
                  <c:v>-55.666065895328586</c:v>
                </c:pt>
                <c:pt idx="285">
                  <c:v>-57.187859982498992</c:v>
                </c:pt>
                <c:pt idx="286">
                  <c:v>-58.713714375457727</c:v>
                </c:pt>
                <c:pt idx="287">
                  <c:v>-60.243223505429349</c:v>
                </c:pt>
                <c:pt idx="288">
                  <c:v>-61.775960615552101</c:v>
                </c:pt>
                <c:pt idx="289">
                  <c:v>-63.311478479765121</c:v>
                </c:pt>
                <c:pt idx="290">
                  <c:v>-64.849310239576994</c:v>
                </c:pt>
                <c:pt idx="291">
                  <c:v>-66.388970355939904</c:v>
                </c:pt>
                <c:pt idx="292">
                  <c:v>-67.929955672444649</c:v>
                </c:pt>
                <c:pt idx="293">
                  <c:v>-69.471746585026651</c:v>
                </c:pt>
                <c:pt idx="294">
                  <c:v>-71.013808312387383</c:v>
                </c:pt>
                <c:pt idx="295">
                  <c:v>-72.555592260365032</c:v>
                </c:pt>
                <c:pt idx="296">
                  <c:v>-74.096537472571356</c:v>
                </c:pt>
                <c:pt idx="297">
                  <c:v>-75.636072158750693</c:v>
                </c:pt>
                <c:pt idx="298">
                  <c:v>-77.173615291541282</c:v>
                </c:pt>
                <c:pt idx="299">
                  <c:v>-78.708578261620602</c:v>
                </c:pt>
                <c:pt idx="300">
                  <c:v>-80.240366580636206</c:v>
                </c:pt>
                <c:pt idx="301">
                  <c:v>-81.76838162083537</c:v>
                </c:pt>
                <c:pt idx="302">
                  <c:v>-83.292022379965843</c:v>
                </c:pt>
                <c:pt idx="303">
                  <c:v>-84.810687259777907</c:v>
                </c:pt>
                <c:pt idx="304">
                  <c:v>-86.323775846375597</c:v>
                </c:pt>
                <c:pt idx="305">
                  <c:v>-87.830690680699234</c:v>
                </c:pt>
                <c:pt idx="306">
                  <c:v>-89.330839007597845</c:v>
                </c:pt>
                <c:pt idx="307">
                  <c:v>-90.823634492248232</c:v>
                </c:pt>
                <c:pt idx="308">
                  <c:v>-92.30849889312131</c:v>
                </c:pt>
                <c:pt idx="309">
                  <c:v>-93.784863681223129</c:v>
                </c:pt>
                <c:pt idx="310">
                  <c:v>-95.252171596011834</c:v>
                </c:pt>
                <c:pt idx="311">
                  <c:v>-96.709878129134168</c:v>
                </c:pt>
                <c:pt idx="312">
                  <c:v>-98.157452927956399</c:v>
                </c:pt>
                <c:pt idx="313">
                  <c:v>-99.5943811117736</c:v>
                </c:pt>
                <c:pt idx="314">
                  <c:v>-101.02016449453366</c:v>
                </c:pt>
                <c:pt idx="315">
                  <c:v>-102.43432270891212</c:v>
                </c:pt>
                <c:pt idx="316">
                  <c:v>-103.83639422757871</c:v>
                </c:pt>
                <c:pt idx="317">
                  <c:v>-105.22593727854245</c:v>
                </c:pt>
                <c:pt idx="318">
                  <c:v>-106.60253065245368</c:v>
                </c:pt>
                <c:pt idx="319">
                  <c:v>-107.96577440075822</c:v>
                </c:pt>
                <c:pt idx="320">
                  <c:v>-109.31529042455104</c:v>
                </c:pt>
                <c:pt idx="321">
                  <c:v>-110.65072295488336</c:v>
                </c:pt>
                <c:pt idx="322">
                  <c:v>-111.97173892615703</c:v>
                </c:pt>
                <c:pt idx="323">
                  <c:v>-113.27802824501549</c:v>
                </c:pt>
                <c:pt idx="324">
                  <c:v>-114.5693039578757</c:v>
                </c:pt>
                <c:pt idx="325">
                  <c:v>-115.84530232088363</c:v>
                </c:pt>
                <c:pt idx="326">
                  <c:v>-117.10578277665131</c:v>
                </c:pt>
                <c:pt idx="327">
                  <c:v>-118.35052784261877</c:v>
                </c:pt>
                <c:pt idx="328">
                  <c:v>-119.57934291627362</c:v>
                </c:pt>
                <c:pt idx="329">
                  <c:v>-120.79205600281324</c:v>
                </c:pt>
                <c:pt idx="330">
                  <c:v>-121.98851737102561</c:v>
                </c:pt>
                <c:pt idx="331">
                  <c:v>-123.16859914340017</c:v>
                </c:pt>
                <c:pt idx="332">
                  <c:v>-124.33219482650401</c:v>
                </c:pt>
                <c:pt idx="333">
                  <c:v>-125.47921878775034</c:v>
                </c:pt>
                <c:pt idx="334">
                  <c:v>-126.60960568459552</c:v>
                </c:pt>
                <c:pt idx="335">
                  <c:v>-127.72330985216426</c:v>
                </c:pt>
                <c:pt idx="336">
                  <c:v>-128.82030465511721</c:v>
                </c:pt>
                <c:pt idx="337">
                  <c:v>-129.90058180943569</c:v>
                </c:pt>
                <c:pt idx="338">
                  <c:v>-130.96415067954393</c:v>
                </c:pt>
                <c:pt idx="339">
                  <c:v>-132.01103755596537</c:v>
                </c:pt>
                <c:pt idx="340">
                  <c:v>-133.04128491841828</c:v>
                </c:pt>
                <c:pt idx="341">
                  <c:v>-134.0549506889802</c:v>
                </c:pt>
                <c:pt idx="342">
                  <c:v>-135.05210747962022</c:v>
                </c:pt>
                <c:pt idx="343">
                  <c:v>-136.03284183810413</c:v>
                </c:pt>
                <c:pt idx="344">
                  <c:v>-136.99725349594002</c:v>
                </c:pt>
                <c:pt idx="345">
                  <c:v>-137.94545462172175</c:v>
                </c:pt>
                <c:pt idx="346">
                  <c:v>-138.8775690828995</c:v>
                </c:pt>
                <c:pt idx="347">
                  <c:v>-139.79373171869571</c:v>
                </c:pt>
                <c:pt idx="348">
                  <c:v>-140.69408762658924</c:v>
                </c:pt>
                <c:pt idx="349">
                  <c:v>-141.57879146448275</c:v>
                </c:pt>
                <c:pt idx="350">
                  <c:v>-142.44800677039655</c:v>
                </c:pt>
                <c:pt idx="351">
                  <c:v>-143.30190530126464</c:v>
                </c:pt>
                <c:pt idx="352">
                  <c:v>-144.14066639215213</c:v>
                </c:pt>
                <c:pt idx="353">
                  <c:v>-144.96447633698045</c:v>
                </c:pt>
                <c:pt idx="354">
                  <c:v>-145.77352779163147</c:v>
                </c:pt>
                <c:pt idx="355">
                  <c:v>-146.56801920008246</c:v>
                </c:pt>
                <c:pt idx="356">
                  <c:v>-147.34815424405812</c:v>
                </c:pt>
                <c:pt idx="357">
                  <c:v>-148.11414131650088</c:v>
                </c:pt>
                <c:pt idx="358">
                  <c:v>-148.8661930190074</c:v>
                </c:pt>
                <c:pt idx="359">
                  <c:v>-149.60452568324521</c:v>
                </c:pt>
                <c:pt idx="360">
                  <c:v>-150.32935891623859</c:v>
                </c:pt>
                <c:pt idx="361">
                  <c:v>-151.04091516929225</c:v>
                </c:pt>
                <c:pt idx="362">
                  <c:v>-151.73941933024119</c:v>
                </c:pt>
                <c:pt idx="363">
                  <c:v>-152.42509833861436</c:v>
                </c:pt>
                <c:pt idx="364">
                  <c:v>-153.09818082324009</c:v>
                </c:pt>
                <c:pt idx="365">
                  <c:v>-153.75889676174958</c:v>
                </c:pt>
                <c:pt idx="366">
                  <c:v>-154.40747716139137</c:v>
                </c:pt>
                <c:pt idx="367">
                  <c:v>-155.04415376052003</c:v>
                </c:pt>
                <c:pt idx="368">
                  <c:v>-155.66915875009735</c:v>
                </c:pt>
                <c:pt idx="369">
                  <c:v>-156.28272451450746</c:v>
                </c:pt>
                <c:pt idx="370">
                  <c:v>-156.88508339097939</c:v>
                </c:pt>
                <c:pt idx="371">
                  <c:v>-157.47646744688882</c:v>
                </c:pt>
                <c:pt idx="372">
                  <c:v>-158.05710827420975</c:v>
                </c:pt>
                <c:pt idx="373">
                  <c:v>-158.62723680038059</c:v>
                </c:pt>
                <c:pt idx="374">
                  <c:v>-159.18708311485281</c:v>
                </c:pt>
                <c:pt idx="375">
                  <c:v>-159.73687631059789</c:v>
                </c:pt>
                <c:pt idx="376">
                  <c:v>-160.27684433985272</c:v>
                </c:pt>
                <c:pt idx="377">
                  <c:v>-160.80721388340149</c:v>
                </c:pt>
                <c:pt idx="378">
                  <c:v>-161.32821023270148</c:v>
                </c:pt>
                <c:pt idx="379">
                  <c:v>-161.8400571841803</c:v>
                </c:pt>
                <c:pt idx="380">
                  <c:v>-162.34297694504599</c:v>
                </c:pt>
                <c:pt idx="381">
                  <c:v>-162.83719004997562</c:v>
                </c:pt>
                <c:pt idx="382">
                  <c:v>-163.3229152880628</c:v>
                </c:pt>
                <c:pt idx="383">
                  <c:v>-163.80036963943169</c:v>
                </c:pt>
                <c:pt idx="384">
                  <c:v>-164.26976822094068</c:v>
                </c:pt>
                <c:pt idx="385">
                  <c:v>-164.73132424042305</c:v>
                </c:pt>
                <c:pt idx="386">
                  <c:v>-165.18524895893668</c:v>
                </c:pt>
                <c:pt idx="387">
                  <c:v>-165.6317516605115</c:v>
                </c:pt>
                <c:pt idx="388">
                  <c:v>-166.07103962891077</c:v>
                </c:pt>
                <c:pt idx="389">
                  <c:v>-166.50331813093626</c:v>
                </c:pt>
                <c:pt idx="390">
                  <c:v>-166.92879040583867</c:v>
                </c:pt>
                <c:pt idx="391">
                  <c:v>-167.34765766040437</c:v>
                </c:pt>
                <c:pt idx="392">
                  <c:v>-167.76011906931799</c:v>
                </c:pt>
                <c:pt idx="393">
                  <c:v>-168.16637178041518</c:v>
                </c:pt>
                <c:pt idx="394">
                  <c:v>-168.56661092445958</c:v>
                </c:pt>
                <c:pt idx="395">
                  <c:v>-168.96102962909686</c:v>
                </c:pt>
                <c:pt idx="396">
                  <c:v>-169.3498190366555</c:v>
                </c:pt>
                <c:pt idx="397">
                  <c:v>-169.73316832548005</c:v>
                </c:pt>
                <c:pt idx="398">
                  <c:v>-170.11126473449812</c:v>
                </c:pt>
                <c:pt idx="399">
                  <c:v>-170.48429359073941</c:v>
                </c:pt>
                <c:pt idx="400">
                  <c:v>-170.85243833953595</c:v>
                </c:pt>
                <c:pt idx="401">
                  <c:v>-171.21588057714874</c:v>
                </c:pt>
                <c:pt idx="402">
                  <c:v>-171.57480008557656</c:v>
                </c:pt>
                <c:pt idx="403">
                  <c:v>-171.92937486931669</c:v>
                </c:pt>
                <c:pt idx="404">
                  <c:v>-172.279781193855</c:v>
                </c:pt>
                <c:pt idx="405">
                  <c:v>-172.626193625676</c:v>
                </c:pt>
                <c:pt idx="406">
                  <c:v>-172.9687850735915</c:v>
                </c:pt>
                <c:pt idx="407">
                  <c:v>-173.30772683119437</c:v>
                </c:pt>
                <c:pt idx="408">
                  <c:v>-173.64318862025283</c:v>
                </c:pt>
                <c:pt idx="409">
                  <c:v>-173.97533863486791</c:v>
                </c:pt>
                <c:pt idx="410">
                  <c:v>-174.30434358622102</c:v>
                </c:pt>
                <c:pt idx="411">
                  <c:v>-174.63036874774753</c:v>
                </c:pt>
                <c:pt idx="412">
                  <c:v>-174.95357800057283</c:v>
                </c:pt>
                <c:pt idx="413">
                  <c:v>-175.27413387905611</c:v>
                </c:pt>
                <c:pt idx="414">
                  <c:v>-175.59219761628597</c:v>
                </c:pt>
                <c:pt idx="415">
                  <c:v>-175.90792918937919</c:v>
                </c:pt>
                <c:pt idx="416">
                  <c:v>-176.22148736443219</c:v>
                </c:pt>
                <c:pt idx="417">
                  <c:v>-176.53302974097844</c:v>
                </c:pt>
                <c:pt idx="418">
                  <c:v>-176.8427127958054</c:v>
                </c:pt>
                <c:pt idx="419">
                  <c:v>-177.15069192598384</c:v>
                </c:pt>
                <c:pt idx="420">
                  <c:v>-177.45712149096335</c:v>
                </c:pt>
                <c:pt idx="421">
                  <c:v>-177.76215485358514</c:v>
                </c:pt>
                <c:pt idx="422">
                  <c:v>-178.06594441986184</c:v>
                </c:pt>
                <c:pt idx="423">
                  <c:v>-178.36864167737355</c:v>
                </c:pt>
                <c:pt idx="424">
                  <c:v>-178.67039723212159</c:v>
                </c:pt>
                <c:pt idx="425">
                  <c:v>-178.97136084368466</c:v>
                </c:pt>
                <c:pt idx="426">
                  <c:v>-179.27168145851144</c:v>
                </c:pt>
                <c:pt idx="427">
                  <c:v>-179.57150724118176</c:v>
                </c:pt>
                <c:pt idx="428">
                  <c:v>-179.870985603463</c:v>
                </c:pt>
                <c:pt idx="429">
                  <c:v>179.82973676901446</c:v>
                </c:pt>
                <c:pt idx="430">
                  <c:v>179.53051389265568</c:v>
                </c:pt>
                <c:pt idx="431">
                  <c:v>179.2312004645587</c:v>
                </c:pt>
                <c:pt idx="432">
                  <c:v>178.93165184413775</c:v>
                </c:pt>
                <c:pt idx="433">
                  <c:v>178.63172403791486</c:v>
                </c:pt>
                <c:pt idx="434">
                  <c:v>178.33127368770269</c:v>
                </c:pt>
                <c:pt idx="435">
                  <c:v>178.03015806239924</c:v>
                </c:pt>
                <c:pt idx="436">
                  <c:v>177.72823505363255</c:v>
                </c:pt>
                <c:pt idx="437">
                  <c:v>177.42536317549724</c:v>
                </c:pt>
                <c:pt idx="438">
                  <c:v>177.12140156864115</c:v>
                </c:pt>
                <c:pt idx="439">
                  <c:v>176.81621000896254</c:v>
                </c:pt>
                <c:pt idx="440">
                  <c:v>176.50964892119569</c:v>
                </c:pt>
                <c:pt idx="441">
                  <c:v>176.20157939766912</c:v>
                </c:pt>
                <c:pt idx="442">
                  <c:v>175.89186322253136</c:v>
                </c:pt>
                <c:pt idx="443">
                  <c:v>175.58036290175303</c:v>
                </c:pt>
                <c:pt idx="444">
                  <c:v>175.26694169921845</c:v>
                </c:pt>
                <c:pt idx="445">
                  <c:v>174.951463679234</c:v>
                </c:pt>
                <c:pt idx="446">
                  <c:v>174.63379375579072</c:v>
                </c:pt>
                <c:pt idx="447">
                  <c:v>174.31379774892207</c:v>
                </c:pt>
                <c:pt idx="448">
                  <c:v>173.99134244851265</c:v>
                </c:pt>
                <c:pt idx="449">
                  <c:v>173.66629568591409</c:v>
                </c:pt>
                <c:pt idx="450">
                  <c:v>173.3385264137375</c:v>
                </c:pt>
                <c:pt idx="451">
                  <c:v>173.00790479418924</c:v>
                </c:pt>
                <c:pt idx="452">
                  <c:v>172.67430229632561</c:v>
                </c:pt>
                <c:pt idx="453">
                  <c:v>172.33759180259824</c:v>
                </c:pt>
                <c:pt idx="454">
                  <c:v>171.997647725067</c:v>
                </c:pt>
                <c:pt idx="455">
                  <c:v>171.65434613164649</c:v>
                </c:pt>
                <c:pt idx="456">
                  <c:v>171.30756488275219</c:v>
                </c:pt>
                <c:pt idx="457">
                  <c:v>170.95718377869935</c:v>
                </c:pt>
                <c:pt idx="458">
                  <c:v>170.60308471819525</c:v>
                </c:pt>
                <c:pt idx="459">
                  <c:v>170.24515186825067</c:v>
                </c:pt>
                <c:pt idx="460">
                  <c:v>169.88327184581198</c:v>
                </c:pt>
                <c:pt idx="461">
                  <c:v>169.51733391139237</c:v>
                </c:pt>
                <c:pt idx="462">
                  <c:v>169.1472301749485</c:v>
                </c:pt>
                <c:pt idx="463">
                  <c:v>168.77285581421123</c:v>
                </c:pt>
                <c:pt idx="464">
                  <c:v>168.39410930563878</c:v>
                </c:pt>
                <c:pt idx="465">
                  <c:v>168.01089266810982</c:v>
                </c:pt>
                <c:pt idx="466">
                  <c:v>167.6231117194194</c:v>
                </c:pt>
                <c:pt idx="467">
                  <c:v>167.23067634557515</c:v>
                </c:pt>
                <c:pt idx="468">
                  <c:v>166.83350078282351</c:v>
                </c:pt>
                <c:pt idx="469">
                  <c:v>166.4315039122547</c:v>
                </c:pt>
                <c:pt idx="470">
                  <c:v>166.02460956674838</c:v>
                </c:pt>
                <c:pt idx="471">
                  <c:v>165.61274684992682</c:v>
                </c:pt>
                <c:pt idx="472">
                  <c:v>165.19585046667902</c:v>
                </c:pt>
                <c:pt idx="473">
                  <c:v>164.77386106470414</c:v>
                </c:pt>
                <c:pt idx="474">
                  <c:v>164.34672558640364</c:v>
                </c:pt>
                <c:pt idx="475">
                  <c:v>163.9143976303217</c:v>
                </c:pt>
                <c:pt idx="476">
                  <c:v>163.47683782119174</c:v>
                </c:pt>
                <c:pt idx="477">
                  <c:v>163.03401418750946</c:v>
                </c:pt>
                <c:pt idx="478">
                  <c:v>162.58590254539234</c:v>
                </c:pt>
                <c:pt idx="479">
                  <c:v>162.13248688733302</c:v>
                </c:pt>
                <c:pt idx="480">
                  <c:v>161.6737597742906</c:v>
                </c:pt>
                <c:pt idx="481">
                  <c:v>161.20972272939403</c:v>
                </c:pt>
                <c:pt idx="482">
                  <c:v>160.74038663136918</c:v>
                </c:pt>
                <c:pt idx="483">
                  <c:v>160.2657721056286</c:v>
                </c:pt>
                <c:pt idx="484">
                  <c:v>159.7859099107979</c:v>
                </c:pt>
                <c:pt idx="485">
                  <c:v>159.30084131829116</c:v>
                </c:pt>
                <c:pt idx="486">
                  <c:v>158.81061848239426</c:v>
                </c:pt>
                <c:pt idx="487">
                  <c:v>158.31530479816286</c:v>
                </c:pt>
                <c:pt idx="488">
                  <c:v>157.81497524431867</c:v>
                </c:pt>
                <c:pt idx="489">
                  <c:v>157.30971670819969</c:v>
                </c:pt>
                <c:pt idx="490">
                  <c:v>156.79962828972839</c:v>
                </c:pt>
                <c:pt idx="491">
                  <c:v>156.28482158128381</c:v>
                </c:pt>
                <c:pt idx="492">
                  <c:v>155.76542092030979</c:v>
                </c:pt>
                <c:pt idx="493">
                  <c:v>155.2415636114703</c:v>
                </c:pt>
                <c:pt idx="494">
                  <c:v>154.71340011517856</c:v>
                </c:pt>
                <c:pt idx="495">
                  <c:v>154.18109419935786</c:v>
                </c:pt>
                <c:pt idx="496">
                  <c:v>153.64482305138799</c:v>
                </c:pt>
                <c:pt idx="497">
                  <c:v>153.10477734730324</c:v>
                </c:pt>
                <c:pt idx="498">
                  <c:v>152.56116127547725</c:v>
                </c:pt>
                <c:pt idx="499">
                  <c:v>152.01419251222933</c:v>
                </c:pt>
                <c:pt idx="500">
                  <c:v>151.46410214704662</c:v>
                </c:pt>
                <c:pt idx="501">
                  <c:v>150.91113455539173</c:v>
                </c:pt>
                <c:pt idx="502">
                  <c:v>150.35554721742508</c:v>
                </c:pt>
                <c:pt idx="503">
                  <c:v>149.79761048131579</c:v>
                </c:pt>
                <c:pt idx="504">
                  <c:v>149.23760727025635</c:v>
                </c:pt>
                <c:pt idx="505">
                  <c:v>148.6758327327191</c:v>
                </c:pt>
                <c:pt idx="506">
                  <c:v>148.11259383598477</c:v>
                </c:pt>
                <c:pt idx="507">
                  <c:v>147.54820890346053</c:v>
                </c:pt>
                <c:pt idx="508">
                  <c:v>146.98300709683124</c:v>
                </c:pt>
                <c:pt idx="509">
                  <c:v>146.41732784460811</c:v>
                </c:pt>
                <c:pt idx="510">
                  <c:v>145.85152021917511</c:v>
                </c:pt>
                <c:pt idx="511">
                  <c:v>145.2859422649565</c:v>
                </c:pt>
                <c:pt idx="512">
                  <c:v>144.72096028084073</c:v>
                </c:pt>
                <c:pt idx="513">
                  <c:v>144.15694806049149</c:v>
                </c:pt>
                <c:pt idx="514">
                  <c:v>143.59428609463276</c:v>
                </c:pt>
                <c:pt idx="515">
                  <c:v>143.03336073982229</c:v>
                </c:pt>
                <c:pt idx="516">
                  <c:v>142.47456335859971</c:v>
                </c:pt>
                <c:pt idx="517">
                  <c:v>141.91828943622761</c:v>
                </c:pt>
                <c:pt idx="518">
                  <c:v>141.36493767950242</c:v>
                </c:pt>
                <c:pt idx="519">
                  <c:v>140.81490910331956</c:v>
                </c:pt>
                <c:pt idx="520">
                  <c:v>140.26860611080951</c:v>
                </c:pt>
                <c:pt idx="521">
                  <c:v>139.72643157292143</c:v>
                </c:pt>
                <c:pt idx="522">
                  <c:v>139.18878791333435</c:v>
                </c:pt>
                <c:pt idx="523">
                  <c:v>138.65607620447938</c:v>
                </c:pt>
                <c:pt idx="524">
                  <c:v>138.12869528032124</c:v>
                </c:pt>
                <c:pt idx="525">
                  <c:v>137.60704087132231</c:v>
                </c:pt>
                <c:pt idx="526">
                  <c:v>137.09150476673068</c:v>
                </c:pt>
                <c:pt idx="527">
                  <c:v>136.58247400899572</c:v>
                </c:pt>
                <c:pt idx="528">
                  <c:v>136.08033012472495</c:v>
                </c:pt>
                <c:pt idx="529">
                  <c:v>135.58544839614569</c:v>
                </c:pt>
                <c:pt idx="530">
                  <c:v>135.098197176582</c:v>
                </c:pt>
                <c:pt idx="531">
                  <c:v>134.61893725292765</c:v>
                </c:pt>
                <c:pt idx="532">
                  <c:v>134.14802125758843</c:v>
                </c:pt>
                <c:pt idx="533">
                  <c:v>133.68579313181513</c:v>
                </c:pt>
                <c:pt idx="534">
                  <c:v>133.23258764181753</c:v>
                </c:pt>
                <c:pt idx="535">
                  <c:v>132.7887299484922</c:v>
                </c:pt>
                <c:pt idx="536">
                  <c:v>132.35453523109294</c:v>
                </c:pt>
                <c:pt idx="537">
                  <c:v>131.9303083646297</c:v>
                </c:pt>
                <c:pt idx="538">
                  <c:v>131.51634365032649</c:v>
                </c:pt>
                <c:pt idx="539">
                  <c:v>131.11292459799063</c:v>
                </c:pt>
                <c:pt idx="540">
                  <c:v>130.72032375872774</c:v>
                </c:pt>
                <c:pt idx="541">
                  <c:v>130.33880260605537</c:v>
                </c:pt>
              </c:numCache>
            </c:numRef>
          </c:yVal>
          <c:smooth val="1"/>
          <c:extLst>
            <c:ext xmlns:c16="http://schemas.microsoft.com/office/drawing/2014/chart" uri="{C3380CC4-5D6E-409C-BE32-E72D297353CC}">
              <c16:uniqueId val="{00000009-2860-4C4C-B618-5424CA982335}"/>
            </c:ext>
          </c:extLst>
        </c:ser>
        <c:dLbls>
          <c:showLegendKey val="0"/>
          <c:showVal val="0"/>
          <c:showCatName val="0"/>
          <c:showSerName val="0"/>
          <c:showPercent val="0"/>
          <c:showBubbleSize val="0"/>
        </c:dLbls>
        <c:axId val="377513088"/>
        <c:axId val="377498624"/>
      </c:scatterChart>
      <c:valAx>
        <c:axId val="377478144"/>
        <c:scaling>
          <c:logBase val="10"/>
          <c:orientation val="minMax"/>
          <c:max val="2000000"/>
          <c:min val="100"/>
        </c:scaling>
        <c:delete val="0"/>
        <c:axPos val="b"/>
        <c:minorGridlines/>
        <c:title>
          <c:tx>
            <c:rich>
              <a:bodyPr/>
              <a:lstStyle/>
              <a:p>
                <a:pPr>
                  <a:defRPr/>
                </a:pPr>
                <a:r>
                  <a:rPr lang="en-US"/>
                  <a:t>Frequency</a:t>
                </a:r>
                <a:r>
                  <a:rPr lang="en-US" baseline="0"/>
                  <a:t> (Hz)</a:t>
                </a:r>
                <a:endParaRPr lang="en-US"/>
              </a:p>
            </c:rich>
          </c:tx>
          <c:overlay val="0"/>
        </c:title>
        <c:numFmt formatCode="0" sourceLinked="0"/>
        <c:majorTickMark val="out"/>
        <c:minorTickMark val="none"/>
        <c:tickLblPos val="low"/>
        <c:txPr>
          <a:bodyPr/>
          <a:lstStyle/>
          <a:p>
            <a:pPr>
              <a:defRPr b="1"/>
            </a:pPr>
            <a:endParaRPr lang="en-US"/>
          </a:p>
        </c:txPr>
        <c:crossAx val="377496704"/>
        <c:crosses val="autoZero"/>
        <c:crossBetween val="midCat"/>
      </c:valAx>
      <c:valAx>
        <c:axId val="377496704"/>
        <c:scaling>
          <c:orientation val="minMax"/>
          <c:max val="40"/>
          <c:min val="-40"/>
        </c:scaling>
        <c:delete val="0"/>
        <c:axPos val="l"/>
        <c:majorGridlines/>
        <c:minorGridlines/>
        <c:title>
          <c:tx>
            <c:rich>
              <a:bodyPr rot="-5400000" vert="horz"/>
              <a:lstStyle/>
              <a:p>
                <a:pPr>
                  <a:defRPr/>
                </a:pPr>
                <a:r>
                  <a:rPr lang="en-US">
                    <a:solidFill>
                      <a:srgbClr val="FF0000"/>
                    </a:solidFill>
                  </a:rPr>
                  <a:t>Gain</a:t>
                </a:r>
                <a:r>
                  <a:rPr lang="en-US" baseline="0">
                    <a:solidFill>
                      <a:srgbClr val="FF0000"/>
                    </a:solidFill>
                  </a:rPr>
                  <a:t> (dB)</a:t>
                </a:r>
                <a:endParaRPr lang="en-US">
                  <a:solidFill>
                    <a:srgbClr val="FF0000"/>
                  </a:solidFill>
                </a:endParaRPr>
              </a:p>
            </c:rich>
          </c:tx>
          <c:overlay val="0"/>
        </c:title>
        <c:numFmt formatCode="General" sourceLinked="0"/>
        <c:majorTickMark val="out"/>
        <c:minorTickMark val="none"/>
        <c:tickLblPos val="nextTo"/>
        <c:txPr>
          <a:bodyPr/>
          <a:lstStyle/>
          <a:p>
            <a:pPr>
              <a:defRPr b="1">
                <a:solidFill>
                  <a:srgbClr val="FF0000"/>
                </a:solidFill>
              </a:defRPr>
            </a:pPr>
            <a:endParaRPr lang="en-US"/>
          </a:p>
        </c:txPr>
        <c:crossAx val="377478144"/>
        <c:crosses val="autoZero"/>
        <c:crossBetween val="midCat"/>
        <c:majorUnit val="20"/>
        <c:minorUnit val="10"/>
      </c:valAx>
      <c:valAx>
        <c:axId val="377498624"/>
        <c:scaling>
          <c:orientation val="minMax"/>
          <c:max val="180"/>
          <c:min val="-180"/>
        </c:scaling>
        <c:delete val="0"/>
        <c:axPos val="r"/>
        <c:title>
          <c:tx>
            <c:rich>
              <a:bodyPr rot="-5400000" vert="horz"/>
              <a:lstStyle/>
              <a:p>
                <a:pPr>
                  <a:defRPr/>
                </a:pPr>
                <a:r>
                  <a:rPr lang="en-US"/>
                  <a:t>Phase (deg)</a:t>
                </a:r>
              </a:p>
            </c:rich>
          </c:tx>
          <c:overlay val="0"/>
        </c:title>
        <c:numFmt formatCode="General" sourceLinked="1"/>
        <c:majorTickMark val="out"/>
        <c:minorTickMark val="none"/>
        <c:tickLblPos val="nextTo"/>
        <c:txPr>
          <a:bodyPr/>
          <a:lstStyle/>
          <a:p>
            <a:pPr>
              <a:defRPr b="1">
                <a:solidFill>
                  <a:schemeClr val="tx1">
                    <a:lumMod val="95000"/>
                    <a:lumOff val="5000"/>
                  </a:schemeClr>
                </a:solidFill>
              </a:defRPr>
            </a:pPr>
            <a:endParaRPr lang="en-US"/>
          </a:p>
        </c:txPr>
        <c:crossAx val="377513088"/>
        <c:crosses val="max"/>
        <c:crossBetween val="midCat"/>
        <c:majorUnit val="90"/>
        <c:minorUnit val="45"/>
      </c:valAx>
      <c:valAx>
        <c:axId val="377513088"/>
        <c:scaling>
          <c:logBase val="10"/>
          <c:orientation val="minMax"/>
        </c:scaling>
        <c:delete val="1"/>
        <c:axPos val="b"/>
        <c:numFmt formatCode="0.00" sourceLinked="1"/>
        <c:majorTickMark val="out"/>
        <c:minorTickMark val="none"/>
        <c:tickLblPos val="nextTo"/>
        <c:crossAx val="377498624"/>
        <c:crosses val="autoZero"/>
        <c:crossBetween val="midCat"/>
      </c:valAx>
    </c:plotArea>
    <c:legend>
      <c:legendPos val="r"/>
      <c:legendEntry>
        <c:idx val="1"/>
        <c:delete val="1"/>
      </c:legendEntry>
      <c:legendEntry>
        <c:idx val="2"/>
        <c:delete val="1"/>
      </c:legendEntry>
      <c:legendEntry>
        <c:idx val="3"/>
        <c:delete val="1"/>
      </c:legendEntry>
      <c:legendEntry>
        <c:idx val="4"/>
        <c:delete val="1"/>
      </c:legendEntry>
      <c:layout>
        <c:manualLayout>
          <c:xMode val="edge"/>
          <c:yMode val="edge"/>
          <c:x val="0.61392536510371165"/>
          <c:y val="7.0381012799940294E-3"/>
          <c:w val="0.28497500584606611"/>
          <c:h val="7.9643865606846526E-2"/>
        </c:manualLayout>
      </c:layout>
      <c:overlay val="1"/>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Plant Transfer</a:t>
            </a:r>
            <a:r>
              <a:rPr lang="en-US" baseline="0"/>
              <a:t> Function</a:t>
            </a:r>
            <a:endParaRPr lang="en-US"/>
          </a:p>
        </c:rich>
      </c:tx>
      <c:overlay val="0"/>
    </c:title>
    <c:autoTitleDeleted val="0"/>
    <c:plotArea>
      <c:layout/>
      <c:scatterChart>
        <c:scatterStyle val="smoothMarker"/>
        <c:varyColors val="0"/>
        <c:ser>
          <c:idx val="0"/>
          <c:order val="0"/>
          <c:tx>
            <c:v>Gain(dB)</c:v>
          </c:tx>
          <c:marker>
            <c:symbol val="none"/>
          </c:marker>
          <c:xVal>
            <c:numRef>
              <c:f>CCM_Loop_Modeling_non_isolated!$O$19:$O$560</c:f>
              <c:numCache>
                <c:formatCode>0.00</c:formatCode>
                <c:ptCount val="542"/>
                <c:pt idx="0">
                  <c:v>10.232929922807543</c:v>
                </c:pt>
                <c:pt idx="1">
                  <c:v>10.471285480509</c:v>
                </c:pt>
                <c:pt idx="2">
                  <c:v>10.715193052376069</c:v>
                </c:pt>
                <c:pt idx="3">
                  <c:v>10.964781961431854</c:v>
                </c:pt>
                <c:pt idx="4">
                  <c:v>11.220184543019636</c:v>
                </c:pt>
                <c:pt idx="5">
                  <c:v>11.481536214968834</c:v>
                </c:pt>
                <c:pt idx="6">
                  <c:v>11.748975549395301</c:v>
                </c:pt>
                <c:pt idx="7">
                  <c:v>12.022644346174133</c:v>
                </c:pt>
                <c:pt idx="8">
                  <c:v>12.302687708123818</c:v>
                </c:pt>
                <c:pt idx="9">
                  <c:v>12.58925411794168</c:v>
                </c:pt>
                <c:pt idx="10">
                  <c:v>12.882495516931346</c:v>
                </c:pt>
                <c:pt idx="11">
                  <c:v>13.182567385564075</c:v>
                </c:pt>
                <c:pt idx="12">
                  <c:v>13.489628825916535</c:v>
                </c:pt>
                <c:pt idx="13">
                  <c:v>13.803842646028857</c:v>
                </c:pt>
                <c:pt idx="14">
                  <c:v>14.125375446227544</c:v>
                </c:pt>
                <c:pt idx="15">
                  <c:v>14.454397707459275</c:v>
                </c:pt>
                <c:pt idx="16">
                  <c:v>14.791083881682074</c:v>
                </c:pt>
                <c:pt idx="17">
                  <c:v>15.135612484362087</c:v>
                </c:pt>
                <c:pt idx="18">
                  <c:v>15.488166189124817</c:v>
                </c:pt>
                <c:pt idx="19">
                  <c:v>15.848931924611136</c:v>
                </c:pt>
                <c:pt idx="20">
                  <c:v>16.218100973589298</c:v>
                </c:pt>
                <c:pt idx="21">
                  <c:v>16.595869074375614</c:v>
                </c:pt>
                <c:pt idx="22">
                  <c:v>16.982436524617448</c:v>
                </c:pt>
                <c:pt idx="23">
                  <c:v>17.378008287493756</c:v>
                </c:pt>
                <c:pt idx="24">
                  <c:v>17.782794100389236</c:v>
                </c:pt>
                <c:pt idx="25">
                  <c:v>18.197008586099841</c:v>
                </c:pt>
                <c:pt idx="26">
                  <c:v>18.62087136662868</c:v>
                </c:pt>
                <c:pt idx="27">
                  <c:v>19.054607179632477</c:v>
                </c:pt>
                <c:pt idx="28">
                  <c:v>19.498445997580465</c:v>
                </c:pt>
                <c:pt idx="29">
                  <c:v>19.952623149688804</c:v>
                </c:pt>
                <c:pt idx="30">
                  <c:v>20.4173794466953</c:v>
                </c:pt>
                <c:pt idx="31">
                  <c:v>20.8929613085404</c:v>
                </c:pt>
                <c:pt idx="32">
                  <c:v>21.379620895022335</c:v>
                </c:pt>
                <c:pt idx="33">
                  <c:v>21.877616239495538</c:v>
                </c:pt>
                <c:pt idx="34">
                  <c:v>22.387211385683404</c:v>
                </c:pt>
                <c:pt idx="35">
                  <c:v>22.908676527677727</c:v>
                </c:pt>
                <c:pt idx="36">
                  <c:v>23.442288153199236</c:v>
                </c:pt>
                <c:pt idx="37">
                  <c:v>23.988329190194907</c:v>
                </c:pt>
                <c:pt idx="38">
                  <c:v>24.547089156850316</c:v>
                </c:pt>
                <c:pt idx="39">
                  <c:v>25.118864315095799</c:v>
                </c:pt>
                <c:pt idx="40">
                  <c:v>25.703957827688647</c:v>
                </c:pt>
                <c:pt idx="41">
                  <c:v>26.302679918953825</c:v>
                </c:pt>
                <c:pt idx="42">
                  <c:v>26.915348039269158</c:v>
                </c:pt>
                <c:pt idx="43">
                  <c:v>27.542287033381665</c:v>
                </c:pt>
                <c:pt idx="44">
                  <c:v>28.183829312644548</c:v>
                </c:pt>
                <c:pt idx="45">
                  <c:v>28.840315031266066</c:v>
                </c:pt>
                <c:pt idx="46">
                  <c:v>29.512092266663863</c:v>
                </c:pt>
                <c:pt idx="47">
                  <c:v>30.199517204020164</c:v>
                </c:pt>
                <c:pt idx="48">
                  <c:v>30.902954325135919</c:v>
                </c:pt>
                <c:pt idx="49">
                  <c:v>31.622776601683803</c:v>
                </c:pt>
                <c:pt idx="50">
                  <c:v>32.359365692962832</c:v>
                </c:pt>
                <c:pt idx="51">
                  <c:v>33.113112148259127</c:v>
                </c:pt>
                <c:pt idx="52">
                  <c:v>33.884415613920268</c:v>
                </c:pt>
                <c:pt idx="53">
                  <c:v>34.67368504525318</c:v>
                </c:pt>
                <c:pt idx="54">
                  <c:v>35.481338923357555</c:v>
                </c:pt>
                <c:pt idx="55">
                  <c:v>36.307805477010156</c:v>
                </c:pt>
                <c:pt idx="56">
                  <c:v>37.15352290971726</c:v>
                </c:pt>
                <c:pt idx="57">
                  <c:v>38.018939632056139</c:v>
                </c:pt>
                <c:pt idx="58">
                  <c:v>38.904514499428053</c:v>
                </c:pt>
                <c:pt idx="59">
                  <c:v>39.810717055349755</c:v>
                </c:pt>
                <c:pt idx="60">
                  <c:v>40.738027780411279</c:v>
                </c:pt>
                <c:pt idx="61">
                  <c:v>41.686938347033561</c:v>
                </c:pt>
                <c:pt idx="62">
                  <c:v>42.657951880159267</c:v>
                </c:pt>
                <c:pt idx="63">
                  <c:v>43.651583224016633</c:v>
                </c:pt>
                <c:pt idx="64">
                  <c:v>44.668359215096324</c:v>
                </c:pt>
                <c:pt idx="65">
                  <c:v>45.70881896148753</c:v>
                </c:pt>
                <c:pt idx="66">
                  <c:v>46.773514128719818</c:v>
                </c:pt>
                <c:pt idx="67">
                  <c:v>47.863009232263877</c:v>
                </c:pt>
                <c:pt idx="68">
                  <c:v>48.977881936844632</c:v>
                </c:pt>
                <c:pt idx="69">
                  <c:v>50.118723362727238</c:v>
                </c:pt>
                <c:pt idx="70">
                  <c:v>51.28613839913649</c:v>
                </c:pt>
                <c:pt idx="71">
                  <c:v>52.480746024977286</c:v>
                </c:pt>
                <c:pt idx="72">
                  <c:v>53.703179637025293</c:v>
                </c:pt>
                <c:pt idx="73">
                  <c:v>54.95408738576247</c:v>
                </c:pt>
                <c:pt idx="74">
                  <c:v>56.234132519034915</c:v>
                </c:pt>
                <c:pt idx="75">
                  <c:v>57.543993733715695</c:v>
                </c:pt>
                <c:pt idx="76">
                  <c:v>58.884365535558949</c:v>
                </c:pt>
                <c:pt idx="77">
                  <c:v>60.255958607435822</c:v>
                </c:pt>
                <c:pt idx="78">
                  <c:v>61.659500186148257</c:v>
                </c:pt>
                <c:pt idx="79">
                  <c:v>63.095734448019364</c:v>
                </c:pt>
                <c:pt idx="80">
                  <c:v>64.565422903465588</c:v>
                </c:pt>
                <c:pt idx="81">
                  <c:v>66.069344800759623</c:v>
                </c:pt>
                <c:pt idx="82">
                  <c:v>67.60829753919819</c:v>
                </c:pt>
                <c:pt idx="83">
                  <c:v>69.183097091893657</c:v>
                </c:pt>
                <c:pt idx="84">
                  <c:v>70.794578438413865</c:v>
                </c:pt>
                <c:pt idx="85">
                  <c:v>72.443596007499011</c:v>
                </c:pt>
                <c:pt idx="86">
                  <c:v>74.131024130091816</c:v>
                </c:pt>
                <c:pt idx="87">
                  <c:v>75.857757502918361</c:v>
                </c:pt>
                <c:pt idx="88">
                  <c:v>77.624711662869217</c:v>
                </c:pt>
                <c:pt idx="89">
                  <c:v>79.432823472428197</c:v>
                </c:pt>
                <c:pt idx="90">
                  <c:v>81.283051616409963</c:v>
                </c:pt>
                <c:pt idx="91">
                  <c:v>83.176377110267126</c:v>
                </c:pt>
                <c:pt idx="92">
                  <c:v>85.113803820237734</c:v>
                </c:pt>
                <c:pt idx="93">
                  <c:v>87.096358995608071</c:v>
                </c:pt>
                <c:pt idx="94">
                  <c:v>89.125093813374562</c:v>
                </c:pt>
                <c:pt idx="95">
                  <c:v>91.201083935590972</c:v>
                </c:pt>
                <c:pt idx="96">
                  <c:v>93.325430079699174</c:v>
                </c:pt>
                <c:pt idx="97">
                  <c:v>95.499258602143655</c:v>
                </c:pt>
                <c:pt idx="98">
                  <c:v>97.723722095581124</c:v>
                </c:pt>
                <c:pt idx="99">
                  <c:v>100</c:v>
                </c:pt>
                <c:pt idx="100">
                  <c:v>102.32929922807544</c:v>
                </c:pt>
                <c:pt idx="101">
                  <c:v>104.71285480508998</c:v>
                </c:pt>
                <c:pt idx="102">
                  <c:v>107.15193052376065</c:v>
                </c:pt>
                <c:pt idx="103">
                  <c:v>109.64781961431861</c:v>
                </c:pt>
                <c:pt idx="104">
                  <c:v>112.20184543019634</c:v>
                </c:pt>
                <c:pt idx="105">
                  <c:v>114.81536214968835</c:v>
                </c:pt>
                <c:pt idx="106">
                  <c:v>117.48975549395293</c:v>
                </c:pt>
                <c:pt idx="107">
                  <c:v>120.22644346174135</c:v>
                </c:pt>
                <c:pt idx="108">
                  <c:v>123.02687708123821</c:v>
                </c:pt>
                <c:pt idx="109">
                  <c:v>125.89254117941677</c:v>
                </c:pt>
                <c:pt idx="110">
                  <c:v>128.82495516931343</c:v>
                </c:pt>
                <c:pt idx="111">
                  <c:v>131.82567385564084</c:v>
                </c:pt>
                <c:pt idx="112">
                  <c:v>134.89628825916537</c:v>
                </c:pt>
                <c:pt idx="113">
                  <c:v>138.0384264602886</c:v>
                </c:pt>
                <c:pt idx="114">
                  <c:v>141.25375446227542</c:v>
                </c:pt>
                <c:pt idx="115">
                  <c:v>144.54397707459285</c:v>
                </c:pt>
                <c:pt idx="116">
                  <c:v>147.91083881682084</c:v>
                </c:pt>
                <c:pt idx="117">
                  <c:v>151.3561248436209</c:v>
                </c:pt>
                <c:pt idx="118">
                  <c:v>154.8816618912482</c:v>
                </c:pt>
                <c:pt idx="119">
                  <c:v>158.48931924611153</c:v>
                </c:pt>
                <c:pt idx="120">
                  <c:v>162.18100973589304</c:v>
                </c:pt>
                <c:pt idx="121">
                  <c:v>165.95869074375622</c:v>
                </c:pt>
                <c:pt idx="122">
                  <c:v>169.82436524617444</c:v>
                </c:pt>
                <c:pt idx="123">
                  <c:v>173.78008287493768</c:v>
                </c:pt>
                <c:pt idx="124">
                  <c:v>177.82794100389242</c:v>
                </c:pt>
                <c:pt idx="125">
                  <c:v>181.9700858609983</c:v>
                </c:pt>
                <c:pt idx="126">
                  <c:v>186.20871366628685</c:v>
                </c:pt>
                <c:pt idx="127">
                  <c:v>190.54607179632498</c:v>
                </c:pt>
                <c:pt idx="128">
                  <c:v>194.98445997580458</c:v>
                </c:pt>
                <c:pt idx="129">
                  <c:v>199.52623149688802</c:v>
                </c:pt>
                <c:pt idx="130">
                  <c:v>204.17379446695315</c:v>
                </c:pt>
                <c:pt idx="131">
                  <c:v>208.92961308540396</c:v>
                </c:pt>
                <c:pt idx="132">
                  <c:v>213.79620895022339</c:v>
                </c:pt>
                <c:pt idx="133">
                  <c:v>218.77616239495524</c:v>
                </c:pt>
                <c:pt idx="134">
                  <c:v>223.87211385683412</c:v>
                </c:pt>
                <c:pt idx="135">
                  <c:v>229.08676527677744</c:v>
                </c:pt>
                <c:pt idx="136">
                  <c:v>234.42288153199232</c:v>
                </c:pt>
                <c:pt idx="137">
                  <c:v>239.88329190194912</c:v>
                </c:pt>
                <c:pt idx="138">
                  <c:v>245.4708915685033</c:v>
                </c:pt>
                <c:pt idx="139">
                  <c:v>251.18864315095806</c:v>
                </c:pt>
                <c:pt idx="140">
                  <c:v>257.03957827688663</c:v>
                </c:pt>
                <c:pt idx="141">
                  <c:v>263.02679918953817</c:v>
                </c:pt>
                <c:pt idx="142">
                  <c:v>269.15348039269179</c:v>
                </c:pt>
                <c:pt idx="143">
                  <c:v>275.42287033381683</c:v>
                </c:pt>
                <c:pt idx="144">
                  <c:v>281.83829312644554</c:v>
                </c:pt>
                <c:pt idx="145">
                  <c:v>288.40315031266073</c:v>
                </c:pt>
                <c:pt idx="146">
                  <c:v>295.12092266663871</c:v>
                </c:pt>
                <c:pt idx="147">
                  <c:v>301.99517204020168</c:v>
                </c:pt>
                <c:pt idx="148">
                  <c:v>309.02954325135937</c:v>
                </c:pt>
                <c:pt idx="149">
                  <c:v>316.22776601683825</c:v>
                </c:pt>
                <c:pt idx="150">
                  <c:v>323.59365692962825</c:v>
                </c:pt>
                <c:pt idx="151">
                  <c:v>331.13112148259137</c:v>
                </c:pt>
                <c:pt idx="152">
                  <c:v>338.84415613920277</c:v>
                </c:pt>
                <c:pt idx="153">
                  <c:v>346.73685045253183</c:v>
                </c:pt>
                <c:pt idx="154">
                  <c:v>354.81338923357566</c:v>
                </c:pt>
                <c:pt idx="155">
                  <c:v>363.07805477010152</c:v>
                </c:pt>
                <c:pt idx="156">
                  <c:v>371.53522909717265</c:v>
                </c:pt>
                <c:pt idx="157">
                  <c:v>380.18939632056163</c:v>
                </c:pt>
                <c:pt idx="158">
                  <c:v>389.04514499428063</c:v>
                </c:pt>
                <c:pt idx="159">
                  <c:v>398.10717055349761</c:v>
                </c:pt>
                <c:pt idx="160">
                  <c:v>407.38027780411272</c:v>
                </c:pt>
                <c:pt idx="161">
                  <c:v>416.86938347033572</c:v>
                </c:pt>
                <c:pt idx="162">
                  <c:v>426.57951880159294</c:v>
                </c:pt>
                <c:pt idx="163">
                  <c:v>436.51583224016622</c:v>
                </c:pt>
                <c:pt idx="164">
                  <c:v>446.68359215096331</c:v>
                </c:pt>
                <c:pt idx="165">
                  <c:v>457.0881896148756</c:v>
                </c:pt>
                <c:pt idx="166">
                  <c:v>467.7351412871983</c:v>
                </c:pt>
                <c:pt idx="167">
                  <c:v>478.63009232263886</c:v>
                </c:pt>
                <c:pt idx="168">
                  <c:v>489.77881936844625</c:v>
                </c:pt>
                <c:pt idx="169">
                  <c:v>501.18723362727269</c:v>
                </c:pt>
                <c:pt idx="170">
                  <c:v>512.86138399136519</c:v>
                </c:pt>
                <c:pt idx="171">
                  <c:v>524.80746024977248</c:v>
                </c:pt>
                <c:pt idx="172">
                  <c:v>537.03179637025301</c:v>
                </c:pt>
                <c:pt idx="173">
                  <c:v>549.54087385762534</c:v>
                </c:pt>
                <c:pt idx="174">
                  <c:v>562.34132519034927</c:v>
                </c:pt>
                <c:pt idx="175">
                  <c:v>575.43993733715706</c:v>
                </c:pt>
                <c:pt idx="176">
                  <c:v>588.84365535558959</c:v>
                </c:pt>
                <c:pt idx="177">
                  <c:v>602.55958607435832</c:v>
                </c:pt>
                <c:pt idx="178">
                  <c:v>616.59500186148273</c:v>
                </c:pt>
                <c:pt idx="179">
                  <c:v>630.95734448019323</c:v>
                </c:pt>
                <c:pt idx="180">
                  <c:v>645.65422903465594</c:v>
                </c:pt>
                <c:pt idx="181">
                  <c:v>660.69344800759643</c:v>
                </c:pt>
                <c:pt idx="182">
                  <c:v>676.08297539198213</c:v>
                </c:pt>
                <c:pt idx="183">
                  <c:v>691.83097091893671</c:v>
                </c:pt>
                <c:pt idx="184">
                  <c:v>707.94578438413873</c:v>
                </c:pt>
                <c:pt idx="185">
                  <c:v>724.43596007499025</c:v>
                </c:pt>
                <c:pt idx="186">
                  <c:v>741.31024130091828</c:v>
                </c:pt>
                <c:pt idx="187">
                  <c:v>758.57757502918378</c:v>
                </c:pt>
                <c:pt idx="188">
                  <c:v>776.24711662869231</c:v>
                </c:pt>
                <c:pt idx="189">
                  <c:v>794.32823472428208</c:v>
                </c:pt>
                <c:pt idx="190">
                  <c:v>812.83051616409978</c:v>
                </c:pt>
                <c:pt idx="191">
                  <c:v>831.7637711026714</c:v>
                </c:pt>
                <c:pt idx="192">
                  <c:v>851.13803820237763</c:v>
                </c:pt>
                <c:pt idx="193">
                  <c:v>870.96358995608091</c:v>
                </c:pt>
                <c:pt idx="194">
                  <c:v>891.25093813374656</c:v>
                </c:pt>
                <c:pt idx="195">
                  <c:v>912.01083935590987</c:v>
                </c:pt>
                <c:pt idx="196">
                  <c:v>933.25430079699106</c:v>
                </c:pt>
                <c:pt idx="197">
                  <c:v>954.99258602143675</c:v>
                </c:pt>
                <c:pt idx="198">
                  <c:v>977.23722095581138</c:v>
                </c:pt>
                <c:pt idx="199">
                  <c:v>1000</c:v>
                </c:pt>
                <c:pt idx="200">
                  <c:v>1023.2929922807547</c:v>
                </c:pt>
                <c:pt idx="201">
                  <c:v>1047.1285480509</c:v>
                </c:pt>
                <c:pt idx="202">
                  <c:v>1071.5193052376069</c:v>
                </c:pt>
                <c:pt idx="203">
                  <c:v>1096.4781961431863</c:v>
                </c:pt>
                <c:pt idx="204">
                  <c:v>1122.0184543019636</c:v>
                </c:pt>
                <c:pt idx="205">
                  <c:v>1148.1536214968839</c:v>
                </c:pt>
                <c:pt idx="206">
                  <c:v>1174.8975549395295</c:v>
                </c:pt>
                <c:pt idx="207">
                  <c:v>1202.2644346174138</c:v>
                </c:pt>
                <c:pt idx="208">
                  <c:v>1230.2687708123824</c:v>
                </c:pt>
                <c:pt idx="209">
                  <c:v>1258.925411794168</c:v>
                </c:pt>
                <c:pt idx="210">
                  <c:v>1288.2495516931347</c:v>
                </c:pt>
                <c:pt idx="211">
                  <c:v>1318.2567385564089</c:v>
                </c:pt>
                <c:pt idx="212">
                  <c:v>1348.9628825916541</c:v>
                </c:pt>
                <c:pt idx="213">
                  <c:v>1380.3842646028863</c:v>
                </c:pt>
                <c:pt idx="214">
                  <c:v>1412.5375446227545</c:v>
                </c:pt>
                <c:pt idx="215">
                  <c:v>1445.4397707459289</c:v>
                </c:pt>
                <c:pt idx="216">
                  <c:v>1479.1083881682086</c:v>
                </c:pt>
                <c:pt idx="217">
                  <c:v>1513.5612484362093</c:v>
                </c:pt>
                <c:pt idx="218">
                  <c:v>1548.8166189124822</c:v>
                </c:pt>
                <c:pt idx="219">
                  <c:v>1584.8931924611156</c:v>
                </c:pt>
                <c:pt idx="220">
                  <c:v>1621.8100973589308</c:v>
                </c:pt>
                <c:pt idx="221">
                  <c:v>1659.5869074375626</c:v>
                </c:pt>
                <c:pt idx="222">
                  <c:v>1698.2436524617447</c:v>
                </c:pt>
                <c:pt idx="223">
                  <c:v>1737.8008287493772</c:v>
                </c:pt>
                <c:pt idx="224">
                  <c:v>1778.2794100389244</c:v>
                </c:pt>
                <c:pt idx="225">
                  <c:v>1819.7008586099832</c:v>
                </c:pt>
                <c:pt idx="226">
                  <c:v>1862.0871366628687</c:v>
                </c:pt>
                <c:pt idx="227">
                  <c:v>1905.4607179632501</c:v>
                </c:pt>
                <c:pt idx="228">
                  <c:v>1949.8445997580463</c:v>
                </c:pt>
                <c:pt idx="229">
                  <c:v>1995.2623149688804</c:v>
                </c:pt>
                <c:pt idx="230">
                  <c:v>2041.7379446695318</c:v>
                </c:pt>
                <c:pt idx="231">
                  <c:v>2089.2961308540398</c:v>
                </c:pt>
                <c:pt idx="232">
                  <c:v>2137.9620895022344</c:v>
                </c:pt>
                <c:pt idx="233">
                  <c:v>2187.7616239495528</c:v>
                </c:pt>
                <c:pt idx="234">
                  <c:v>2238.7211385683418</c:v>
                </c:pt>
                <c:pt idx="235">
                  <c:v>2290.8676527677749</c:v>
                </c:pt>
                <c:pt idx="236">
                  <c:v>2344.2288153199238</c:v>
                </c:pt>
                <c:pt idx="237">
                  <c:v>2398.8329190194918</c:v>
                </c:pt>
                <c:pt idx="238">
                  <c:v>2454.7089156850338</c:v>
                </c:pt>
                <c:pt idx="239">
                  <c:v>2511.8864315095811</c:v>
                </c:pt>
                <c:pt idx="240">
                  <c:v>2570.3957827688669</c:v>
                </c:pt>
                <c:pt idx="241">
                  <c:v>2630.2679918953822</c:v>
                </c:pt>
                <c:pt idx="242">
                  <c:v>2691.5348039269184</c:v>
                </c:pt>
                <c:pt idx="243">
                  <c:v>2754.228703338169</c:v>
                </c:pt>
                <c:pt idx="244">
                  <c:v>2818.3829312644561</c:v>
                </c:pt>
                <c:pt idx="245">
                  <c:v>2884.0315031266077</c:v>
                </c:pt>
                <c:pt idx="246">
                  <c:v>2951.2092266663876</c:v>
                </c:pt>
                <c:pt idx="247">
                  <c:v>3019.9517204020176</c:v>
                </c:pt>
                <c:pt idx="248">
                  <c:v>3090.295432513592</c:v>
                </c:pt>
                <c:pt idx="249">
                  <c:v>3162.2776601683804</c:v>
                </c:pt>
                <c:pt idx="250">
                  <c:v>3235.9365692962833</c:v>
                </c:pt>
                <c:pt idx="251">
                  <c:v>3311.3112148259115</c:v>
                </c:pt>
                <c:pt idx="252">
                  <c:v>3388.4415613920314</c:v>
                </c:pt>
                <c:pt idx="253">
                  <c:v>3467.3685045253224</c:v>
                </c:pt>
                <c:pt idx="254">
                  <c:v>3548.1338923357539</c:v>
                </c:pt>
                <c:pt idx="255">
                  <c:v>3630.7805477010188</c:v>
                </c:pt>
                <c:pt idx="256">
                  <c:v>3715.352290971724</c:v>
                </c:pt>
                <c:pt idx="257">
                  <c:v>3801.8939632056172</c:v>
                </c:pt>
                <c:pt idx="258">
                  <c:v>3890.451449942811</c:v>
                </c:pt>
                <c:pt idx="259">
                  <c:v>3981.0717055349769</c:v>
                </c:pt>
                <c:pt idx="260">
                  <c:v>4073.8027780411317</c:v>
                </c:pt>
                <c:pt idx="261">
                  <c:v>4168.6938347033583</c:v>
                </c:pt>
                <c:pt idx="262">
                  <c:v>4265.7951880159299</c:v>
                </c:pt>
                <c:pt idx="263">
                  <c:v>4365.1583224016631</c:v>
                </c:pt>
                <c:pt idx="264">
                  <c:v>4466.8359215096343</c:v>
                </c:pt>
                <c:pt idx="265">
                  <c:v>4570.8818961487532</c:v>
                </c:pt>
                <c:pt idx="266">
                  <c:v>4677.3514128719844</c:v>
                </c:pt>
                <c:pt idx="267">
                  <c:v>4786.3009232263848</c:v>
                </c:pt>
                <c:pt idx="268">
                  <c:v>4897.7881936844633</c:v>
                </c:pt>
                <c:pt idx="269">
                  <c:v>5011.8723362727324</c:v>
                </c:pt>
                <c:pt idx="270">
                  <c:v>5128.6138399136489</c:v>
                </c:pt>
                <c:pt idx="271">
                  <c:v>5248.0746024977261</c:v>
                </c:pt>
                <c:pt idx="272">
                  <c:v>5370.3179637025269</c:v>
                </c:pt>
                <c:pt idx="273">
                  <c:v>5495.4087385762541</c:v>
                </c:pt>
                <c:pt idx="274">
                  <c:v>5623.4132519034993</c:v>
                </c:pt>
                <c:pt idx="275">
                  <c:v>5754.399373371567</c:v>
                </c:pt>
                <c:pt idx="276">
                  <c:v>5888.4365535558973</c:v>
                </c:pt>
                <c:pt idx="277">
                  <c:v>6025.595860743585</c:v>
                </c:pt>
                <c:pt idx="278">
                  <c:v>6165.9500186148289</c:v>
                </c:pt>
                <c:pt idx="279">
                  <c:v>6309.5734448019384</c:v>
                </c:pt>
                <c:pt idx="280">
                  <c:v>6456.5422903465615</c:v>
                </c:pt>
                <c:pt idx="281">
                  <c:v>6606.9344800759654</c:v>
                </c:pt>
                <c:pt idx="282">
                  <c:v>6760.8297539198229</c:v>
                </c:pt>
                <c:pt idx="283">
                  <c:v>6918.3097091893687</c:v>
                </c:pt>
                <c:pt idx="284">
                  <c:v>7079.4578438413828</c:v>
                </c:pt>
                <c:pt idx="285">
                  <c:v>7244.3596007499036</c:v>
                </c:pt>
                <c:pt idx="286">
                  <c:v>7413.1024130091773</c:v>
                </c:pt>
                <c:pt idx="287">
                  <c:v>7585.7757502918394</c:v>
                </c:pt>
                <c:pt idx="288">
                  <c:v>7762.4711662869322</c:v>
                </c:pt>
                <c:pt idx="289">
                  <c:v>7943.2823472428154</c:v>
                </c:pt>
                <c:pt idx="290">
                  <c:v>8128.3051616410066</c:v>
                </c:pt>
                <c:pt idx="291">
                  <c:v>8317.6377110267094</c:v>
                </c:pt>
                <c:pt idx="292">
                  <c:v>8511.3803820237772</c:v>
                </c:pt>
                <c:pt idx="293">
                  <c:v>8709.6358995608189</c:v>
                </c:pt>
                <c:pt idx="294">
                  <c:v>8912.5093813374679</c:v>
                </c:pt>
                <c:pt idx="295">
                  <c:v>9120.1083935591087</c:v>
                </c:pt>
                <c:pt idx="296">
                  <c:v>9332.5430079699217</c:v>
                </c:pt>
                <c:pt idx="297">
                  <c:v>9549.9258602143691</c:v>
                </c:pt>
                <c:pt idx="298">
                  <c:v>9772.3722095581161</c:v>
                </c:pt>
                <c:pt idx="299">
                  <c:v>10000</c:v>
                </c:pt>
                <c:pt idx="300">
                  <c:v>10232.929922807549</c:v>
                </c:pt>
                <c:pt idx="301">
                  <c:v>10471.285480509003</c:v>
                </c:pt>
                <c:pt idx="302">
                  <c:v>10715.193052376071</c:v>
                </c:pt>
                <c:pt idx="303">
                  <c:v>10964.781961431856</c:v>
                </c:pt>
                <c:pt idx="304">
                  <c:v>11220.184543019639</c:v>
                </c:pt>
                <c:pt idx="305">
                  <c:v>11481.536214968832</c:v>
                </c:pt>
                <c:pt idx="306">
                  <c:v>11748.975549395318</c:v>
                </c:pt>
                <c:pt idx="307">
                  <c:v>12022.644346174151</c:v>
                </c:pt>
                <c:pt idx="308">
                  <c:v>12302.687708123816</c:v>
                </c:pt>
                <c:pt idx="309">
                  <c:v>12589.254117941671</c:v>
                </c:pt>
                <c:pt idx="310">
                  <c:v>12882.49551693136</c:v>
                </c:pt>
                <c:pt idx="311">
                  <c:v>13182.567385564091</c:v>
                </c:pt>
                <c:pt idx="312">
                  <c:v>13489.628825916556</c:v>
                </c:pt>
                <c:pt idx="313">
                  <c:v>13803.842646028841</c:v>
                </c:pt>
                <c:pt idx="314">
                  <c:v>14125.375446227561</c:v>
                </c:pt>
                <c:pt idx="315">
                  <c:v>14454.397707459291</c:v>
                </c:pt>
                <c:pt idx="316">
                  <c:v>14791.083881682089</c:v>
                </c:pt>
                <c:pt idx="317">
                  <c:v>15135.612484362096</c:v>
                </c:pt>
                <c:pt idx="318">
                  <c:v>15488.166189124853</c:v>
                </c:pt>
                <c:pt idx="319">
                  <c:v>15848.931924611146</c:v>
                </c:pt>
                <c:pt idx="320">
                  <c:v>16218.100973589309</c:v>
                </c:pt>
                <c:pt idx="321">
                  <c:v>16595.869074375616</c:v>
                </c:pt>
                <c:pt idx="322">
                  <c:v>16982.436524617482</c:v>
                </c:pt>
                <c:pt idx="323">
                  <c:v>17378.008287493791</c:v>
                </c:pt>
                <c:pt idx="324">
                  <c:v>17782.794100389234</c:v>
                </c:pt>
                <c:pt idx="325">
                  <c:v>18197.008586099837</c:v>
                </c:pt>
                <c:pt idx="326">
                  <c:v>18620.871366628675</c:v>
                </c:pt>
                <c:pt idx="327">
                  <c:v>19054.607179632505</c:v>
                </c:pt>
                <c:pt idx="328">
                  <c:v>19498.445997580486</c:v>
                </c:pt>
                <c:pt idx="329">
                  <c:v>19952.623149688792</c:v>
                </c:pt>
                <c:pt idx="330">
                  <c:v>20417.379446695286</c:v>
                </c:pt>
                <c:pt idx="331">
                  <c:v>20892.961308540423</c:v>
                </c:pt>
                <c:pt idx="332">
                  <c:v>21379.620895022348</c:v>
                </c:pt>
                <c:pt idx="333">
                  <c:v>21877.61623949555</c:v>
                </c:pt>
                <c:pt idx="334">
                  <c:v>22387.211385683382</c:v>
                </c:pt>
                <c:pt idx="335">
                  <c:v>22908.676527677751</c:v>
                </c:pt>
                <c:pt idx="336">
                  <c:v>23442.288153199243</c:v>
                </c:pt>
                <c:pt idx="337">
                  <c:v>23988.329190194923</c:v>
                </c:pt>
                <c:pt idx="338">
                  <c:v>24547.089156850321</c:v>
                </c:pt>
                <c:pt idx="339">
                  <c:v>25118.86431509586</c:v>
                </c:pt>
                <c:pt idx="340">
                  <c:v>25703.95782768865</c:v>
                </c:pt>
                <c:pt idx="341">
                  <c:v>26302.679918953829</c:v>
                </c:pt>
                <c:pt idx="342">
                  <c:v>26915.348039269167</c:v>
                </c:pt>
                <c:pt idx="343">
                  <c:v>27542.287033381719</c:v>
                </c:pt>
                <c:pt idx="344">
                  <c:v>28183.829312644593</c:v>
                </c:pt>
                <c:pt idx="345">
                  <c:v>28840.315031266062</c:v>
                </c:pt>
                <c:pt idx="346">
                  <c:v>29512.092266663854</c:v>
                </c:pt>
                <c:pt idx="347">
                  <c:v>30199.517204020212</c:v>
                </c:pt>
                <c:pt idx="348">
                  <c:v>30902.954325135954</c:v>
                </c:pt>
                <c:pt idx="349">
                  <c:v>31622.77660168384</c:v>
                </c:pt>
                <c:pt idx="350">
                  <c:v>32359.365692962871</c:v>
                </c:pt>
                <c:pt idx="351">
                  <c:v>33113.11214825909</c:v>
                </c:pt>
                <c:pt idx="352">
                  <c:v>33884.41561392029</c:v>
                </c:pt>
                <c:pt idx="353">
                  <c:v>34673.685045253202</c:v>
                </c:pt>
                <c:pt idx="354">
                  <c:v>35481.33892335758</c:v>
                </c:pt>
                <c:pt idx="355">
                  <c:v>36307.805477010232</c:v>
                </c:pt>
                <c:pt idx="356">
                  <c:v>37153.522909717351</c:v>
                </c:pt>
                <c:pt idx="357">
                  <c:v>38018.939632056143</c:v>
                </c:pt>
                <c:pt idx="358">
                  <c:v>38904.514499428085</c:v>
                </c:pt>
                <c:pt idx="359">
                  <c:v>39810.717055349742</c:v>
                </c:pt>
                <c:pt idx="360">
                  <c:v>40738.027780411358</c:v>
                </c:pt>
                <c:pt idx="361">
                  <c:v>41686.938347033625</c:v>
                </c:pt>
                <c:pt idx="362">
                  <c:v>42657.951880159271</c:v>
                </c:pt>
                <c:pt idx="363">
                  <c:v>43651.583224016598</c:v>
                </c:pt>
                <c:pt idx="364">
                  <c:v>44668.359215096389</c:v>
                </c:pt>
                <c:pt idx="365">
                  <c:v>45708.818961487581</c:v>
                </c:pt>
                <c:pt idx="366">
                  <c:v>46773.514128719893</c:v>
                </c:pt>
                <c:pt idx="367">
                  <c:v>47863.009232263823</c:v>
                </c:pt>
                <c:pt idx="368">
                  <c:v>48977.881936844598</c:v>
                </c:pt>
                <c:pt idx="369">
                  <c:v>50118.723362727294</c:v>
                </c:pt>
                <c:pt idx="370">
                  <c:v>51286.138399136544</c:v>
                </c:pt>
                <c:pt idx="371">
                  <c:v>52480.746024977314</c:v>
                </c:pt>
                <c:pt idx="372">
                  <c:v>53703.179637025423</c:v>
                </c:pt>
                <c:pt idx="373">
                  <c:v>54954.087385762505</c:v>
                </c:pt>
                <c:pt idx="374">
                  <c:v>56234.132519034953</c:v>
                </c:pt>
                <c:pt idx="375">
                  <c:v>57543.993733715732</c:v>
                </c:pt>
                <c:pt idx="376">
                  <c:v>58884.365535558936</c:v>
                </c:pt>
                <c:pt idx="377">
                  <c:v>60255.95860743591</c:v>
                </c:pt>
                <c:pt idx="378">
                  <c:v>61659.500186148245</c:v>
                </c:pt>
                <c:pt idx="379">
                  <c:v>63095.734448019342</c:v>
                </c:pt>
                <c:pt idx="380">
                  <c:v>64565.422903465682</c:v>
                </c:pt>
                <c:pt idx="381">
                  <c:v>66069.344800759733</c:v>
                </c:pt>
                <c:pt idx="382">
                  <c:v>67608.297539198305</c:v>
                </c:pt>
                <c:pt idx="383">
                  <c:v>69183.097091893651</c:v>
                </c:pt>
                <c:pt idx="384">
                  <c:v>70794.578438413781</c:v>
                </c:pt>
                <c:pt idx="385">
                  <c:v>72443.596007499116</c:v>
                </c:pt>
                <c:pt idx="386">
                  <c:v>74131.024130091857</c:v>
                </c:pt>
                <c:pt idx="387">
                  <c:v>75857.757502918481</c:v>
                </c:pt>
                <c:pt idx="388">
                  <c:v>77624.711662869129</c:v>
                </c:pt>
                <c:pt idx="389">
                  <c:v>79432.823472428237</c:v>
                </c:pt>
                <c:pt idx="390">
                  <c:v>81283.051616410012</c:v>
                </c:pt>
                <c:pt idx="391">
                  <c:v>83176.377110267174</c:v>
                </c:pt>
                <c:pt idx="392">
                  <c:v>85113.803820237721</c:v>
                </c:pt>
                <c:pt idx="393">
                  <c:v>87096.358995608127</c:v>
                </c:pt>
                <c:pt idx="394">
                  <c:v>89125.093813374609</c:v>
                </c:pt>
                <c:pt idx="395">
                  <c:v>91201.083935591028</c:v>
                </c:pt>
                <c:pt idx="396">
                  <c:v>93325.430079699145</c:v>
                </c:pt>
                <c:pt idx="397">
                  <c:v>95499.258602143804</c:v>
                </c:pt>
                <c:pt idx="398">
                  <c:v>97723.722095581266</c:v>
                </c:pt>
                <c:pt idx="399">
                  <c:v>100000</c:v>
                </c:pt>
                <c:pt idx="400">
                  <c:v>102329.29922807543</c:v>
                </c:pt>
                <c:pt idx="401">
                  <c:v>104712.85480508996</c:v>
                </c:pt>
                <c:pt idx="402">
                  <c:v>107151.93052376082</c:v>
                </c:pt>
                <c:pt idx="403">
                  <c:v>109647.81961431868</c:v>
                </c:pt>
                <c:pt idx="404">
                  <c:v>112201.84543019651</c:v>
                </c:pt>
                <c:pt idx="405">
                  <c:v>114815.36214968823</c:v>
                </c:pt>
                <c:pt idx="406">
                  <c:v>117489.75549395311</c:v>
                </c:pt>
                <c:pt idx="407">
                  <c:v>120226.44346174144</c:v>
                </c:pt>
                <c:pt idx="408">
                  <c:v>123026.87708123829</c:v>
                </c:pt>
                <c:pt idx="409">
                  <c:v>125892.54117941685</c:v>
                </c:pt>
                <c:pt idx="410">
                  <c:v>128824.95516931375</c:v>
                </c:pt>
                <c:pt idx="411">
                  <c:v>131825.67385564081</c:v>
                </c:pt>
                <c:pt idx="412">
                  <c:v>134896.28825916545</c:v>
                </c:pt>
                <c:pt idx="413">
                  <c:v>138038.42646028858</c:v>
                </c:pt>
                <c:pt idx="414">
                  <c:v>141253.75446227577</c:v>
                </c:pt>
                <c:pt idx="415">
                  <c:v>144543.97707459307</c:v>
                </c:pt>
                <c:pt idx="416">
                  <c:v>147910.83881682079</c:v>
                </c:pt>
                <c:pt idx="417">
                  <c:v>151356.12484362084</c:v>
                </c:pt>
                <c:pt idx="418">
                  <c:v>154881.66189124843</c:v>
                </c:pt>
                <c:pt idx="419">
                  <c:v>158489.31924611164</c:v>
                </c:pt>
                <c:pt idx="420">
                  <c:v>162181.00973589328</c:v>
                </c:pt>
                <c:pt idx="421">
                  <c:v>165958.69074375604</c:v>
                </c:pt>
                <c:pt idx="422">
                  <c:v>169824.36524617471</c:v>
                </c:pt>
                <c:pt idx="423">
                  <c:v>173780.0828749378</c:v>
                </c:pt>
                <c:pt idx="424">
                  <c:v>177827.94100389251</c:v>
                </c:pt>
                <c:pt idx="425">
                  <c:v>181970.08586099857</c:v>
                </c:pt>
                <c:pt idx="426">
                  <c:v>186208.71366628664</c:v>
                </c:pt>
                <c:pt idx="427">
                  <c:v>190546.07179632492</c:v>
                </c:pt>
                <c:pt idx="428">
                  <c:v>194984.45997580473</c:v>
                </c:pt>
                <c:pt idx="429">
                  <c:v>199526.23149688813</c:v>
                </c:pt>
                <c:pt idx="430">
                  <c:v>204173.79446695308</c:v>
                </c:pt>
                <c:pt idx="431">
                  <c:v>208929.61308540447</c:v>
                </c:pt>
                <c:pt idx="432">
                  <c:v>213796.20895022334</c:v>
                </c:pt>
                <c:pt idx="433">
                  <c:v>218776.16239495538</c:v>
                </c:pt>
                <c:pt idx="434">
                  <c:v>223872.11385683404</c:v>
                </c:pt>
                <c:pt idx="435">
                  <c:v>229086.76527677779</c:v>
                </c:pt>
                <c:pt idx="436">
                  <c:v>234422.88153199267</c:v>
                </c:pt>
                <c:pt idx="437">
                  <c:v>239883.29190194907</c:v>
                </c:pt>
                <c:pt idx="438">
                  <c:v>245470.89156850305</c:v>
                </c:pt>
                <c:pt idx="439">
                  <c:v>251188.64315095844</c:v>
                </c:pt>
                <c:pt idx="440">
                  <c:v>257039.57827688678</c:v>
                </c:pt>
                <c:pt idx="441">
                  <c:v>263026.79918953858</c:v>
                </c:pt>
                <c:pt idx="442">
                  <c:v>269153.48039269145</c:v>
                </c:pt>
                <c:pt idx="443">
                  <c:v>275422.87033381703</c:v>
                </c:pt>
                <c:pt idx="444">
                  <c:v>281838.29312644573</c:v>
                </c:pt>
                <c:pt idx="445">
                  <c:v>288403.1503126609</c:v>
                </c:pt>
                <c:pt idx="446">
                  <c:v>295120.92266663886</c:v>
                </c:pt>
                <c:pt idx="447">
                  <c:v>301995.17204020242</c:v>
                </c:pt>
                <c:pt idx="448">
                  <c:v>309029.54325135931</c:v>
                </c:pt>
                <c:pt idx="449">
                  <c:v>316227.7660168382</c:v>
                </c:pt>
                <c:pt idx="450">
                  <c:v>323593.65692962846</c:v>
                </c:pt>
                <c:pt idx="451">
                  <c:v>331131.12148259126</c:v>
                </c:pt>
                <c:pt idx="452">
                  <c:v>338844.15613920329</c:v>
                </c:pt>
                <c:pt idx="453">
                  <c:v>346736.85045253241</c:v>
                </c:pt>
                <c:pt idx="454">
                  <c:v>354813.38923357555</c:v>
                </c:pt>
                <c:pt idx="455">
                  <c:v>363078.05477010203</c:v>
                </c:pt>
                <c:pt idx="456">
                  <c:v>371535.2290971732</c:v>
                </c:pt>
                <c:pt idx="457">
                  <c:v>380189.39632056188</c:v>
                </c:pt>
                <c:pt idx="458">
                  <c:v>389045.14499428123</c:v>
                </c:pt>
                <c:pt idx="459">
                  <c:v>398107.17055349716</c:v>
                </c:pt>
                <c:pt idx="460">
                  <c:v>407380.27780411334</c:v>
                </c:pt>
                <c:pt idx="461">
                  <c:v>416869.38347033598</c:v>
                </c:pt>
                <c:pt idx="462">
                  <c:v>426579.51880159322</c:v>
                </c:pt>
                <c:pt idx="463">
                  <c:v>436515.83224016649</c:v>
                </c:pt>
                <c:pt idx="464">
                  <c:v>446683.59215096442</c:v>
                </c:pt>
                <c:pt idx="465">
                  <c:v>457088.18961487547</c:v>
                </c:pt>
                <c:pt idx="466">
                  <c:v>467735.14128719864</c:v>
                </c:pt>
                <c:pt idx="467">
                  <c:v>478630.09232263872</c:v>
                </c:pt>
                <c:pt idx="468">
                  <c:v>489778.81936844654</c:v>
                </c:pt>
                <c:pt idx="469">
                  <c:v>501187.23362727347</c:v>
                </c:pt>
                <c:pt idx="470">
                  <c:v>512861.38399136515</c:v>
                </c:pt>
                <c:pt idx="471">
                  <c:v>524807.46024977288</c:v>
                </c:pt>
                <c:pt idx="472">
                  <c:v>537031.7963702539</c:v>
                </c:pt>
                <c:pt idx="473">
                  <c:v>549540.87385762564</c:v>
                </c:pt>
                <c:pt idx="474">
                  <c:v>562341.32519035018</c:v>
                </c:pt>
                <c:pt idx="475">
                  <c:v>575439.93733715697</c:v>
                </c:pt>
                <c:pt idx="476">
                  <c:v>588843.65535558888</c:v>
                </c:pt>
                <c:pt idx="477">
                  <c:v>602559.58607435878</c:v>
                </c:pt>
                <c:pt idx="478">
                  <c:v>616595.00186148309</c:v>
                </c:pt>
                <c:pt idx="479">
                  <c:v>630957.34448019415</c:v>
                </c:pt>
                <c:pt idx="480">
                  <c:v>645654.22903465747</c:v>
                </c:pt>
                <c:pt idx="481">
                  <c:v>660693.44800759677</c:v>
                </c:pt>
                <c:pt idx="482">
                  <c:v>676082.97539198259</c:v>
                </c:pt>
                <c:pt idx="483">
                  <c:v>691830.97091893724</c:v>
                </c:pt>
                <c:pt idx="484">
                  <c:v>707945.78438413853</c:v>
                </c:pt>
                <c:pt idx="485">
                  <c:v>724435.96007499192</c:v>
                </c:pt>
                <c:pt idx="486">
                  <c:v>741310.24130091805</c:v>
                </c:pt>
                <c:pt idx="487">
                  <c:v>758577.57502918423</c:v>
                </c:pt>
                <c:pt idx="488">
                  <c:v>776247.11662869214</c:v>
                </c:pt>
                <c:pt idx="489">
                  <c:v>794328.23472428333</c:v>
                </c:pt>
                <c:pt idx="490">
                  <c:v>812830.51616410096</c:v>
                </c:pt>
                <c:pt idx="491">
                  <c:v>831763.77110267128</c:v>
                </c:pt>
                <c:pt idx="492">
                  <c:v>851138.03820237669</c:v>
                </c:pt>
                <c:pt idx="493">
                  <c:v>870963.58995608077</c:v>
                </c:pt>
                <c:pt idx="494">
                  <c:v>891250.93813374708</c:v>
                </c:pt>
                <c:pt idx="495">
                  <c:v>912010.83935591124</c:v>
                </c:pt>
                <c:pt idx="496">
                  <c:v>933254.30079699249</c:v>
                </c:pt>
                <c:pt idx="497">
                  <c:v>954992.58602143743</c:v>
                </c:pt>
                <c:pt idx="498">
                  <c:v>977237.22095581202</c:v>
                </c:pt>
                <c:pt idx="499">
                  <c:v>1000000</c:v>
                </c:pt>
                <c:pt idx="500">
                  <c:v>1023292.9922807553</c:v>
                </c:pt>
                <c:pt idx="501">
                  <c:v>1047128.5480509007</c:v>
                </c:pt>
                <c:pt idx="502">
                  <c:v>1071519.3052376076</c:v>
                </c:pt>
                <c:pt idx="503">
                  <c:v>1096478.196143186</c:v>
                </c:pt>
                <c:pt idx="504">
                  <c:v>1122018.4543019643</c:v>
                </c:pt>
                <c:pt idx="505">
                  <c:v>1148153.6214968837</c:v>
                </c:pt>
                <c:pt idx="506">
                  <c:v>1174897.5549395324</c:v>
                </c:pt>
                <c:pt idx="507">
                  <c:v>1202264.4346174158</c:v>
                </c:pt>
                <c:pt idx="508">
                  <c:v>1230268.770812382</c:v>
                </c:pt>
                <c:pt idx="509">
                  <c:v>1258925.4117941677</c:v>
                </c:pt>
                <c:pt idx="510">
                  <c:v>1288249.5516931366</c:v>
                </c:pt>
                <c:pt idx="511">
                  <c:v>1318256.7385564097</c:v>
                </c:pt>
                <c:pt idx="512">
                  <c:v>1348962.8825916562</c:v>
                </c:pt>
                <c:pt idx="513">
                  <c:v>1380384.2646028849</c:v>
                </c:pt>
                <c:pt idx="514">
                  <c:v>1412537.5446227565</c:v>
                </c:pt>
                <c:pt idx="515">
                  <c:v>1445439.7707459298</c:v>
                </c:pt>
                <c:pt idx="516">
                  <c:v>1479108.3881682095</c:v>
                </c:pt>
                <c:pt idx="517">
                  <c:v>1513561.2484362102</c:v>
                </c:pt>
                <c:pt idx="518">
                  <c:v>1548816.6189124861</c:v>
                </c:pt>
                <c:pt idx="519">
                  <c:v>1584893.1924611153</c:v>
                </c:pt>
                <c:pt idx="520">
                  <c:v>1621810.0973589318</c:v>
                </c:pt>
                <c:pt idx="521">
                  <c:v>1659586.9074375622</c:v>
                </c:pt>
                <c:pt idx="522">
                  <c:v>1698243.6524617488</c:v>
                </c:pt>
                <c:pt idx="523">
                  <c:v>1737800.8287493798</c:v>
                </c:pt>
                <c:pt idx="524">
                  <c:v>1778279.4100389241</c:v>
                </c:pt>
                <c:pt idx="525">
                  <c:v>1819700.8586099846</c:v>
                </c:pt>
                <c:pt idx="526">
                  <c:v>1862087.1366628683</c:v>
                </c:pt>
                <c:pt idx="527">
                  <c:v>1905460.7179632513</c:v>
                </c:pt>
                <c:pt idx="528">
                  <c:v>1949844.5997580495</c:v>
                </c:pt>
                <c:pt idx="529">
                  <c:v>1995262.31496888</c:v>
                </c:pt>
                <c:pt idx="530">
                  <c:v>2041737.9446695296</c:v>
                </c:pt>
                <c:pt idx="531">
                  <c:v>2089296.1308540432</c:v>
                </c:pt>
                <c:pt idx="532">
                  <c:v>2137962.0895022359</c:v>
                </c:pt>
                <c:pt idx="533">
                  <c:v>2187761.6239495561</c:v>
                </c:pt>
                <c:pt idx="534">
                  <c:v>2238721.1385683389</c:v>
                </c:pt>
                <c:pt idx="535">
                  <c:v>2290867.6527677765</c:v>
                </c:pt>
                <c:pt idx="536">
                  <c:v>2344228.8153199251</c:v>
                </c:pt>
                <c:pt idx="537">
                  <c:v>2398832.9190194933</c:v>
                </c:pt>
                <c:pt idx="538">
                  <c:v>2454708.915685033</c:v>
                </c:pt>
                <c:pt idx="539">
                  <c:v>2511886.431509587</c:v>
                </c:pt>
                <c:pt idx="540">
                  <c:v>2570395.782768866</c:v>
                </c:pt>
                <c:pt idx="541">
                  <c:v>2630267.9918953842</c:v>
                </c:pt>
              </c:numCache>
            </c:numRef>
          </c:xVal>
          <c:yVal>
            <c:numRef>
              <c:f>CCM_Loop_Modeling_non_isolated!$AD$19:$AD$560</c:f>
              <c:numCache>
                <c:formatCode>0.000</c:formatCode>
                <c:ptCount val="542"/>
                <c:pt idx="0">
                  <c:v>73.810196911614611</c:v>
                </c:pt>
                <c:pt idx="1">
                  <c:v>73.79327469541694</c:v>
                </c:pt>
                <c:pt idx="2">
                  <c:v>73.77562528228971</c:v>
                </c:pt>
                <c:pt idx="3">
                  <c:v>73.757220560861981</c:v>
                </c:pt>
                <c:pt idx="4">
                  <c:v>73.738031605646682</c:v>
                </c:pt>
                <c:pt idx="5">
                  <c:v>73.71802867717507</c:v>
                </c:pt>
                <c:pt idx="6">
                  <c:v>73.697181224541637</c:v>
                </c:pt>
                <c:pt idx="7">
                  <c:v>73.675457890558377</c:v>
                </c:pt>
                <c:pt idx="8">
                  <c:v>73.652826519722467</c:v>
                </c:pt>
                <c:pt idx="9">
                  <c:v>73.629254169202625</c:v>
                </c:pt>
                <c:pt idx="10">
                  <c:v>73.604707123051071</c:v>
                </c:pt>
                <c:pt idx="11">
                  <c:v>73.579150909847485</c:v>
                </c:pt>
                <c:pt idx="12">
                  <c:v>73.552550323977954</c:v>
                </c:pt>
                <c:pt idx="13">
                  <c:v>73.524869450748014</c:v>
                </c:pt>
                <c:pt idx="14">
                  <c:v>73.496071695521024</c:v>
                </c:pt>
                <c:pt idx="15">
                  <c:v>73.466119817064367</c:v>
                </c:pt>
                <c:pt idx="16">
                  <c:v>73.434975965272301</c:v>
                </c:pt>
                <c:pt idx="17">
                  <c:v>73.402601723420673</c:v>
                </c:pt>
                <c:pt idx="18">
                  <c:v>73.368958155088407</c:v>
                </c:pt>
                <c:pt idx="19">
                  <c:v>73.334005855860596</c:v>
                </c:pt>
                <c:pt idx="20">
                  <c:v>73.297705009902188</c:v>
                </c:pt>
                <c:pt idx="21">
                  <c:v>73.260015451462792</c:v>
                </c:pt>
                <c:pt idx="22">
                  <c:v>73.220896731342222</c:v>
                </c:pt>
                <c:pt idx="23">
                  <c:v>73.180308188309596</c:v>
                </c:pt>
                <c:pt idx="24">
                  <c:v>73.13820902543182</c:v>
                </c:pt>
                <c:pt idx="25">
                  <c:v>73.094558391224567</c:v>
                </c:pt>
                <c:pt idx="26">
                  <c:v>73.049315465494814</c:v>
                </c:pt>
                <c:pt idx="27">
                  <c:v>73.002439549696476</c:v>
                </c:pt>
                <c:pt idx="28">
                  <c:v>72.953890161570882</c:v>
                </c:pt>
                <c:pt idx="29">
                  <c:v>72.903627133793975</c:v>
                </c:pt>
                <c:pt idx="30">
                  <c:v>72.851610716297671</c:v>
                </c:pt>
                <c:pt idx="31">
                  <c:v>72.797801681881424</c:v>
                </c:pt>
                <c:pt idx="32">
                  <c:v>72.742161434676575</c:v>
                </c:pt>
                <c:pt idx="33">
                  <c:v>72.684652120973482</c:v>
                </c:pt>
                <c:pt idx="34">
                  <c:v>72.625236741872143</c:v>
                </c:pt>
                <c:pt idx="35">
                  <c:v>72.56387926716792</c:v>
                </c:pt>
                <c:pt idx="36">
                  <c:v>72.500544749840813</c:v>
                </c:pt>
                <c:pt idx="37">
                  <c:v>72.43519944047587</c:v>
                </c:pt>
                <c:pt idx="38">
                  <c:v>72.36781090090814</c:v>
                </c:pt>
                <c:pt idx="39">
                  <c:v>72.298348116356422</c:v>
                </c:pt>
                <c:pt idx="40">
                  <c:v>72.226781605288849</c:v>
                </c:pt>
                <c:pt idx="41">
                  <c:v>72.153083526249205</c:v>
                </c:pt>
                <c:pt idx="42">
                  <c:v>72.077227780867389</c:v>
                </c:pt>
                <c:pt idx="43">
                  <c:v>71.999190112280388</c:v>
                </c:pt>
                <c:pt idx="44">
                  <c:v>71.91894819820331</c:v>
                </c:pt>
                <c:pt idx="45">
                  <c:v>71.836481737911186</c:v>
                </c:pt>
                <c:pt idx="46">
                  <c:v>71.751772532425221</c:v>
                </c:pt>
                <c:pt idx="47">
                  <c:v>71.664804557237261</c:v>
                </c:pt>
                <c:pt idx="48">
                  <c:v>71.575564026956926</c:v>
                </c:pt>
                <c:pt idx="49">
                  <c:v>71.4840394513257</c:v>
                </c:pt>
                <c:pt idx="50">
                  <c:v>71.39022168210785</c:v>
                </c:pt>
                <c:pt idx="51">
                  <c:v>71.294103950444139</c:v>
                </c:pt>
                <c:pt idx="52">
                  <c:v>71.195681894333546</c:v>
                </c:pt>
                <c:pt idx="53">
                  <c:v>71.09495357599387</c:v>
                </c:pt>
                <c:pt idx="54">
                  <c:v>70.991919488942571</c:v>
                </c:pt>
                <c:pt idx="55">
                  <c:v>70.886582554728832</c:v>
                </c:pt>
                <c:pt idx="56">
                  <c:v>70.77894810934356</c:v>
                </c:pt>
                <c:pt idx="57">
                  <c:v>70.669023879422554</c:v>
                </c:pt>
                <c:pt idx="58">
                  <c:v>70.556819948453452</c:v>
                </c:pt>
                <c:pt idx="59">
                  <c:v>70.442348713279358</c:v>
                </c:pt>
                <c:pt idx="60">
                  <c:v>70.325624831279072</c:v>
                </c:pt>
                <c:pt idx="61">
                  <c:v>70.206665158679058</c:v>
                </c:pt>
                <c:pt idx="62">
                  <c:v>70.085488680521976</c:v>
                </c:pt>
                <c:pt idx="63">
                  <c:v>69.962116432881928</c:v>
                </c:pt>
                <c:pt idx="64">
                  <c:v>69.836571417968088</c:v>
                </c:pt>
                <c:pt idx="65">
                  <c:v>69.708878512805526</c:v>
                </c:pt>
                <c:pt idx="66">
                  <c:v>69.579064372216919</c:v>
                </c:pt>
                <c:pt idx="67">
                  <c:v>69.44715732685566</c:v>
                </c:pt>
                <c:pt idx="68">
                  <c:v>69.313187277057565</c:v>
                </c:pt>
                <c:pt idx="69">
                  <c:v>69.177185583286061</c:v>
                </c:pt>
                <c:pt idx="70">
                  <c:v>69.03918495394214</c:v>
                </c:pt>
                <c:pt idx="71">
                  <c:v>68.89921933130347</c:v>
                </c:pt>
                <c:pt idx="72">
                  <c:v>68.757323776334786</c:v>
                </c:pt>
                <c:pt idx="73">
                  <c:v>68.613534353088838</c:v>
                </c:pt>
                <c:pt idx="74">
                  <c:v>68.467888013383785</c:v>
                </c:pt>
                <c:pt idx="75">
                  <c:v>68.320422482405007</c:v>
                </c:pt>
                <c:pt idx="76">
                  <c:v>68.171176145837023</c:v>
                </c:pt>
                <c:pt idx="77">
                  <c:v>68.020187939085034</c:v>
                </c:pt>
                <c:pt idx="78">
                  <c:v>67.867497239095329</c:v>
                </c:pt>
                <c:pt idx="79">
                  <c:v>67.71314375923285</c:v>
                </c:pt>
                <c:pt idx="80">
                  <c:v>67.557167447621993</c:v>
                </c:pt>
                <c:pt idx="81">
                  <c:v>67.399608389301932</c:v>
                </c:pt>
                <c:pt idx="82">
                  <c:v>67.240506712497151</c:v>
                </c:pt>
                <c:pt idx="83">
                  <c:v>67.079902499249556</c:v>
                </c:pt>
                <c:pt idx="84">
                  <c:v>66.917835700610112</c:v>
                </c:pt>
                <c:pt idx="85">
                  <c:v>66.754346056538878</c:v>
                </c:pt>
                <c:pt idx="86">
                  <c:v>66.589473020614903</c:v>
                </c:pt>
                <c:pt idx="87">
                  <c:v>66.423255689617648</c:v>
                </c:pt>
                <c:pt idx="88">
                  <c:v>66.255732737998173</c:v>
                </c:pt>
                <c:pt idx="89">
                  <c:v>66.086942357223336</c:v>
                </c:pt>
                <c:pt idx="90">
                  <c:v>65.916922199942121</c:v>
                </c:pt>
                <c:pt idx="91">
                  <c:v>65.745709328893668</c:v>
                </c:pt>
                <c:pt idx="92">
                  <c:v>65.5733401704492</c:v>
                </c:pt>
                <c:pt idx="93">
                  <c:v>65.399850472657789</c:v>
                </c:pt>
                <c:pt idx="94">
                  <c:v>65.225275267644051</c:v>
                </c:pt>
                <c:pt idx="95">
                  <c:v>65.049648838192383</c:v>
                </c:pt>
                <c:pt idx="96">
                  <c:v>64.873004688333992</c:v>
                </c:pt>
                <c:pt idx="97">
                  <c:v>64.695375517746768</c:v>
                </c:pt>
                <c:pt idx="98">
                  <c:v>64.516793199765459</c:v>
                </c:pt>
                <c:pt idx="99">
                  <c:v>64.337288762797101</c:v>
                </c:pt>
                <c:pt idx="100">
                  <c:v>64.156892374930564</c:v>
                </c:pt>
                <c:pt idx="101">
                  <c:v>63.975633331528201</c:v>
                </c:pt>
                <c:pt idx="102">
                  <c:v>63.793540045588728</c:v>
                </c:pt>
                <c:pt idx="103">
                  <c:v>63.610640040670063</c:v>
                </c:pt>
                <c:pt idx="104">
                  <c:v>63.426959946165262</c:v>
                </c:pt>
                <c:pt idx="105">
                  <c:v>63.242525494729158</c:v>
                </c:pt>
                <c:pt idx="106">
                  <c:v>63.057361521657931</c:v>
                </c:pt>
                <c:pt idx="107">
                  <c:v>62.871491966029112</c:v>
                </c:pt>
                <c:pt idx="108">
                  <c:v>62.684939873419161</c:v>
                </c:pt>
                <c:pt idx="109">
                  <c:v>62.497727400019308</c:v>
                </c:pt>
                <c:pt idx="110">
                  <c:v>62.309875817981137</c:v>
                </c:pt>
                <c:pt idx="111">
                  <c:v>62.121405521829928</c:v>
                </c:pt>
                <c:pt idx="112">
                  <c:v>61.932336035792133</c:v>
                </c:pt>
                <c:pt idx="113">
                  <c:v>61.742686021891949</c:v>
                </c:pt>
                <c:pt idx="114">
                  <c:v>61.552473288679991</c:v>
                </c:pt>
                <c:pt idx="115">
                  <c:v>61.361714800465705</c:v>
                </c:pt>
                <c:pt idx="116">
                  <c:v>61.17042668693243</c:v>
                </c:pt>
                <c:pt idx="117">
                  <c:v>60.978624253023533</c:v>
                </c:pt>
                <c:pt idx="118">
                  <c:v>60.786321988993315</c:v>
                </c:pt>
                <c:pt idx="119">
                  <c:v>60.593533580527279</c:v>
                </c:pt>
                <c:pt idx="120">
                  <c:v>60.400271918839692</c:v>
                </c:pt>
                <c:pt idx="121">
                  <c:v>60.206549110667204</c:v>
                </c:pt>
                <c:pt idx="122">
                  <c:v>60.012376488080996</c:v>
                </c:pt>
                <c:pt idx="123">
                  <c:v>59.817764618047335</c:v>
                </c:pt>
                <c:pt idx="124">
                  <c:v>59.622723311673631</c:v>
                </c:pt>
                <c:pt idx="125">
                  <c:v>59.427261633080768</c:v>
                </c:pt>
                <c:pt idx="126">
                  <c:v>59.23138790784904</c:v>
                </c:pt>
                <c:pt idx="127">
                  <c:v>59.035109730991394</c:v>
                </c:pt>
                <c:pt idx="128">
                  <c:v>58.838433974410059</c:v>
                </c:pt>
                <c:pt idx="129">
                  <c:v>58.641366793798831</c:v>
                </c:pt>
                <c:pt idx="130">
                  <c:v>58.443913634958911</c:v>
                </c:pt>
                <c:pt idx="131">
                  <c:v>58.246079239497213</c:v>
                </c:pt>
                <c:pt idx="132">
                  <c:v>58.047867649883678</c:v>
                </c:pt>
                <c:pt idx="133">
                  <c:v>57.849282213844724</c:v>
                </c:pt>
                <c:pt idx="134">
                  <c:v>57.650325588076711</c:v>
                </c:pt>
                <c:pt idx="135">
                  <c:v>57.450999741264113</c:v>
                </c:pt>
                <c:pt idx="136">
                  <c:v>57.251305956392471</c:v>
                </c:pt>
                <c:pt idx="137">
                  <c:v>57.051244832348608</c:v>
                </c:pt>
                <c:pt idx="138">
                  <c:v>56.850816284804665</c:v>
                </c:pt>
                <c:pt idx="139">
                  <c:v>56.650019546384165</c:v>
                </c:pt>
                <c:pt idx="140">
                  <c:v>56.448853166114361</c:v>
                </c:pt>
                <c:pt idx="141">
                  <c:v>56.247315008168982</c:v>
                </c:pt>
                <c:pt idx="142">
                  <c:v>56.045402249911902</c:v>
                </c:pt>
                <c:pt idx="143">
                  <c:v>55.843111379253976</c:v>
                </c:pt>
                <c:pt idx="144">
                  <c:v>55.640438191338419</c:v>
                </c:pt>
                <c:pt idx="145">
                  <c:v>55.43737778457519</c:v>
                </c:pt>
                <c:pt idx="146">
                  <c:v>55.233924556047455</c:v>
                </c:pt>
                <c:pt idx="147">
                  <c:v>55.030072196316986</c:v>
                </c:pt>
                <c:pt idx="148">
                  <c:v>54.825813683660158</c:v>
                </c:pt>
                <c:pt idx="149">
                  <c:v>54.621141277769915</c:v>
                </c:pt>
                <c:pt idx="150">
                  <c:v>54.416046512963597</c:v>
                </c:pt>
                <c:pt idx="151">
                  <c:v>54.210520190941374</c:v>
                </c:pt>
                <c:pt idx="152">
                  <c:v>54.004552373145088</c:v>
                </c:pt>
                <c:pt idx="153">
                  <c:v>53.798132372772059</c:v>
                </c:pt>
                <c:pt idx="154">
                  <c:v>53.591248746504611</c:v>
                </c:pt>
                <c:pt idx="155">
                  <c:v>53.383889286021564</c:v>
                </c:pt>
                <c:pt idx="156">
                  <c:v>53.176041009364226</c:v>
                </c:pt>
                <c:pt idx="157">
                  <c:v>52.967690152234553</c:v>
                </c:pt>
                <c:pt idx="158">
                  <c:v>52.758822159313183</c:v>
                </c:pt>
                <c:pt idx="159">
                  <c:v>52.549421675687853</c:v>
                </c:pt>
                <c:pt idx="160">
                  <c:v>52.339472538492949</c:v>
                </c:pt>
                <c:pt idx="161">
                  <c:v>52.12895776886878</c:v>
                </c:pt>
                <c:pt idx="162">
                  <c:v>51.917859564352902</c:v>
                </c:pt>
                <c:pt idx="163">
                  <c:v>51.706159291830581</c:v>
                </c:pt>
                <c:pt idx="164">
                  <c:v>51.493837481173102</c:v>
                </c:pt>
                <c:pt idx="165">
                  <c:v>51.280873819705349</c:v>
                </c:pt>
                <c:pt idx="166">
                  <c:v>51.067247147650683</c:v>
                </c:pt>
                <c:pt idx="167">
                  <c:v>50.852935454709169</c:v>
                </c:pt>
                <c:pt idx="168">
                  <c:v>50.637915877935839</c:v>
                </c:pt>
                <c:pt idx="169">
                  <c:v>50.42216470109058</c:v>
                </c:pt>
                <c:pt idx="170">
                  <c:v>50.20565735564152</c:v>
                </c:pt>
                <c:pt idx="171">
                  <c:v>49.988368423610716</c:v>
                </c:pt>
                <c:pt idx="172">
                  <c:v>49.770271642457082</c:v>
                </c:pt>
                <c:pt idx="173">
                  <c:v>49.551339912198877</c:v>
                </c:pt>
                <c:pt idx="174">
                  <c:v>49.331545304983173</c:v>
                </c:pt>
                <c:pt idx="175">
                  <c:v>49.110859077312668</c:v>
                </c:pt>
                <c:pt idx="176">
                  <c:v>48.889251685147428</c:v>
                </c:pt>
                <c:pt idx="177">
                  <c:v>48.666692802095291</c:v>
                </c:pt>
                <c:pt idx="178">
                  <c:v>48.443151340911214</c:v>
                </c:pt>
                <c:pt idx="179">
                  <c:v>48.218595478518651</c:v>
                </c:pt>
                <c:pt idx="180">
                  <c:v>47.992992684768041</c:v>
                </c:pt>
                <c:pt idx="181">
                  <c:v>47.766309755136433</c:v>
                </c:pt>
                <c:pt idx="182">
                  <c:v>47.538512847568903</c:v>
                </c:pt>
                <c:pt idx="183">
                  <c:v>47.309567523648838</c:v>
                </c:pt>
                <c:pt idx="184">
                  <c:v>47.079438794271589</c:v>
                </c:pt>
                <c:pt idx="185">
                  <c:v>46.848091169980314</c:v>
                </c:pt>
                <c:pt idx="186">
                  <c:v>46.615488716100458</c:v>
                </c:pt>
                <c:pt idx="187">
                  <c:v>46.381595112790649</c:v>
                </c:pt>
                <c:pt idx="188">
                  <c:v>46.146373720097287</c:v>
                </c:pt>
                <c:pt idx="189">
                  <c:v>45.90978764807295</c:v>
                </c:pt>
                <c:pt idx="190">
                  <c:v>45.671799831984615</c:v>
                </c:pt>
                <c:pt idx="191">
                  <c:v>45.432373112601638</c:v>
                </c:pt>
                <c:pt idx="192">
                  <c:v>45.191470321512803</c:v>
                </c:pt>
                <c:pt idx="193">
                  <c:v>44.949054371380377</c:v>
                </c:pt>
                <c:pt idx="194">
                  <c:v>44.705088350991318</c:v>
                </c:pt>
                <c:pt idx="195">
                  <c:v>44.459535624920306</c:v>
                </c:pt>
                <c:pt idx="196">
                  <c:v>44.212359937565857</c:v>
                </c:pt>
                <c:pt idx="197">
                  <c:v>43.963525521272544</c:v>
                </c:pt>
                <c:pt idx="198">
                  <c:v>43.712997208196207</c:v>
                </c:pt>
                <c:pt idx="199">
                  <c:v>43.460740545518547</c:v>
                </c:pt>
                <c:pt idx="200">
                  <c:v>43.206721913562518</c:v>
                </c:pt>
                <c:pt idx="201">
                  <c:v>42.950908646310808</c:v>
                </c:pt>
                <c:pt idx="202">
                  <c:v>42.69326915377701</c:v>
                </c:pt>
                <c:pt idx="203">
                  <c:v>42.433773045636173</c:v>
                </c:pt>
                <c:pt idx="204">
                  <c:v>42.172391255474146</c:v>
                </c:pt>
                <c:pt idx="205">
                  <c:v>41.909096164980689</c:v>
                </c:pt>
                <c:pt idx="206">
                  <c:v>41.643861727376319</c:v>
                </c:pt>
                <c:pt idx="207">
                  <c:v>41.376663589337127</c:v>
                </c:pt>
                <c:pt idx="208">
                  <c:v>41.107479210663122</c:v>
                </c:pt>
                <c:pt idx="209">
                  <c:v>40.836287980923117</c:v>
                </c:pt>
                <c:pt idx="210">
                  <c:v>40.563071332309079</c:v>
                </c:pt>
                <c:pt idx="211">
                  <c:v>40.287812847935164</c:v>
                </c:pt>
                <c:pt idx="212">
                  <c:v>40.010498364836913</c:v>
                </c:pt>
                <c:pt idx="213">
                  <c:v>39.731116070946328</c:v>
                </c:pt>
                <c:pt idx="214">
                  <c:v>39.449656595357439</c:v>
                </c:pt>
                <c:pt idx="215">
                  <c:v>39.166113091237364</c:v>
                </c:pt>
                <c:pt idx="216">
                  <c:v>38.880481310792533</c:v>
                </c:pt>
                <c:pt idx="217">
                  <c:v>38.592759671759907</c:v>
                </c:pt>
                <c:pt idx="218">
                  <c:v>38.30294931496163</c:v>
                </c:pt>
                <c:pt idx="219">
                  <c:v>38.011054152537</c:v>
                </c:pt>
                <c:pt idx="220">
                  <c:v>37.717080906546116</c:v>
                </c:pt>
                <c:pt idx="221">
                  <c:v>37.421039137724463</c:v>
                </c:pt>
                <c:pt idx="222">
                  <c:v>37.122941264257115</c:v>
                </c:pt>
                <c:pt idx="223">
                  <c:v>36.822802570528182</c:v>
                </c:pt>
                <c:pt idx="224">
                  <c:v>36.52064120589543</c:v>
                </c:pt>
                <c:pt idx="225">
                  <c:v>36.216478173624495</c:v>
                </c:pt>
                <c:pt idx="226">
                  <c:v>35.910337310205435</c:v>
                </c:pt>
                <c:pt idx="227">
                  <c:v>35.602245255357914</c:v>
                </c:pt>
                <c:pt idx="228">
                  <c:v>35.292231413104915</c:v>
                </c:pt>
                <c:pt idx="229">
                  <c:v>34.980327904366604</c:v>
                </c:pt>
                <c:pt idx="230">
                  <c:v>34.666569511592385</c:v>
                </c:pt>
                <c:pt idx="231">
                  <c:v>34.350993615996863</c:v>
                </c:pt>
                <c:pt idx="232">
                  <c:v>34.033640128018703</c:v>
                </c:pt>
                <c:pt idx="233">
                  <c:v>33.714551411650802</c:v>
                </c:pt>
                <c:pt idx="234">
                  <c:v>33.393772203322399</c:v>
                </c:pt>
                <c:pt idx="235">
                  <c:v>33.071349526025415</c:v>
                </c:pt>
                <c:pt idx="236">
                  <c:v>32.747332599386517</c:v>
                </c:pt>
                <c:pt idx="237">
                  <c:v>32.42177274638297</c:v>
                </c:pt>
                <c:pt idx="238">
                  <c:v>32.094723297386395</c:v>
                </c:pt>
                <c:pt idx="239">
                  <c:v>31.76623949220027</c:v>
                </c:pt>
                <c:pt idx="240">
                  <c:v>31.436378380725284</c:v>
                </c:pt>
                <c:pt idx="241">
                  <c:v>31.105198722851611</c:v>
                </c:pt>
                <c:pt idx="242">
                  <c:v>30.772760888135377</c:v>
                </c:pt>
                <c:pt idx="243">
                  <c:v>30.439126755766384</c:v>
                </c:pt>
                <c:pt idx="244">
                  <c:v>30.104359615283869</c:v>
                </c:pt>
                <c:pt idx="245">
                  <c:v>29.768524068438499</c:v>
                </c:pt>
                <c:pt idx="246">
                  <c:v>29.431685932543218</c:v>
                </c:pt>
                <c:pt idx="247">
                  <c:v>29.093912145591851</c:v>
                </c:pt>
                <c:pt idx="248">
                  <c:v>28.755270673366063</c:v>
                </c:pt>
                <c:pt idx="249">
                  <c:v>28.415830418689797</c:v>
                </c:pt>
                <c:pt idx="250">
                  <c:v>28.075661132929213</c:v>
                </c:pt>
                <c:pt idx="251">
                  <c:v>27.734833329780887</c:v>
                </c:pt>
                <c:pt idx="252">
                  <c:v>27.393418201333674</c:v>
                </c:pt>
                <c:pt idx="253">
                  <c:v>27.051487536337167</c:v>
                </c:pt>
                <c:pt idx="254">
                  <c:v>26.70911364056348</c:v>
                </c:pt>
                <c:pt idx="255">
                  <c:v>26.366369259101067</c:v>
                </c:pt>
                <c:pt idx="256">
                  <c:v>26.023327500385275</c:v>
                </c:pt>
                <c:pt idx="257">
                  <c:v>25.680061761726598</c:v>
                </c:pt>
                <c:pt idx="258">
                  <c:v>25.336645656079742</c:v>
                </c:pt>
                <c:pt idx="259">
                  <c:v>24.993152939761679</c:v>
                </c:pt>
                <c:pt idx="260">
                  <c:v>24.649657440816686</c:v>
                </c:pt>
                <c:pt idx="261">
                  <c:v>24.306232987710818</c:v>
                </c:pt>
                <c:pt idx="262">
                  <c:v>23.962953338030978</c:v>
                </c:pt>
                <c:pt idx="263">
                  <c:v>23.619892106867152</c:v>
                </c:pt>
                <c:pt idx="264">
                  <c:v>23.277122694558727</c:v>
                </c:pt>
                <c:pt idx="265">
                  <c:v>22.934718213500002</c:v>
                </c:pt>
                <c:pt idx="266">
                  <c:v>22.592751413716023</c:v>
                </c:pt>
                <c:pt idx="267">
                  <c:v>22.251294606944839</c:v>
                </c:pt>
                <c:pt idx="268">
                  <c:v>21.910419588991111</c:v>
                </c:pt>
                <c:pt idx="269">
                  <c:v>21.57019756014882</c:v>
                </c:pt>
                <c:pt idx="270">
                  <c:v>21.230699043532578</c:v>
                </c:pt>
                <c:pt idx="271">
                  <c:v>20.891993801199348</c:v>
                </c:pt>
                <c:pt idx="272">
                  <c:v>20.554150747992132</c:v>
                </c:pt>
                <c:pt idx="273">
                  <c:v>20.217237863087526</c:v>
                </c:pt>
                <c:pt idx="274">
                  <c:v>19.881322099285434</c:v>
                </c:pt>
                <c:pt idx="275">
                  <c:v>19.546469290137544</c:v>
                </c:pt>
                <c:pt idx="276">
                  <c:v>19.21274405506842</c:v>
                </c:pt>
                <c:pt idx="277">
                  <c:v>18.880209702706825</c:v>
                </c:pt>
                <c:pt idx="278">
                  <c:v>18.548928132703022</c:v>
                </c:pt>
                <c:pt idx="279">
                  <c:v>18.218959736370127</c:v>
                </c:pt>
                <c:pt idx="280">
                  <c:v>17.890363296545392</c:v>
                </c:pt>
                <c:pt idx="281">
                  <c:v>17.563195887123658</c:v>
                </c:pt>
                <c:pt idx="282">
                  <c:v>17.237512772768081</c:v>
                </c:pt>
                <c:pt idx="283">
                  <c:v>16.913367309351774</c:v>
                </c:pt>
                <c:pt idx="284">
                  <c:v>16.590810845726832</c:v>
                </c:pt>
                <c:pt idx="285">
                  <c:v>16.269892627453618</c:v>
                </c:pt>
                <c:pt idx="286">
                  <c:v>15.950659703153207</c:v>
                </c:pt>
                <c:pt idx="287">
                  <c:v>15.633156834165952</c:v>
                </c:pt>
                <c:pt idx="288">
                  <c:v>15.317426408214454</c:v>
                </c:pt>
                <c:pt idx="289">
                  <c:v>15.003508357769888</c:v>
                </c:pt>
                <c:pt idx="290">
                  <c:v>14.6914400838172</c:v>
                </c:pt>
                <c:pt idx="291">
                  <c:v>14.381256385696695</c:v>
                </c:pt>
                <c:pt idx="292">
                  <c:v>14.072989397675276</c:v>
                </c:pt>
                <c:pt idx="293">
                  <c:v>13.76666853286487</c:v>
                </c:pt>
                <c:pt idx="294">
                  <c:v>13.462320435058784</c:v>
                </c:pt>
                <c:pt idx="295">
                  <c:v>13.159968939004344</c:v>
                </c:pt>
                <c:pt idx="296">
                  <c:v>12.859635039567245</c:v>
                </c:pt>
                <c:pt idx="297">
                  <c:v>12.56133687017201</c:v>
                </c:pt>
                <c:pt idx="298">
                  <c:v>12.2650896908267</c:v>
                </c:pt>
                <c:pt idx="299">
                  <c:v>11.970905885959557</c:v>
                </c:pt>
                <c:pt idx="300">
                  <c:v>11.678794972206321</c:v>
                </c:pt>
                <c:pt idx="301">
                  <c:v>11.388763616201498</c:v>
                </c:pt>
                <c:pt idx="302">
                  <c:v>11.100815662333513</c:v>
                </c:pt>
                <c:pt idx="303">
                  <c:v>10.814952170337371</c:v>
                </c:pt>
                <c:pt idx="304">
                  <c:v>10.531171462506222</c:v>
                </c:pt>
                <c:pt idx="305">
                  <c:v>10.249469180221569</c:v>
                </c:pt>
                <c:pt idx="306">
                  <c:v>9.9698383494177936</c:v>
                </c:pt>
                <c:pt idx="307">
                  <c:v>9.692269454523867</c:v>
                </c:pt>
                <c:pt idx="308">
                  <c:v>9.4167505203526183</c:v>
                </c:pt>
                <c:pt idx="309">
                  <c:v>9.1432672013508522</c:v>
                </c:pt>
                <c:pt idx="310">
                  <c:v>8.8718028775661821</c:v>
                </c:pt>
                <c:pt idx="311">
                  <c:v>8.6023387566454055</c:v>
                </c:pt>
                <c:pt idx="312">
                  <c:v>8.3348539811415208</c:v>
                </c:pt>
                <c:pt idx="313">
                  <c:v>8.069325740383249</c:v>
                </c:pt>
                <c:pt idx="314">
                  <c:v>7.8057293861427208</c:v>
                </c:pt>
                <c:pt idx="315">
                  <c:v>7.5440385513320161</c:v>
                </c:pt>
                <c:pt idx="316">
                  <c:v>7.2842252709590074</c:v>
                </c:pt>
                <c:pt idx="317">
                  <c:v>7.0262601045866537</c:v>
                </c:pt>
                <c:pt idx="318">
                  <c:v>6.7701122595556837</c:v>
                </c:pt>
                <c:pt idx="319">
                  <c:v>6.5157497142588952</c:v>
                </c:pt>
                <c:pt idx="320">
                  <c:v>6.2631393407849618</c:v>
                </c:pt>
                <c:pt idx="321">
                  <c:v>6.012247026290245</c:v>
                </c:pt>
                <c:pt idx="322">
                  <c:v>5.7630377924985581</c:v>
                </c:pt>
                <c:pt idx="323">
                  <c:v>5.5154759127742015</c:v>
                </c:pt>
                <c:pt idx="324">
                  <c:v>5.2695250262643416</c:v>
                </c:pt>
                <c:pt idx="325">
                  <c:v>5.0251482486592245</c:v>
                </c:pt>
                <c:pt idx="326">
                  <c:v>4.7823082791678937</c:v>
                </c:pt>
                <c:pt idx="327">
                  <c:v>4.5409675033632526</c:v>
                </c:pt>
                <c:pt idx="328">
                  <c:v>4.3010880916023773</c:v>
                </c:pt>
                <c:pt idx="329">
                  <c:v>4.062632092777684</c:v>
                </c:pt>
                <c:pt idx="330">
                  <c:v>3.8255615232085898</c:v>
                </c:pt>
                <c:pt idx="331">
                  <c:v>3.5898384505269485</c:v>
                </c:pt>
                <c:pt idx="332">
                  <c:v>3.35542507245925</c:v>
                </c:pt>
                <c:pt idx="333">
                  <c:v>3.1222837904486331</c:v>
                </c:pt>
                <c:pt idx="334">
                  <c:v>2.8903772781008548</c:v>
                </c:pt>
                <c:pt idx="335">
                  <c:v>2.6596685444755099</c:v>
                </c:pt>
                <c:pt idx="336">
                  <c:v>2.4301209922748401</c:v>
                </c:pt>
                <c:pt idx="337">
                  <c:v>2.2016984710148217</c:v>
                </c:pt>
                <c:pt idx="338">
                  <c:v>1.9743653252871094</c:v>
                </c:pt>
                <c:pt idx="339">
                  <c:v>1.7480864382462105</c:v>
                </c:pt>
                <c:pt idx="340">
                  <c:v>1.5228272704722621</c:v>
                </c:pt>
                <c:pt idx="341">
                  <c:v>1.2985538943803632</c:v>
                </c:pt>
                <c:pt idx="342">
                  <c:v>1.0752330243567378</c:v>
                </c:pt>
                <c:pt idx="343">
                  <c:v>0.85283204281698533</c:v>
                </c:pt>
                <c:pt idx="344">
                  <c:v>0.63131902238511017</c:v>
                </c:pt>
                <c:pt idx="345">
                  <c:v>0.41066274440201278</c:v>
                </c:pt>
                <c:pt idx="346">
                  <c:v>0.19083271397160287</c:v>
                </c:pt>
                <c:pt idx="347">
                  <c:v>-2.8200828241929096E-2</c:v>
                </c:pt>
                <c:pt idx="348">
                  <c:v>-0.24646689725842694</c:v>
                </c:pt>
                <c:pt idx="349">
                  <c:v>-0.46399375785422975</c:v>
                </c:pt>
                <c:pt idx="350">
                  <c:v>-0.6808089212618661</c:v>
                </c:pt>
                <c:pt idx="351">
                  <c:v>-0.89693914429268107</c:v>
                </c:pt>
                <c:pt idx="352">
                  <c:v>-1.1124104306898062</c:v>
                </c:pt>
                <c:pt idx="353">
                  <c:v>-1.3272480345207516</c:v>
                </c:pt>
                <c:pt idx="354">
                  <c:v>-1.5414764654300184</c:v>
                </c:pt>
                <c:pt idx="355">
                  <c:v>-1.7551194955755942</c:v>
                </c:pt>
                <c:pt idx="356">
                  <c:v>-1.9682001680857595</c:v>
                </c:pt>
                <c:pt idx="357">
                  <c:v>-2.1807408068772651</c:v>
                </c:pt>
                <c:pt idx="358">
                  <c:v>-2.3927630276856302</c:v>
                </c:pt>
                <c:pt idx="359">
                  <c:v>-2.6042877501693424</c:v>
                </c:pt>
                <c:pt idx="360">
                  <c:v>-2.815335210953763</c:v>
                </c:pt>
                <c:pt idx="361">
                  <c:v>-3.0259249774925117</c:v>
                </c:pt>
                <c:pt idx="362">
                  <c:v>-3.2360759626326918</c:v>
                </c:pt>
                <c:pt idx="363">
                  <c:v>-3.4458064397750925</c:v>
                </c:pt>
                <c:pt idx="364">
                  <c:v>-3.655134058533021</c:v>
                </c:pt>
                <c:pt idx="365">
                  <c:v>-3.8640758607971906</c:v>
                </c:pt>
                <c:pt idx="366">
                  <c:v>-4.0726482971251547</c:v>
                </c:pt>
                <c:pt idx="367">
                  <c:v>-4.2808672433765311</c:v>
                </c:pt>
                <c:pt idx="368">
                  <c:v>-4.4887480175275645</c:v>
                </c:pt>
                <c:pt idx="369">
                  <c:v>-4.6963053965992332</c:v>
                </c:pt>
                <c:pt idx="370">
                  <c:v>-4.9035536336439902</c:v>
                </c:pt>
                <c:pt idx="371">
                  <c:v>-5.1105064747395996</c:v>
                </c:pt>
                <c:pt idx="372">
                  <c:v>-5.3171771759443338</c:v>
                </c:pt>
                <c:pt idx="373">
                  <c:v>-5.5235785201726575</c:v>
                </c:pt>
                <c:pt idx="374">
                  <c:v>-5.7297228339571973</c:v>
                </c:pt>
                <c:pt idx="375">
                  <c:v>-5.935622004064073</c:v>
                </c:pt>
                <c:pt idx="376">
                  <c:v>-6.1412874939356819</c:v>
                </c:pt>
                <c:pt idx="377">
                  <c:v>-6.346730359937748</c:v>
                </c:pt>
                <c:pt idx="378">
                  <c:v>-6.5519612673903573</c:v>
                </c:pt>
                <c:pt idx="379">
                  <c:v>-6.7569905063678011</c:v>
                </c:pt>
                <c:pt idx="380">
                  <c:v>-6.9618280072527181</c:v>
                </c:pt>
                <c:pt idx="381">
                  <c:v>-7.1664833560354744</c:v>
                </c:pt>
                <c:pt idx="382">
                  <c:v>-7.3709658093499826</c:v>
                </c:pt>
                <c:pt idx="383">
                  <c:v>-7.5752843092411002</c:v>
                </c:pt>
                <c:pt idx="384">
                  <c:v>-7.7794474976598291</c:v>
                </c:pt>
                <c:pt idx="385">
                  <c:v>-7.9834637306854841</c:v>
                </c:pt>
                <c:pt idx="386">
                  <c:v>-8.1873410924746199</c:v>
                </c:pt>
                <c:pt idx="387">
                  <c:v>-8.3910874089394376</c:v>
                </c:pt>
                <c:pt idx="388">
                  <c:v>-8.5947102611591699</c:v>
                </c:pt>
                <c:pt idx="389">
                  <c:v>-8.7982169985284528</c:v>
                </c:pt>
                <c:pt idx="390">
                  <c:v>-9.0016147516496741</c:v>
                </c:pt>
                <c:pt idx="391">
                  <c:v>-9.2049104449764165</c:v>
                </c:pt>
                <c:pt idx="392">
                  <c:v>-9.4081108092152537</c:v>
                </c:pt>
                <c:pt idx="393">
                  <c:v>-9.611222393495682</c:v>
                </c:pt>
                <c:pt idx="394">
                  <c:v>-9.8142515773176715</c:v>
                </c:pt>
                <c:pt idx="395">
                  <c:v>-10.017204582287345</c:v>
                </c:pt>
                <c:pt idx="396">
                  <c:v>-10.220087483651339</c:v>
                </c:pt>
                <c:pt idx="397">
                  <c:v>-10.422906221642048</c:v>
                </c:pt>
                <c:pt idx="398">
                  <c:v>-10.625666612645833</c:v>
                </c:pt>
                <c:pt idx="399">
                  <c:v>-10.828374360205981</c:v>
                </c:pt>
                <c:pt idx="400">
                  <c:v>-11.031035065873915</c:v>
                </c:pt>
                <c:pt idx="401">
                  <c:v>-11.233654239921549</c:v>
                </c:pt>
                <c:pt idx="402">
                  <c:v>-11.436237311928622</c:v>
                </c:pt>
                <c:pt idx="403">
                  <c:v>-11.638789641257627</c:v>
                </c:pt>
                <c:pt idx="404">
                  <c:v>-11.84131652743222</c:v>
                </c:pt>
                <c:pt idx="405">
                  <c:v>-12.043823220430754</c:v>
                </c:pt>
                <c:pt idx="406">
                  <c:v>-12.246314930911566</c:v>
                </c:pt>
                <c:pt idx="407">
                  <c:v>-12.448796840382084</c:v>
                </c:pt>
                <c:pt idx="408">
                  <c:v>-12.651274111328256</c:v>
                </c:pt>
                <c:pt idx="409">
                  <c:v>-12.85375189731765</c:v>
                </c:pt>
                <c:pt idx="410">
                  <c:v>-13.056235353090727</c:v>
                </c:pt>
                <c:pt idx="411">
                  <c:v>-13.258729644655972</c:v>
                </c:pt>
                <c:pt idx="412">
                  <c:v>-13.461239959401954</c:v>
                </c:pt>
                <c:pt idx="413">
                  <c:v>-13.663771516242404</c:v>
                </c:pt>
                <c:pt idx="414">
                  <c:v>-13.866329575808123</c:v>
                </c:pt>
                <c:pt idx="415">
                  <c:v>-14.068919450699857</c:v>
                </c:pt>
                <c:pt idx="416">
                  <c:v>-14.271546515818299</c:v>
                </c:pt>
                <c:pt idx="417">
                  <c:v>-14.474216218783093</c:v>
                </c:pt>
                <c:pt idx="418">
                  <c:v>-14.676934090457266</c:v>
                </c:pt>
                <c:pt idx="419">
                  <c:v>-14.879705755589933</c:v>
                </c:pt>
                <c:pt idx="420">
                  <c:v>-15.082536943592018</c:v>
                </c:pt>
                <c:pt idx="421">
                  <c:v>-15.28543349945766</c:v>
                </c:pt>
                <c:pt idx="422">
                  <c:v>-15.488401394845647</c:v>
                </c:pt>
                <c:pt idx="423">
                  <c:v>-15.691446739333596</c:v>
                </c:pt>
                <c:pt idx="424">
                  <c:v>-15.894575791858101</c:v>
                </c:pt>
                <c:pt idx="425">
                  <c:v>-16.097794972352261</c:v>
                </c:pt>
                <c:pt idx="426">
                  <c:v>-16.301110873594158</c:v>
                </c:pt>
                <c:pt idx="427">
                  <c:v>-16.504530273276178</c:v>
                </c:pt>
                <c:pt idx="428">
                  <c:v>-16.708060146306707</c:v>
                </c:pt>
                <c:pt idx="429">
                  <c:v>-16.911707677355544</c:v>
                </c:pt>
                <c:pt idx="430">
                  <c:v>-17.115480273649666</c:v>
                </c:pt>
                <c:pt idx="431">
                  <c:v>-17.319385578031795</c:v>
                </c:pt>
                <c:pt idx="432">
                  <c:v>-17.523431482286224</c:v>
                </c:pt>
                <c:pt idx="433">
                  <c:v>-17.727626140740767</c:v>
                </c:pt>
                <c:pt idx="434">
                  <c:v>-17.931977984149562</c:v>
                </c:pt>
                <c:pt idx="435">
                  <c:v>-18.136495733860997</c:v>
                </c:pt>
                <c:pt idx="436">
                  <c:v>-18.341188416274335</c:v>
                </c:pt>
                <c:pt idx="437">
                  <c:v>-18.54606537758556</c:v>
                </c:pt>
                <c:pt idx="438">
                  <c:v>-18.751136298823099</c:v>
                </c:pt>
                <c:pt idx="439">
                  <c:v>-18.956411211169673</c:v>
                </c:pt>
                <c:pt idx="440">
                  <c:v>-19.161900511568128</c:v>
                </c:pt>
                <c:pt idx="441">
                  <c:v>-19.367614978602006</c:v>
                </c:pt>
                <c:pt idx="442">
                  <c:v>-19.573565788644519</c:v>
                </c:pt>
                <c:pt idx="443">
                  <c:v>-19.779764532261357</c:v>
                </c:pt>
                <c:pt idx="444">
                  <c:v>-19.986223230855519</c:v>
                </c:pt>
                <c:pt idx="445">
                  <c:v>-20.192954353532642</c:v>
                </c:pt>
                <c:pt idx="446">
                  <c:v>-20.399970834169157</c:v>
                </c:pt>
                <c:pt idx="447">
                  <c:v>-20.60728608865454</c:v>
                </c:pt>
                <c:pt idx="448">
                  <c:v>-20.814914032281514</c:v>
                </c:pt>
                <c:pt idx="449">
                  <c:v>-21.02286909724716</c:v>
                </c:pt>
                <c:pt idx="450">
                  <c:v>-21.231166250230164</c:v>
                </c:pt>
                <c:pt idx="451">
                  <c:v>-21.439821009997722</c:v>
                </c:pt>
                <c:pt idx="452">
                  <c:v>-21.648849464995436</c:v>
                </c:pt>
                <c:pt idx="453">
                  <c:v>-21.858268290865063</c:v>
                </c:pt>
                <c:pt idx="454">
                  <c:v>-22.068094767829439</c:v>
                </c:pt>
                <c:pt idx="455">
                  <c:v>-22.278346797879173</c:v>
                </c:pt>
                <c:pt idx="456">
                  <c:v>-22.489042921685026</c:v>
                </c:pt>
                <c:pt idx="457">
                  <c:v>-22.700202335159283</c:v>
                </c:pt>
                <c:pt idx="458">
                  <c:v>-22.911844905574586</c:v>
                </c:pt>
                <c:pt idx="459">
                  <c:v>-23.12399118714778</c:v>
                </c:pt>
                <c:pt idx="460">
                  <c:v>-23.336662435983897</c:v>
                </c:pt>
                <c:pt idx="461">
                  <c:v>-23.54988062426871</c:v>
                </c:pt>
                <c:pt idx="462">
                  <c:v>-23.76366845359248</c:v>
                </c:pt>
                <c:pt idx="463">
                  <c:v>-23.9780493672733</c:v>
                </c:pt>
                <c:pt idx="464">
                  <c:v>-24.193047561546539</c:v>
                </c:pt>
                <c:pt idx="465">
                  <c:v>-24.408687995473084</c:v>
                </c:pt>
                <c:pt idx="466">
                  <c:v>-24.62499639941441</c:v>
                </c:pt>
                <c:pt idx="467">
                  <c:v>-24.841999281910741</c:v>
                </c:pt>
                <c:pt idx="468">
                  <c:v>-25.059723934793855</c:v>
                </c:pt>
                <c:pt idx="469">
                  <c:v>-25.278198436355595</c:v>
                </c:pt>
                <c:pt idx="470">
                  <c:v>-25.497451652388531</c:v>
                </c:pt>
                <c:pt idx="471">
                  <c:v>-25.717513234905709</c:v>
                </c:pt>
                <c:pt idx="472">
                  <c:v>-25.938413618344324</c:v>
                </c:pt>
                <c:pt idx="473">
                  <c:v>-26.160184013049367</c:v>
                </c:pt>
                <c:pt idx="474">
                  <c:v>-26.382856395834047</c:v>
                </c:pt>
                <c:pt idx="475">
                  <c:v>-26.606463497407233</c:v>
                </c:pt>
                <c:pt idx="476">
                  <c:v>-26.83103878646136</c:v>
                </c:pt>
                <c:pt idx="477">
                  <c:v>-27.056616450212047</c:v>
                </c:pt>
                <c:pt idx="478">
                  <c:v>-27.28323137118608</c:v>
                </c:pt>
                <c:pt idx="479">
                  <c:v>-27.510919100058693</c:v>
                </c:pt>
                <c:pt idx="480">
                  <c:v>-27.73971582434767</c:v>
                </c:pt>
                <c:pt idx="481">
                  <c:v>-27.969658332784391</c:v>
                </c:pt>
                <c:pt idx="482">
                  <c:v>-28.200783975192259</c:v>
                </c:pt>
                <c:pt idx="483">
                  <c:v>-28.433130617720987</c:v>
                </c:pt>
                <c:pt idx="484">
                  <c:v>-28.666736593303082</c:v>
                </c:pt>
                <c:pt idx="485">
                  <c:v>-28.901640647221434</c:v>
                </c:pt>
                <c:pt idx="486">
                  <c:v>-29.137881877703173</c:v>
                </c:pt>
                <c:pt idx="487">
                  <c:v>-29.375499671483819</c:v>
                </c:pt>
                <c:pt idx="488">
                  <c:v>-29.614533634317056</c:v>
                </c:pt>
                <c:pt idx="489">
                  <c:v>-29.855023516444291</c:v>
                </c:pt>
                <c:pt idx="490">
                  <c:v>-30.097009133073627</c:v>
                </c:pt>
                <c:pt idx="491">
                  <c:v>-30.34053027996411</c:v>
                </c:pt>
                <c:pt idx="492">
                  <c:v>-30.585626644252542</c:v>
                </c:pt>
                <c:pt idx="493">
                  <c:v>-30.832337710710064</c:v>
                </c:pt>
                <c:pt idx="494">
                  <c:v>-31.080702663666038</c:v>
                </c:pt>
                <c:pt idx="495">
                  <c:v>-31.330760284884786</c:v>
                </c:pt>
                <c:pt idx="496">
                  <c:v>-31.58254884773827</c:v>
                </c:pt>
                <c:pt idx="497">
                  <c:v>-31.836106008065073</c:v>
                </c:pt>
                <c:pt idx="498">
                  <c:v>-32.091468692164142</c:v>
                </c:pt>
                <c:pt idx="499">
                  <c:v>-32.348672982418037</c:v>
                </c:pt>
                <c:pt idx="500">
                  <c:v>-32.60775400109496</c:v>
                </c:pt>
                <c:pt idx="501">
                  <c:v>-32.868745792921473</c:v>
                </c:pt>
                <c:pt idx="502">
                  <c:v>-33.131681207064275</c:v>
                </c:pt>
                <c:pt idx="503">
                  <c:v>-33.396591779194566</c:v>
                </c:pt>
                <c:pt idx="504">
                  <c:v>-33.663507614345946</c:v>
                </c:pt>
                <c:pt idx="505">
                  <c:v>-33.932457271298901</c:v>
                </c:pt>
                <c:pt idx="506">
                  <c:v>-34.203467649248346</c:v>
                </c:pt>
                <c:pt idx="507">
                  <c:v>-34.476563877518906</c:v>
                </c:pt>
                <c:pt idx="508">
                  <c:v>-34.751769209100097</c:v>
                </c:pt>
                <c:pt idx="509">
                  <c:v>-35.02910491876267</c:v>
                </c:pt>
                <c:pt idx="510">
                  <c:v>-35.308590206507013</c:v>
                </c:pt>
                <c:pt idx="511">
                  <c:v>-35.590242107065528</c:v>
                </c:pt>
                <c:pt idx="512">
                  <c:v>-35.874075406151434</c:v>
                </c:pt>
                <c:pt idx="513">
                  <c:v>-36.160102564096441</c:v>
                </c:pt>
                <c:pt idx="514">
                  <c:v>-36.448333647474101</c:v>
                </c:pt>
                <c:pt idx="515">
                  <c:v>-36.738776269237036</c:v>
                </c:pt>
                <c:pt idx="516">
                  <c:v>-37.031435537834007</c:v>
                </c:pt>
                <c:pt idx="517">
                  <c:v>-37.326314015690443</c:v>
                </c:pt>
                <c:pt idx="518">
                  <c:v>-37.62341168735896</c:v>
                </c:pt>
                <c:pt idx="519">
                  <c:v>-37.922725937556308</c:v>
                </c:pt>
                <c:pt idx="520">
                  <c:v>-38.224251539215246</c:v>
                </c:pt>
                <c:pt idx="521">
                  <c:v>-38.527980651586105</c:v>
                </c:pt>
                <c:pt idx="522">
                  <c:v>-38.833902828330707</c:v>
                </c:pt>
                <c:pt idx="523">
                  <c:v>-39.142005035459299</c:v>
                </c:pt>
                <c:pt idx="524">
                  <c:v>-39.452271678872023</c:v>
                </c:pt>
                <c:pt idx="525">
                  <c:v>-39.764684641176927</c:v>
                </c:pt>
                <c:pt idx="526">
                  <c:v>-40.079223327380305</c:v>
                </c:pt>
                <c:pt idx="527">
                  <c:v>-40.39586471896547</c:v>
                </c:pt>
                <c:pt idx="528">
                  <c:v>-40.714583435809061</c:v>
                </c:pt>
                <c:pt idx="529">
                  <c:v>-41.035351805326187</c:v>
                </c:pt>
                <c:pt idx="530">
                  <c:v>-41.358139938178091</c:v>
                </c:pt>
                <c:pt idx="531">
                  <c:v>-41.682915809841191</c:v>
                </c:pt>
                <c:pt idx="532">
                  <c:v>-42.009645347296065</c:v>
                </c:pt>
                <c:pt idx="533">
                  <c:v>-42.338292520078227</c:v>
                </c:pt>
                <c:pt idx="534">
                  <c:v>-42.668819434913772</c:v>
                </c:pt>
                <c:pt idx="535">
                  <c:v>-43.001186433161536</c:v>
                </c:pt>
                <c:pt idx="536">
                  <c:v>-43.335352190288042</c:v>
                </c:pt>
                <c:pt idx="537">
                  <c:v>-43.671273816615688</c:v>
                </c:pt>
                <c:pt idx="538">
                  <c:v>-44.008906958604143</c:v>
                </c:pt>
                <c:pt idx="539">
                  <c:v>-44.348205899956113</c:v>
                </c:pt>
                <c:pt idx="540">
                  <c:v>-44.689123661872642</c:v>
                </c:pt>
                <c:pt idx="541">
                  <c:v>-45.031612101824464</c:v>
                </c:pt>
              </c:numCache>
            </c:numRef>
          </c:yVal>
          <c:smooth val="1"/>
          <c:extLst>
            <c:ext xmlns:c16="http://schemas.microsoft.com/office/drawing/2014/chart" uri="{C3380CC4-5D6E-409C-BE32-E72D297353CC}">
              <c16:uniqueId val="{00000000-1B3F-4802-9751-4D21F96C72BF}"/>
            </c:ext>
          </c:extLst>
        </c:ser>
        <c:dLbls>
          <c:showLegendKey val="0"/>
          <c:showVal val="0"/>
          <c:showCatName val="0"/>
          <c:showSerName val="0"/>
          <c:showPercent val="0"/>
          <c:showBubbleSize val="0"/>
        </c:dLbls>
        <c:axId val="385819776"/>
        <c:axId val="385821696"/>
      </c:scatterChart>
      <c:scatterChart>
        <c:scatterStyle val="smoothMarker"/>
        <c:varyColors val="0"/>
        <c:ser>
          <c:idx val="1"/>
          <c:order val="1"/>
          <c:tx>
            <c:v>Phase (deg)</c:v>
          </c:tx>
          <c:marker>
            <c:symbol val="none"/>
          </c:marker>
          <c:xVal>
            <c:numRef>
              <c:f>CCM_Loop_Modeling_non_isolated!$O$19:$O$560</c:f>
              <c:numCache>
                <c:formatCode>0.00</c:formatCode>
                <c:ptCount val="542"/>
                <c:pt idx="0">
                  <c:v>10.232929922807543</c:v>
                </c:pt>
                <c:pt idx="1">
                  <c:v>10.471285480509</c:v>
                </c:pt>
                <c:pt idx="2">
                  <c:v>10.715193052376069</c:v>
                </c:pt>
                <c:pt idx="3">
                  <c:v>10.964781961431854</c:v>
                </c:pt>
                <c:pt idx="4">
                  <c:v>11.220184543019636</c:v>
                </c:pt>
                <c:pt idx="5">
                  <c:v>11.481536214968834</c:v>
                </c:pt>
                <c:pt idx="6">
                  <c:v>11.748975549395301</c:v>
                </c:pt>
                <c:pt idx="7">
                  <c:v>12.022644346174133</c:v>
                </c:pt>
                <c:pt idx="8">
                  <c:v>12.302687708123818</c:v>
                </c:pt>
                <c:pt idx="9">
                  <c:v>12.58925411794168</c:v>
                </c:pt>
                <c:pt idx="10">
                  <c:v>12.882495516931346</c:v>
                </c:pt>
                <c:pt idx="11">
                  <c:v>13.182567385564075</c:v>
                </c:pt>
                <c:pt idx="12">
                  <c:v>13.489628825916535</c:v>
                </c:pt>
                <c:pt idx="13">
                  <c:v>13.803842646028857</c:v>
                </c:pt>
                <c:pt idx="14">
                  <c:v>14.125375446227544</c:v>
                </c:pt>
                <c:pt idx="15">
                  <c:v>14.454397707459275</c:v>
                </c:pt>
                <c:pt idx="16">
                  <c:v>14.791083881682074</c:v>
                </c:pt>
                <c:pt idx="17">
                  <c:v>15.135612484362087</c:v>
                </c:pt>
                <c:pt idx="18">
                  <c:v>15.488166189124817</c:v>
                </c:pt>
                <c:pt idx="19">
                  <c:v>15.848931924611136</c:v>
                </c:pt>
                <c:pt idx="20">
                  <c:v>16.218100973589298</c:v>
                </c:pt>
                <c:pt idx="21">
                  <c:v>16.595869074375614</c:v>
                </c:pt>
                <c:pt idx="22">
                  <c:v>16.982436524617448</c:v>
                </c:pt>
                <c:pt idx="23">
                  <c:v>17.378008287493756</c:v>
                </c:pt>
                <c:pt idx="24">
                  <c:v>17.782794100389236</c:v>
                </c:pt>
                <c:pt idx="25">
                  <c:v>18.197008586099841</c:v>
                </c:pt>
                <c:pt idx="26">
                  <c:v>18.62087136662868</c:v>
                </c:pt>
                <c:pt idx="27">
                  <c:v>19.054607179632477</c:v>
                </c:pt>
                <c:pt idx="28">
                  <c:v>19.498445997580465</c:v>
                </c:pt>
                <c:pt idx="29">
                  <c:v>19.952623149688804</c:v>
                </c:pt>
                <c:pt idx="30">
                  <c:v>20.4173794466953</c:v>
                </c:pt>
                <c:pt idx="31">
                  <c:v>20.8929613085404</c:v>
                </c:pt>
                <c:pt idx="32">
                  <c:v>21.379620895022335</c:v>
                </c:pt>
                <c:pt idx="33">
                  <c:v>21.877616239495538</c:v>
                </c:pt>
                <c:pt idx="34">
                  <c:v>22.387211385683404</c:v>
                </c:pt>
                <c:pt idx="35">
                  <c:v>22.908676527677727</c:v>
                </c:pt>
                <c:pt idx="36">
                  <c:v>23.442288153199236</c:v>
                </c:pt>
                <c:pt idx="37">
                  <c:v>23.988329190194907</c:v>
                </c:pt>
                <c:pt idx="38">
                  <c:v>24.547089156850316</c:v>
                </c:pt>
                <c:pt idx="39">
                  <c:v>25.118864315095799</c:v>
                </c:pt>
                <c:pt idx="40">
                  <c:v>25.703957827688647</c:v>
                </c:pt>
                <c:pt idx="41">
                  <c:v>26.302679918953825</c:v>
                </c:pt>
                <c:pt idx="42">
                  <c:v>26.915348039269158</c:v>
                </c:pt>
                <c:pt idx="43">
                  <c:v>27.542287033381665</c:v>
                </c:pt>
                <c:pt idx="44">
                  <c:v>28.183829312644548</c:v>
                </c:pt>
                <c:pt idx="45">
                  <c:v>28.840315031266066</c:v>
                </c:pt>
                <c:pt idx="46">
                  <c:v>29.512092266663863</c:v>
                </c:pt>
                <c:pt idx="47">
                  <c:v>30.199517204020164</c:v>
                </c:pt>
                <c:pt idx="48">
                  <c:v>30.902954325135919</c:v>
                </c:pt>
                <c:pt idx="49">
                  <c:v>31.622776601683803</c:v>
                </c:pt>
                <c:pt idx="50">
                  <c:v>32.359365692962832</c:v>
                </c:pt>
                <c:pt idx="51">
                  <c:v>33.113112148259127</c:v>
                </c:pt>
                <c:pt idx="52">
                  <c:v>33.884415613920268</c:v>
                </c:pt>
                <c:pt idx="53">
                  <c:v>34.67368504525318</c:v>
                </c:pt>
                <c:pt idx="54">
                  <c:v>35.481338923357555</c:v>
                </c:pt>
                <c:pt idx="55">
                  <c:v>36.307805477010156</c:v>
                </c:pt>
                <c:pt idx="56">
                  <c:v>37.15352290971726</c:v>
                </c:pt>
                <c:pt idx="57">
                  <c:v>38.018939632056139</c:v>
                </c:pt>
                <c:pt idx="58">
                  <c:v>38.904514499428053</c:v>
                </c:pt>
                <c:pt idx="59">
                  <c:v>39.810717055349755</c:v>
                </c:pt>
                <c:pt idx="60">
                  <c:v>40.738027780411279</c:v>
                </c:pt>
                <c:pt idx="61">
                  <c:v>41.686938347033561</c:v>
                </c:pt>
                <c:pt idx="62">
                  <c:v>42.657951880159267</c:v>
                </c:pt>
                <c:pt idx="63">
                  <c:v>43.651583224016633</c:v>
                </c:pt>
                <c:pt idx="64">
                  <c:v>44.668359215096324</c:v>
                </c:pt>
                <c:pt idx="65">
                  <c:v>45.70881896148753</c:v>
                </c:pt>
                <c:pt idx="66">
                  <c:v>46.773514128719818</c:v>
                </c:pt>
                <c:pt idx="67">
                  <c:v>47.863009232263877</c:v>
                </c:pt>
                <c:pt idx="68">
                  <c:v>48.977881936844632</c:v>
                </c:pt>
                <c:pt idx="69">
                  <c:v>50.118723362727238</c:v>
                </c:pt>
                <c:pt idx="70">
                  <c:v>51.28613839913649</c:v>
                </c:pt>
                <c:pt idx="71">
                  <c:v>52.480746024977286</c:v>
                </c:pt>
                <c:pt idx="72">
                  <c:v>53.703179637025293</c:v>
                </c:pt>
                <c:pt idx="73">
                  <c:v>54.95408738576247</c:v>
                </c:pt>
                <c:pt idx="74">
                  <c:v>56.234132519034915</c:v>
                </c:pt>
                <c:pt idx="75">
                  <c:v>57.543993733715695</c:v>
                </c:pt>
                <c:pt idx="76">
                  <c:v>58.884365535558949</c:v>
                </c:pt>
                <c:pt idx="77">
                  <c:v>60.255958607435822</c:v>
                </c:pt>
                <c:pt idx="78">
                  <c:v>61.659500186148257</c:v>
                </c:pt>
                <c:pt idx="79">
                  <c:v>63.095734448019364</c:v>
                </c:pt>
                <c:pt idx="80">
                  <c:v>64.565422903465588</c:v>
                </c:pt>
                <c:pt idx="81">
                  <c:v>66.069344800759623</c:v>
                </c:pt>
                <c:pt idx="82">
                  <c:v>67.60829753919819</c:v>
                </c:pt>
                <c:pt idx="83">
                  <c:v>69.183097091893657</c:v>
                </c:pt>
                <c:pt idx="84">
                  <c:v>70.794578438413865</c:v>
                </c:pt>
                <c:pt idx="85">
                  <c:v>72.443596007499011</c:v>
                </c:pt>
                <c:pt idx="86">
                  <c:v>74.131024130091816</c:v>
                </c:pt>
                <c:pt idx="87">
                  <c:v>75.857757502918361</c:v>
                </c:pt>
                <c:pt idx="88">
                  <c:v>77.624711662869217</c:v>
                </c:pt>
                <c:pt idx="89">
                  <c:v>79.432823472428197</c:v>
                </c:pt>
                <c:pt idx="90">
                  <c:v>81.283051616409963</c:v>
                </c:pt>
                <c:pt idx="91">
                  <c:v>83.176377110267126</c:v>
                </c:pt>
                <c:pt idx="92">
                  <c:v>85.113803820237734</c:v>
                </c:pt>
                <c:pt idx="93">
                  <c:v>87.096358995608071</c:v>
                </c:pt>
                <c:pt idx="94">
                  <c:v>89.125093813374562</c:v>
                </c:pt>
                <c:pt idx="95">
                  <c:v>91.201083935590972</c:v>
                </c:pt>
                <c:pt idx="96">
                  <c:v>93.325430079699174</c:v>
                </c:pt>
                <c:pt idx="97">
                  <c:v>95.499258602143655</c:v>
                </c:pt>
                <c:pt idx="98">
                  <c:v>97.723722095581124</c:v>
                </c:pt>
                <c:pt idx="99">
                  <c:v>100</c:v>
                </c:pt>
                <c:pt idx="100">
                  <c:v>102.32929922807544</c:v>
                </c:pt>
                <c:pt idx="101">
                  <c:v>104.71285480508998</c:v>
                </c:pt>
                <c:pt idx="102">
                  <c:v>107.15193052376065</c:v>
                </c:pt>
                <c:pt idx="103">
                  <c:v>109.64781961431861</c:v>
                </c:pt>
                <c:pt idx="104">
                  <c:v>112.20184543019634</c:v>
                </c:pt>
                <c:pt idx="105">
                  <c:v>114.81536214968835</c:v>
                </c:pt>
                <c:pt idx="106">
                  <c:v>117.48975549395293</c:v>
                </c:pt>
                <c:pt idx="107">
                  <c:v>120.22644346174135</c:v>
                </c:pt>
                <c:pt idx="108">
                  <c:v>123.02687708123821</c:v>
                </c:pt>
                <c:pt idx="109">
                  <c:v>125.89254117941677</c:v>
                </c:pt>
                <c:pt idx="110">
                  <c:v>128.82495516931343</c:v>
                </c:pt>
                <c:pt idx="111">
                  <c:v>131.82567385564084</c:v>
                </c:pt>
                <c:pt idx="112">
                  <c:v>134.89628825916537</c:v>
                </c:pt>
                <c:pt idx="113">
                  <c:v>138.0384264602886</c:v>
                </c:pt>
                <c:pt idx="114">
                  <c:v>141.25375446227542</c:v>
                </c:pt>
                <c:pt idx="115">
                  <c:v>144.54397707459285</c:v>
                </c:pt>
                <c:pt idx="116">
                  <c:v>147.91083881682084</c:v>
                </c:pt>
                <c:pt idx="117">
                  <c:v>151.3561248436209</c:v>
                </c:pt>
                <c:pt idx="118">
                  <c:v>154.8816618912482</c:v>
                </c:pt>
                <c:pt idx="119">
                  <c:v>158.48931924611153</c:v>
                </c:pt>
                <c:pt idx="120">
                  <c:v>162.18100973589304</c:v>
                </c:pt>
                <c:pt idx="121">
                  <c:v>165.95869074375622</c:v>
                </c:pt>
                <c:pt idx="122">
                  <c:v>169.82436524617444</c:v>
                </c:pt>
                <c:pt idx="123">
                  <c:v>173.78008287493768</c:v>
                </c:pt>
                <c:pt idx="124">
                  <c:v>177.82794100389242</c:v>
                </c:pt>
                <c:pt idx="125">
                  <c:v>181.9700858609983</c:v>
                </c:pt>
                <c:pt idx="126">
                  <c:v>186.20871366628685</c:v>
                </c:pt>
                <c:pt idx="127">
                  <c:v>190.54607179632498</c:v>
                </c:pt>
                <c:pt idx="128">
                  <c:v>194.98445997580458</c:v>
                </c:pt>
                <c:pt idx="129">
                  <c:v>199.52623149688802</c:v>
                </c:pt>
                <c:pt idx="130">
                  <c:v>204.17379446695315</c:v>
                </c:pt>
                <c:pt idx="131">
                  <c:v>208.92961308540396</c:v>
                </c:pt>
                <c:pt idx="132">
                  <c:v>213.79620895022339</c:v>
                </c:pt>
                <c:pt idx="133">
                  <c:v>218.77616239495524</c:v>
                </c:pt>
                <c:pt idx="134">
                  <c:v>223.87211385683412</c:v>
                </c:pt>
                <c:pt idx="135">
                  <c:v>229.08676527677744</c:v>
                </c:pt>
                <c:pt idx="136">
                  <c:v>234.42288153199232</c:v>
                </c:pt>
                <c:pt idx="137">
                  <c:v>239.88329190194912</c:v>
                </c:pt>
                <c:pt idx="138">
                  <c:v>245.4708915685033</c:v>
                </c:pt>
                <c:pt idx="139">
                  <c:v>251.18864315095806</c:v>
                </c:pt>
                <c:pt idx="140">
                  <c:v>257.03957827688663</c:v>
                </c:pt>
                <c:pt idx="141">
                  <c:v>263.02679918953817</c:v>
                </c:pt>
                <c:pt idx="142">
                  <c:v>269.15348039269179</c:v>
                </c:pt>
                <c:pt idx="143">
                  <c:v>275.42287033381683</c:v>
                </c:pt>
                <c:pt idx="144">
                  <c:v>281.83829312644554</c:v>
                </c:pt>
                <c:pt idx="145">
                  <c:v>288.40315031266073</c:v>
                </c:pt>
                <c:pt idx="146">
                  <c:v>295.12092266663871</c:v>
                </c:pt>
                <c:pt idx="147">
                  <c:v>301.99517204020168</c:v>
                </c:pt>
                <c:pt idx="148">
                  <c:v>309.02954325135937</c:v>
                </c:pt>
                <c:pt idx="149">
                  <c:v>316.22776601683825</c:v>
                </c:pt>
                <c:pt idx="150">
                  <c:v>323.59365692962825</c:v>
                </c:pt>
                <c:pt idx="151">
                  <c:v>331.13112148259137</c:v>
                </c:pt>
                <c:pt idx="152">
                  <c:v>338.84415613920277</c:v>
                </c:pt>
                <c:pt idx="153">
                  <c:v>346.73685045253183</c:v>
                </c:pt>
                <c:pt idx="154">
                  <c:v>354.81338923357566</c:v>
                </c:pt>
                <c:pt idx="155">
                  <c:v>363.07805477010152</c:v>
                </c:pt>
                <c:pt idx="156">
                  <c:v>371.53522909717265</c:v>
                </c:pt>
                <c:pt idx="157">
                  <c:v>380.18939632056163</c:v>
                </c:pt>
                <c:pt idx="158">
                  <c:v>389.04514499428063</c:v>
                </c:pt>
                <c:pt idx="159">
                  <c:v>398.10717055349761</c:v>
                </c:pt>
                <c:pt idx="160">
                  <c:v>407.38027780411272</c:v>
                </c:pt>
                <c:pt idx="161">
                  <c:v>416.86938347033572</c:v>
                </c:pt>
                <c:pt idx="162">
                  <c:v>426.57951880159294</c:v>
                </c:pt>
                <c:pt idx="163">
                  <c:v>436.51583224016622</c:v>
                </c:pt>
                <c:pt idx="164">
                  <c:v>446.68359215096331</c:v>
                </c:pt>
                <c:pt idx="165">
                  <c:v>457.0881896148756</c:v>
                </c:pt>
                <c:pt idx="166">
                  <c:v>467.7351412871983</c:v>
                </c:pt>
                <c:pt idx="167">
                  <c:v>478.63009232263886</c:v>
                </c:pt>
                <c:pt idx="168">
                  <c:v>489.77881936844625</c:v>
                </c:pt>
                <c:pt idx="169">
                  <c:v>501.18723362727269</c:v>
                </c:pt>
                <c:pt idx="170">
                  <c:v>512.86138399136519</c:v>
                </c:pt>
                <c:pt idx="171">
                  <c:v>524.80746024977248</c:v>
                </c:pt>
                <c:pt idx="172">
                  <c:v>537.03179637025301</c:v>
                </c:pt>
                <c:pt idx="173">
                  <c:v>549.54087385762534</c:v>
                </c:pt>
                <c:pt idx="174">
                  <c:v>562.34132519034927</c:v>
                </c:pt>
                <c:pt idx="175">
                  <c:v>575.43993733715706</c:v>
                </c:pt>
                <c:pt idx="176">
                  <c:v>588.84365535558959</c:v>
                </c:pt>
                <c:pt idx="177">
                  <c:v>602.55958607435832</c:v>
                </c:pt>
                <c:pt idx="178">
                  <c:v>616.59500186148273</c:v>
                </c:pt>
                <c:pt idx="179">
                  <c:v>630.95734448019323</c:v>
                </c:pt>
                <c:pt idx="180">
                  <c:v>645.65422903465594</c:v>
                </c:pt>
                <c:pt idx="181">
                  <c:v>660.69344800759643</c:v>
                </c:pt>
                <c:pt idx="182">
                  <c:v>676.08297539198213</c:v>
                </c:pt>
                <c:pt idx="183">
                  <c:v>691.83097091893671</c:v>
                </c:pt>
                <c:pt idx="184">
                  <c:v>707.94578438413873</c:v>
                </c:pt>
                <c:pt idx="185">
                  <c:v>724.43596007499025</c:v>
                </c:pt>
                <c:pt idx="186">
                  <c:v>741.31024130091828</c:v>
                </c:pt>
                <c:pt idx="187">
                  <c:v>758.57757502918378</c:v>
                </c:pt>
                <c:pt idx="188">
                  <c:v>776.24711662869231</c:v>
                </c:pt>
                <c:pt idx="189">
                  <c:v>794.32823472428208</c:v>
                </c:pt>
                <c:pt idx="190">
                  <c:v>812.83051616409978</c:v>
                </c:pt>
                <c:pt idx="191">
                  <c:v>831.7637711026714</c:v>
                </c:pt>
                <c:pt idx="192">
                  <c:v>851.13803820237763</c:v>
                </c:pt>
                <c:pt idx="193">
                  <c:v>870.96358995608091</c:v>
                </c:pt>
                <c:pt idx="194">
                  <c:v>891.25093813374656</c:v>
                </c:pt>
                <c:pt idx="195">
                  <c:v>912.01083935590987</c:v>
                </c:pt>
                <c:pt idx="196">
                  <c:v>933.25430079699106</c:v>
                </c:pt>
                <c:pt idx="197">
                  <c:v>954.99258602143675</c:v>
                </c:pt>
                <c:pt idx="198">
                  <c:v>977.23722095581138</c:v>
                </c:pt>
                <c:pt idx="199">
                  <c:v>1000</c:v>
                </c:pt>
                <c:pt idx="200">
                  <c:v>1023.2929922807547</c:v>
                </c:pt>
                <c:pt idx="201">
                  <c:v>1047.1285480509</c:v>
                </c:pt>
                <c:pt idx="202">
                  <c:v>1071.5193052376069</c:v>
                </c:pt>
                <c:pt idx="203">
                  <c:v>1096.4781961431863</c:v>
                </c:pt>
                <c:pt idx="204">
                  <c:v>1122.0184543019636</c:v>
                </c:pt>
                <c:pt idx="205">
                  <c:v>1148.1536214968839</c:v>
                </c:pt>
                <c:pt idx="206">
                  <c:v>1174.8975549395295</c:v>
                </c:pt>
                <c:pt idx="207">
                  <c:v>1202.2644346174138</c:v>
                </c:pt>
                <c:pt idx="208">
                  <c:v>1230.2687708123824</c:v>
                </c:pt>
                <c:pt idx="209">
                  <c:v>1258.925411794168</c:v>
                </c:pt>
                <c:pt idx="210">
                  <c:v>1288.2495516931347</c:v>
                </c:pt>
                <c:pt idx="211">
                  <c:v>1318.2567385564089</c:v>
                </c:pt>
                <c:pt idx="212">
                  <c:v>1348.9628825916541</c:v>
                </c:pt>
                <c:pt idx="213">
                  <c:v>1380.3842646028863</c:v>
                </c:pt>
                <c:pt idx="214">
                  <c:v>1412.5375446227545</c:v>
                </c:pt>
                <c:pt idx="215">
                  <c:v>1445.4397707459289</c:v>
                </c:pt>
                <c:pt idx="216">
                  <c:v>1479.1083881682086</c:v>
                </c:pt>
                <c:pt idx="217">
                  <c:v>1513.5612484362093</c:v>
                </c:pt>
                <c:pt idx="218">
                  <c:v>1548.8166189124822</c:v>
                </c:pt>
                <c:pt idx="219">
                  <c:v>1584.8931924611156</c:v>
                </c:pt>
                <c:pt idx="220">
                  <c:v>1621.8100973589308</c:v>
                </c:pt>
                <c:pt idx="221">
                  <c:v>1659.5869074375626</c:v>
                </c:pt>
                <c:pt idx="222">
                  <c:v>1698.2436524617447</c:v>
                </c:pt>
                <c:pt idx="223">
                  <c:v>1737.8008287493772</c:v>
                </c:pt>
                <c:pt idx="224">
                  <c:v>1778.2794100389244</c:v>
                </c:pt>
                <c:pt idx="225">
                  <c:v>1819.7008586099832</c:v>
                </c:pt>
                <c:pt idx="226">
                  <c:v>1862.0871366628687</c:v>
                </c:pt>
                <c:pt idx="227">
                  <c:v>1905.4607179632501</c:v>
                </c:pt>
                <c:pt idx="228">
                  <c:v>1949.8445997580463</c:v>
                </c:pt>
                <c:pt idx="229">
                  <c:v>1995.2623149688804</c:v>
                </c:pt>
                <c:pt idx="230">
                  <c:v>2041.7379446695318</c:v>
                </c:pt>
                <c:pt idx="231">
                  <c:v>2089.2961308540398</c:v>
                </c:pt>
                <c:pt idx="232">
                  <c:v>2137.9620895022344</c:v>
                </c:pt>
                <c:pt idx="233">
                  <c:v>2187.7616239495528</c:v>
                </c:pt>
                <c:pt idx="234">
                  <c:v>2238.7211385683418</c:v>
                </c:pt>
                <c:pt idx="235">
                  <c:v>2290.8676527677749</c:v>
                </c:pt>
                <c:pt idx="236">
                  <c:v>2344.2288153199238</c:v>
                </c:pt>
                <c:pt idx="237">
                  <c:v>2398.8329190194918</c:v>
                </c:pt>
                <c:pt idx="238">
                  <c:v>2454.7089156850338</c:v>
                </c:pt>
                <c:pt idx="239">
                  <c:v>2511.8864315095811</c:v>
                </c:pt>
                <c:pt idx="240">
                  <c:v>2570.3957827688669</c:v>
                </c:pt>
                <c:pt idx="241">
                  <c:v>2630.2679918953822</c:v>
                </c:pt>
                <c:pt idx="242">
                  <c:v>2691.5348039269184</c:v>
                </c:pt>
                <c:pt idx="243">
                  <c:v>2754.228703338169</c:v>
                </c:pt>
                <c:pt idx="244">
                  <c:v>2818.3829312644561</c:v>
                </c:pt>
                <c:pt idx="245">
                  <c:v>2884.0315031266077</c:v>
                </c:pt>
                <c:pt idx="246">
                  <c:v>2951.2092266663876</c:v>
                </c:pt>
                <c:pt idx="247">
                  <c:v>3019.9517204020176</c:v>
                </c:pt>
                <c:pt idx="248">
                  <c:v>3090.295432513592</c:v>
                </c:pt>
                <c:pt idx="249">
                  <c:v>3162.2776601683804</c:v>
                </c:pt>
                <c:pt idx="250">
                  <c:v>3235.9365692962833</c:v>
                </c:pt>
                <c:pt idx="251">
                  <c:v>3311.3112148259115</c:v>
                </c:pt>
                <c:pt idx="252">
                  <c:v>3388.4415613920314</c:v>
                </c:pt>
                <c:pt idx="253">
                  <c:v>3467.3685045253224</c:v>
                </c:pt>
                <c:pt idx="254">
                  <c:v>3548.1338923357539</c:v>
                </c:pt>
                <c:pt idx="255">
                  <c:v>3630.7805477010188</c:v>
                </c:pt>
                <c:pt idx="256">
                  <c:v>3715.352290971724</c:v>
                </c:pt>
                <c:pt idx="257">
                  <c:v>3801.8939632056172</c:v>
                </c:pt>
                <c:pt idx="258">
                  <c:v>3890.451449942811</c:v>
                </c:pt>
                <c:pt idx="259">
                  <c:v>3981.0717055349769</c:v>
                </c:pt>
                <c:pt idx="260">
                  <c:v>4073.8027780411317</c:v>
                </c:pt>
                <c:pt idx="261">
                  <c:v>4168.6938347033583</c:v>
                </c:pt>
                <c:pt idx="262">
                  <c:v>4265.7951880159299</c:v>
                </c:pt>
                <c:pt idx="263">
                  <c:v>4365.1583224016631</c:v>
                </c:pt>
                <c:pt idx="264">
                  <c:v>4466.8359215096343</c:v>
                </c:pt>
                <c:pt idx="265">
                  <c:v>4570.8818961487532</c:v>
                </c:pt>
                <c:pt idx="266">
                  <c:v>4677.3514128719844</c:v>
                </c:pt>
                <c:pt idx="267">
                  <c:v>4786.3009232263848</c:v>
                </c:pt>
                <c:pt idx="268">
                  <c:v>4897.7881936844633</c:v>
                </c:pt>
                <c:pt idx="269">
                  <c:v>5011.8723362727324</c:v>
                </c:pt>
                <c:pt idx="270">
                  <c:v>5128.6138399136489</c:v>
                </c:pt>
                <c:pt idx="271">
                  <c:v>5248.0746024977261</c:v>
                </c:pt>
                <c:pt idx="272">
                  <c:v>5370.3179637025269</c:v>
                </c:pt>
                <c:pt idx="273">
                  <c:v>5495.4087385762541</c:v>
                </c:pt>
                <c:pt idx="274">
                  <c:v>5623.4132519034993</c:v>
                </c:pt>
                <c:pt idx="275">
                  <c:v>5754.399373371567</c:v>
                </c:pt>
                <c:pt idx="276">
                  <c:v>5888.4365535558973</c:v>
                </c:pt>
                <c:pt idx="277">
                  <c:v>6025.595860743585</c:v>
                </c:pt>
                <c:pt idx="278">
                  <c:v>6165.9500186148289</c:v>
                </c:pt>
                <c:pt idx="279">
                  <c:v>6309.5734448019384</c:v>
                </c:pt>
                <c:pt idx="280">
                  <c:v>6456.5422903465615</c:v>
                </c:pt>
                <c:pt idx="281">
                  <c:v>6606.9344800759654</c:v>
                </c:pt>
                <c:pt idx="282">
                  <c:v>6760.8297539198229</c:v>
                </c:pt>
                <c:pt idx="283">
                  <c:v>6918.3097091893687</c:v>
                </c:pt>
                <c:pt idx="284">
                  <c:v>7079.4578438413828</c:v>
                </c:pt>
                <c:pt idx="285">
                  <c:v>7244.3596007499036</c:v>
                </c:pt>
                <c:pt idx="286">
                  <c:v>7413.1024130091773</c:v>
                </c:pt>
                <c:pt idx="287">
                  <c:v>7585.7757502918394</c:v>
                </c:pt>
                <c:pt idx="288">
                  <c:v>7762.4711662869322</c:v>
                </c:pt>
                <c:pt idx="289">
                  <c:v>7943.2823472428154</c:v>
                </c:pt>
                <c:pt idx="290">
                  <c:v>8128.3051616410066</c:v>
                </c:pt>
                <c:pt idx="291">
                  <c:v>8317.6377110267094</c:v>
                </c:pt>
                <c:pt idx="292">
                  <c:v>8511.3803820237772</c:v>
                </c:pt>
                <c:pt idx="293">
                  <c:v>8709.6358995608189</c:v>
                </c:pt>
                <c:pt idx="294">
                  <c:v>8912.5093813374679</c:v>
                </c:pt>
                <c:pt idx="295">
                  <c:v>9120.1083935591087</c:v>
                </c:pt>
                <c:pt idx="296">
                  <c:v>9332.5430079699217</c:v>
                </c:pt>
                <c:pt idx="297">
                  <c:v>9549.9258602143691</c:v>
                </c:pt>
                <c:pt idx="298">
                  <c:v>9772.3722095581161</c:v>
                </c:pt>
                <c:pt idx="299">
                  <c:v>10000</c:v>
                </c:pt>
                <c:pt idx="300">
                  <c:v>10232.929922807549</c:v>
                </c:pt>
                <c:pt idx="301">
                  <c:v>10471.285480509003</c:v>
                </c:pt>
                <c:pt idx="302">
                  <c:v>10715.193052376071</c:v>
                </c:pt>
                <c:pt idx="303">
                  <c:v>10964.781961431856</c:v>
                </c:pt>
                <c:pt idx="304">
                  <c:v>11220.184543019639</c:v>
                </c:pt>
                <c:pt idx="305">
                  <c:v>11481.536214968832</c:v>
                </c:pt>
                <c:pt idx="306">
                  <c:v>11748.975549395318</c:v>
                </c:pt>
                <c:pt idx="307">
                  <c:v>12022.644346174151</c:v>
                </c:pt>
                <c:pt idx="308">
                  <c:v>12302.687708123816</c:v>
                </c:pt>
                <c:pt idx="309">
                  <c:v>12589.254117941671</c:v>
                </c:pt>
                <c:pt idx="310">
                  <c:v>12882.49551693136</c:v>
                </c:pt>
                <c:pt idx="311">
                  <c:v>13182.567385564091</c:v>
                </c:pt>
                <c:pt idx="312">
                  <c:v>13489.628825916556</c:v>
                </c:pt>
                <c:pt idx="313">
                  <c:v>13803.842646028841</c:v>
                </c:pt>
                <c:pt idx="314">
                  <c:v>14125.375446227561</c:v>
                </c:pt>
                <c:pt idx="315">
                  <c:v>14454.397707459291</c:v>
                </c:pt>
                <c:pt idx="316">
                  <c:v>14791.083881682089</c:v>
                </c:pt>
                <c:pt idx="317">
                  <c:v>15135.612484362096</c:v>
                </c:pt>
                <c:pt idx="318">
                  <c:v>15488.166189124853</c:v>
                </c:pt>
                <c:pt idx="319">
                  <c:v>15848.931924611146</c:v>
                </c:pt>
                <c:pt idx="320">
                  <c:v>16218.100973589309</c:v>
                </c:pt>
                <c:pt idx="321">
                  <c:v>16595.869074375616</c:v>
                </c:pt>
                <c:pt idx="322">
                  <c:v>16982.436524617482</c:v>
                </c:pt>
                <c:pt idx="323">
                  <c:v>17378.008287493791</c:v>
                </c:pt>
                <c:pt idx="324">
                  <c:v>17782.794100389234</c:v>
                </c:pt>
                <c:pt idx="325">
                  <c:v>18197.008586099837</c:v>
                </c:pt>
                <c:pt idx="326">
                  <c:v>18620.871366628675</c:v>
                </c:pt>
                <c:pt idx="327">
                  <c:v>19054.607179632505</c:v>
                </c:pt>
                <c:pt idx="328">
                  <c:v>19498.445997580486</c:v>
                </c:pt>
                <c:pt idx="329">
                  <c:v>19952.623149688792</c:v>
                </c:pt>
                <c:pt idx="330">
                  <c:v>20417.379446695286</c:v>
                </c:pt>
                <c:pt idx="331">
                  <c:v>20892.961308540423</c:v>
                </c:pt>
                <c:pt idx="332">
                  <c:v>21379.620895022348</c:v>
                </c:pt>
                <c:pt idx="333">
                  <c:v>21877.61623949555</c:v>
                </c:pt>
                <c:pt idx="334">
                  <c:v>22387.211385683382</c:v>
                </c:pt>
                <c:pt idx="335">
                  <c:v>22908.676527677751</c:v>
                </c:pt>
                <c:pt idx="336">
                  <c:v>23442.288153199243</c:v>
                </c:pt>
                <c:pt idx="337">
                  <c:v>23988.329190194923</c:v>
                </c:pt>
                <c:pt idx="338">
                  <c:v>24547.089156850321</c:v>
                </c:pt>
                <c:pt idx="339">
                  <c:v>25118.86431509586</c:v>
                </c:pt>
                <c:pt idx="340">
                  <c:v>25703.95782768865</c:v>
                </c:pt>
                <c:pt idx="341">
                  <c:v>26302.679918953829</c:v>
                </c:pt>
                <c:pt idx="342">
                  <c:v>26915.348039269167</c:v>
                </c:pt>
                <c:pt idx="343">
                  <c:v>27542.287033381719</c:v>
                </c:pt>
                <c:pt idx="344">
                  <c:v>28183.829312644593</c:v>
                </c:pt>
                <c:pt idx="345">
                  <c:v>28840.315031266062</c:v>
                </c:pt>
                <c:pt idx="346">
                  <c:v>29512.092266663854</c:v>
                </c:pt>
                <c:pt idx="347">
                  <c:v>30199.517204020212</c:v>
                </c:pt>
                <c:pt idx="348">
                  <c:v>30902.954325135954</c:v>
                </c:pt>
                <c:pt idx="349">
                  <c:v>31622.77660168384</c:v>
                </c:pt>
                <c:pt idx="350">
                  <c:v>32359.365692962871</c:v>
                </c:pt>
                <c:pt idx="351">
                  <c:v>33113.11214825909</c:v>
                </c:pt>
                <c:pt idx="352">
                  <c:v>33884.41561392029</c:v>
                </c:pt>
                <c:pt idx="353">
                  <c:v>34673.685045253202</c:v>
                </c:pt>
                <c:pt idx="354">
                  <c:v>35481.33892335758</c:v>
                </c:pt>
                <c:pt idx="355">
                  <c:v>36307.805477010232</c:v>
                </c:pt>
                <c:pt idx="356">
                  <c:v>37153.522909717351</c:v>
                </c:pt>
                <c:pt idx="357">
                  <c:v>38018.939632056143</c:v>
                </c:pt>
                <c:pt idx="358">
                  <c:v>38904.514499428085</c:v>
                </c:pt>
                <c:pt idx="359">
                  <c:v>39810.717055349742</c:v>
                </c:pt>
                <c:pt idx="360">
                  <c:v>40738.027780411358</c:v>
                </c:pt>
                <c:pt idx="361">
                  <c:v>41686.938347033625</c:v>
                </c:pt>
                <c:pt idx="362">
                  <c:v>42657.951880159271</c:v>
                </c:pt>
                <c:pt idx="363">
                  <c:v>43651.583224016598</c:v>
                </c:pt>
                <c:pt idx="364">
                  <c:v>44668.359215096389</c:v>
                </c:pt>
                <c:pt idx="365">
                  <c:v>45708.818961487581</c:v>
                </c:pt>
                <c:pt idx="366">
                  <c:v>46773.514128719893</c:v>
                </c:pt>
                <c:pt idx="367">
                  <c:v>47863.009232263823</c:v>
                </c:pt>
                <c:pt idx="368">
                  <c:v>48977.881936844598</c:v>
                </c:pt>
                <c:pt idx="369">
                  <c:v>50118.723362727294</c:v>
                </c:pt>
                <c:pt idx="370">
                  <c:v>51286.138399136544</c:v>
                </c:pt>
                <c:pt idx="371">
                  <c:v>52480.746024977314</c:v>
                </c:pt>
                <c:pt idx="372">
                  <c:v>53703.179637025423</c:v>
                </c:pt>
                <c:pt idx="373">
                  <c:v>54954.087385762505</c:v>
                </c:pt>
                <c:pt idx="374">
                  <c:v>56234.132519034953</c:v>
                </c:pt>
                <c:pt idx="375">
                  <c:v>57543.993733715732</c:v>
                </c:pt>
                <c:pt idx="376">
                  <c:v>58884.365535558936</c:v>
                </c:pt>
                <c:pt idx="377">
                  <c:v>60255.95860743591</c:v>
                </c:pt>
                <c:pt idx="378">
                  <c:v>61659.500186148245</c:v>
                </c:pt>
                <c:pt idx="379">
                  <c:v>63095.734448019342</c:v>
                </c:pt>
                <c:pt idx="380">
                  <c:v>64565.422903465682</c:v>
                </c:pt>
                <c:pt idx="381">
                  <c:v>66069.344800759733</c:v>
                </c:pt>
                <c:pt idx="382">
                  <c:v>67608.297539198305</c:v>
                </c:pt>
                <c:pt idx="383">
                  <c:v>69183.097091893651</c:v>
                </c:pt>
                <c:pt idx="384">
                  <c:v>70794.578438413781</c:v>
                </c:pt>
                <c:pt idx="385">
                  <c:v>72443.596007499116</c:v>
                </c:pt>
                <c:pt idx="386">
                  <c:v>74131.024130091857</c:v>
                </c:pt>
                <c:pt idx="387">
                  <c:v>75857.757502918481</c:v>
                </c:pt>
                <c:pt idx="388">
                  <c:v>77624.711662869129</c:v>
                </c:pt>
                <c:pt idx="389">
                  <c:v>79432.823472428237</c:v>
                </c:pt>
                <c:pt idx="390">
                  <c:v>81283.051616410012</c:v>
                </c:pt>
                <c:pt idx="391">
                  <c:v>83176.377110267174</c:v>
                </c:pt>
                <c:pt idx="392">
                  <c:v>85113.803820237721</c:v>
                </c:pt>
                <c:pt idx="393">
                  <c:v>87096.358995608127</c:v>
                </c:pt>
                <c:pt idx="394">
                  <c:v>89125.093813374609</c:v>
                </c:pt>
                <c:pt idx="395">
                  <c:v>91201.083935591028</c:v>
                </c:pt>
                <c:pt idx="396">
                  <c:v>93325.430079699145</c:v>
                </c:pt>
                <c:pt idx="397">
                  <c:v>95499.258602143804</c:v>
                </c:pt>
                <c:pt idx="398">
                  <c:v>97723.722095581266</c:v>
                </c:pt>
                <c:pt idx="399">
                  <c:v>100000</c:v>
                </c:pt>
                <c:pt idx="400">
                  <c:v>102329.29922807543</c:v>
                </c:pt>
                <c:pt idx="401">
                  <c:v>104712.85480508996</c:v>
                </c:pt>
                <c:pt idx="402">
                  <c:v>107151.93052376082</c:v>
                </c:pt>
                <c:pt idx="403">
                  <c:v>109647.81961431868</c:v>
                </c:pt>
                <c:pt idx="404">
                  <c:v>112201.84543019651</c:v>
                </c:pt>
                <c:pt idx="405">
                  <c:v>114815.36214968823</c:v>
                </c:pt>
                <c:pt idx="406">
                  <c:v>117489.75549395311</c:v>
                </c:pt>
                <c:pt idx="407">
                  <c:v>120226.44346174144</c:v>
                </c:pt>
                <c:pt idx="408">
                  <c:v>123026.87708123829</c:v>
                </c:pt>
                <c:pt idx="409">
                  <c:v>125892.54117941685</c:v>
                </c:pt>
                <c:pt idx="410">
                  <c:v>128824.95516931375</c:v>
                </c:pt>
                <c:pt idx="411">
                  <c:v>131825.67385564081</c:v>
                </c:pt>
                <c:pt idx="412">
                  <c:v>134896.28825916545</c:v>
                </c:pt>
                <c:pt idx="413">
                  <c:v>138038.42646028858</c:v>
                </c:pt>
                <c:pt idx="414">
                  <c:v>141253.75446227577</c:v>
                </c:pt>
                <c:pt idx="415">
                  <c:v>144543.97707459307</c:v>
                </c:pt>
                <c:pt idx="416">
                  <c:v>147910.83881682079</c:v>
                </c:pt>
                <c:pt idx="417">
                  <c:v>151356.12484362084</c:v>
                </c:pt>
                <c:pt idx="418">
                  <c:v>154881.66189124843</c:v>
                </c:pt>
                <c:pt idx="419">
                  <c:v>158489.31924611164</c:v>
                </c:pt>
                <c:pt idx="420">
                  <c:v>162181.00973589328</c:v>
                </c:pt>
                <c:pt idx="421">
                  <c:v>165958.69074375604</c:v>
                </c:pt>
                <c:pt idx="422">
                  <c:v>169824.36524617471</c:v>
                </c:pt>
                <c:pt idx="423">
                  <c:v>173780.0828749378</c:v>
                </c:pt>
                <c:pt idx="424">
                  <c:v>177827.94100389251</c:v>
                </c:pt>
                <c:pt idx="425">
                  <c:v>181970.08586099857</c:v>
                </c:pt>
                <c:pt idx="426">
                  <c:v>186208.71366628664</c:v>
                </c:pt>
                <c:pt idx="427">
                  <c:v>190546.07179632492</c:v>
                </c:pt>
                <c:pt idx="428">
                  <c:v>194984.45997580473</c:v>
                </c:pt>
                <c:pt idx="429">
                  <c:v>199526.23149688813</c:v>
                </c:pt>
                <c:pt idx="430">
                  <c:v>204173.79446695308</c:v>
                </c:pt>
                <c:pt idx="431">
                  <c:v>208929.61308540447</c:v>
                </c:pt>
                <c:pt idx="432">
                  <c:v>213796.20895022334</c:v>
                </c:pt>
                <c:pt idx="433">
                  <c:v>218776.16239495538</c:v>
                </c:pt>
                <c:pt idx="434">
                  <c:v>223872.11385683404</c:v>
                </c:pt>
                <c:pt idx="435">
                  <c:v>229086.76527677779</c:v>
                </c:pt>
                <c:pt idx="436">
                  <c:v>234422.88153199267</c:v>
                </c:pt>
                <c:pt idx="437">
                  <c:v>239883.29190194907</c:v>
                </c:pt>
                <c:pt idx="438">
                  <c:v>245470.89156850305</c:v>
                </c:pt>
                <c:pt idx="439">
                  <c:v>251188.64315095844</c:v>
                </c:pt>
                <c:pt idx="440">
                  <c:v>257039.57827688678</c:v>
                </c:pt>
                <c:pt idx="441">
                  <c:v>263026.79918953858</c:v>
                </c:pt>
                <c:pt idx="442">
                  <c:v>269153.48039269145</c:v>
                </c:pt>
                <c:pt idx="443">
                  <c:v>275422.87033381703</c:v>
                </c:pt>
                <c:pt idx="444">
                  <c:v>281838.29312644573</c:v>
                </c:pt>
                <c:pt idx="445">
                  <c:v>288403.1503126609</c:v>
                </c:pt>
                <c:pt idx="446">
                  <c:v>295120.92266663886</c:v>
                </c:pt>
                <c:pt idx="447">
                  <c:v>301995.17204020242</c:v>
                </c:pt>
                <c:pt idx="448">
                  <c:v>309029.54325135931</c:v>
                </c:pt>
                <c:pt idx="449">
                  <c:v>316227.7660168382</c:v>
                </c:pt>
                <c:pt idx="450">
                  <c:v>323593.65692962846</c:v>
                </c:pt>
                <c:pt idx="451">
                  <c:v>331131.12148259126</c:v>
                </c:pt>
                <c:pt idx="452">
                  <c:v>338844.15613920329</c:v>
                </c:pt>
                <c:pt idx="453">
                  <c:v>346736.85045253241</c:v>
                </c:pt>
                <c:pt idx="454">
                  <c:v>354813.38923357555</c:v>
                </c:pt>
                <c:pt idx="455">
                  <c:v>363078.05477010203</c:v>
                </c:pt>
                <c:pt idx="456">
                  <c:v>371535.2290971732</c:v>
                </c:pt>
                <c:pt idx="457">
                  <c:v>380189.39632056188</c:v>
                </c:pt>
                <c:pt idx="458">
                  <c:v>389045.14499428123</c:v>
                </c:pt>
                <c:pt idx="459">
                  <c:v>398107.17055349716</c:v>
                </c:pt>
                <c:pt idx="460">
                  <c:v>407380.27780411334</c:v>
                </c:pt>
                <c:pt idx="461">
                  <c:v>416869.38347033598</c:v>
                </c:pt>
                <c:pt idx="462">
                  <c:v>426579.51880159322</c:v>
                </c:pt>
                <c:pt idx="463">
                  <c:v>436515.83224016649</c:v>
                </c:pt>
                <c:pt idx="464">
                  <c:v>446683.59215096442</c:v>
                </c:pt>
                <c:pt idx="465">
                  <c:v>457088.18961487547</c:v>
                </c:pt>
                <c:pt idx="466">
                  <c:v>467735.14128719864</c:v>
                </c:pt>
                <c:pt idx="467">
                  <c:v>478630.09232263872</c:v>
                </c:pt>
                <c:pt idx="468">
                  <c:v>489778.81936844654</c:v>
                </c:pt>
                <c:pt idx="469">
                  <c:v>501187.23362727347</c:v>
                </c:pt>
                <c:pt idx="470">
                  <c:v>512861.38399136515</c:v>
                </c:pt>
                <c:pt idx="471">
                  <c:v>524807.46024977288</c:v>
                </c:pt>
                <c:pt idx="472">
                  <c:v>537031.7963702539</c:v>
                </c:pt>
                <c:pt idx="473">
                  <c:v>549540.87385762564</c:v>
                </c:pt>
                <c:pt idx="474">
                  <c:v>562341.32519035018</c:v>
                </c:pt>
                <c:pt idx="475">
                  <c:v>575439.93733715697</c:v>
                </c:pt>
                <c:pt idx="476">
                  <c:v>588843.65535558888</c:v>
                </c:pt>
                <c:pt idx="477">
                  <c:v>602559.58607435878</c:v>
                </c:pt>
                <c:pt idx="478">
                  <c:v>616595.00186148309</c:v>
                </c:pt>
                <c:pt idx="479">
                  <c:v>630957.34448019415</c:v>
                </c:pt>
                <c:pt idx="480">
                  <c:v>645654.22903465747</c:v>
                </c:pt>
                <c:pt idx="481">
                  <c:v>660693.44800759677</c:v>
                </c:pt>
                <c:pt idx="482">
                  <c:v>676082.97539198259</c:v>
                </c:pt>
                <c:pt idx="483">
                  <c:v>691830.97091893724</c:v>
                </c:pt>
                <c:pt idx="484">
                  <c:v>707945.78438413853</c:v>
                </c:pt>
                <c:pt idx="485">
                  <c:v>724435.96007499192</c:v>
                </c:pt>
                <c:pt idx="486">
                  <c:v>741310.24130091805</c:v>
                </c:pt>
                <c:pt idx="487">
                  <c:v>758577.57502918423</c:v>
                </c:pt>
                <c:pt idx="488">
                  <c:v>776247.11662869214</c:v>
                </c:pt>
                <c:pt idx="489">
                  <c:v>794328.23472428333</c:v>
                </c:pt>
                <c:pt idx="490">
                  <c:v>812830.51616410096</c:v>
                </c:pt>
                <c:pt idx="491">
                  <c:v>831763.77110267128</c:v>
                </c:pt>
                <c:pt idx="492">
                  <c:v>851138.03820237669</c:v>
                </c:pt>
                <c:pt idx="493">
                  <c:v>870963.58995608077</c:v>
                </c:pt>
                <c:pt idx="494">
                  <c:v>891250.93813374708</c:v>
                </c:pt>
                <c:pt idx="495">
                  <c:v>912010.83935591124</c:v>
                </c:pt>
                <c:pt idx="496">
                  <c:v>933254.30079699249</c:v>
                </c:pt>
                <c:pt idx="497">
                  <c:v>954992.58602143743</c:v>
                </c:pt>
                <c:pt idx="498">
                  <c:v>977237.22095581202</c:v>
                </c:pt>
                <c:pt idx="499">
                  <c:v>1000000</c:v>
                </c:pt>
                <c:pt idx="500">
                  <c:v>1023292.9922807553</c:v>
                </c:pt>
                <c:pt idx="501">
                  <c:v>1047128.5480509007</c:v>
                </c:pt>
                <c:pt idx="502">
                  <c:v>1071519.3052376076</c:v>
                </c:pt>
                <c:pt idx="503">
                  <c:v>1096478.196143186</c:v>
                </c:pt>
                <c:pt idx="504">
                  <c:v>1122018.4543019643</c:v>
                </c:pt>
                <c:pt idx="505">
                  <c:v>1148153.6214968837</c:v>
                </c:pt>
                <c:pt idx="506">
                  <c:v>1174897.5549395324</c:v>
                </c:pt>
                <c:pt idx="507">
                  <c:v>1202264.4346174158</c:v>
                </c:pt>
                <c:pt idx="508">
                  <c:v>1230268.770812382</c:v>
                </c:pt>
                <c:pt idx="509">
                  <c:v>1258925.4117941677</c:v>
                </c:pt>
                <c:pt idx="510">
                  <c:v>1288249.5516931366</c:v>
                </c:pt>
                <c:pt idx="511">
                  <c:v>1318256.7385564097</c:v>
                </c:pt>
                <c:pt idx="512">
                  <c:v>1348962.8825916562</c:v>
                </c:pt>
                <c:pt idx="513">
                  <c:v>1380384.2646028849</c:v>
                </c:pt>
                <c:pt idx="514">
                  <c:v>1412537.5446227565</c:v>
                </c:pt>
                <c:pt idx="515">
                  <c:v>1445439.7707459298</c:v>
                </c:pt>
                <c:pt idx="516">
                  <c:v>1479108.3881682095</c:v>
                </c:pt>
                <c:pt idx="517">
                  <c:v>1513561.2484362102</c:v>
                </c:pt>
                <c:pt idx="518">
                  <c:v>1548816.6189124861</c:v>
                </c:pt>
                <c:pt idx="519">
                  <c:v>1584893.1924611153</c:v>
                </c:pt>
                <c:pt idx="520">
                  <c:v>1621810.0973589318</c:v>
                </c:pt>
                <c:pt idx="521">
                  <c:v>1659586.9074375622</c:v>
                </c:pt>
                <c:pt idx="522">
                  <c:v>1698243.6524617488</c:v>
                </c:pt>
                <c:pt idx="523">
                  <c:v>1737800.8287493798</c:v>
                </c:pt>
                <c:pt idx="524">
                  <c:v>1778279.4100389241</c:v>
                </c:pt>
                <c:pt idx="525">
                  <c:v>1819700.8586099846</c:v>
                </c:pt>
                <c:pt idx="526">
                  <c:v>1862087.1366628683</c:v>
                </c:pt>
                <c:pt idx="527">
                  <c:v>1905460.7179632513</c:v>
                </c:pt>
                <c:pt idx="528">
                  <c:v>1949844.5997580495</c:v>
                </c:pt>
                <c:pt idx="529">
                  <c:v>1995262.31496888</c:v>
                </c:pt>
                <c:pt idx="530">
                  <c:v>2041737.9446695296</c:v>
                </c:pt>
                <c:pt idx="531">
                  <c:v>2089296.1308540432</c:v>
                </c:pt>
                <c:pt idx="532">
                  <c:v>2137962.0895022359</c:v>
                </c:pt>
                <c:pt idx="533">
                  <c:v>2187761.6239495561</c:v>
                </c:pt>
                <c:pt idx="534">
                  <c:v>2238721.1385683389</c:v>
                </c:pt>
                <c:pt idx="535">
                  <c:v>2290867.6527677765</c:v>
                </c:pt>
                <c:pt idx="536">
                  <c:v>2344228.8153199251</c:v>
                </c:pt>
                <c:pt idx="537">
                  <c:v>2398832.9190194933</c:v>
                </c:pt>
                <c:pt idx="538">
                  <c:v>2454708.915685033</c:v>
                </c:pt>
                <c:pt idx="539">
                  <c:v>2511886.431509587</c:v>
                </c:pt>
                <c:pt idx="540">
                  <c:v>2570395.782768866</c:v>
                </c:pt>
                <c:pt idx="541">
                  <c:v>2630267.9918953842</c:v>
                </c:pt>
              </c:numCache>
            </c:numRef>
          </c:xVal>
          <c:yVal>
            <c:numRef>
              <c:f>CCM_Loop_Modeling_non_isolated!$AE$19:$AE$560</c:f>
              <c:numCache>
                <c:formatCode>General</c:formatCode>
                <c:ptCount val="542"/>
                <c:pt idx="0">
                  <c:v>-17.146267840510163</c:v>
                </c:pt>
                <c:pt idx="1">
                  <c:v>-17.523192937230853</c:v>
                </c:pt>
                <c:pt idx="2">
                  <c:v>-17.907406449410335</c:v>
                </c:pt>
                <c:pt idx="3">
                  <c:v>-18.298984424676409</c:v>
                </c:pt>
                <c:pt idx="4">
                  <c:v>-18.697999377819713</c:v>
                </c:pt>
                <c:pt idx="5">
                  <c:v>-19.104519971942569</c:v>
                </c:pt>
                <c:pt idx="6">
                  <c:v>-19.518610688535709</c:v>
                </c:pt>
                <c:pt idx="7">
                  <c:v>-19.940331487001217</c:v>
                </c:pt>
                <c:pt idx="8">
                  <c:v>-20.369737454256899</c:v>
                </c:pt>
                <c:pt idx="9">
                  <c:v>-20.806878445188048</c:v>
                </c:pt>
                <c:pt idx="10">
                  <c:v>-21.251798714846473</c:v>
                </c:pt>
                <c:pt idx="11">
                  <c:v>-21.704536543441197</c:v>
                </c:pt>
                <c:pt idx="12">
                  <c:v>-22.165123855310398</c:v>
                </c:pt>
                <c:pt idx="13">
                  <c:v>-22.633585833231532</c:v>
                </c:pt>
                <c:pt idx="14">
                  <c:v>-23.109940529573535</c:v>
                </c:pt>
                <c:pt idx="15">
                  <c:v>-23.594198475973599</c:v>
                </c:pt>
                <c:pt idx="16">
                  <c:v>-24.086362293379491</c:v>
                </c:pt>
                <c:pt idx="17">
                  <c:v>-24.586426304471356</c:v>
                </c:pt>
                <c:pt idx="18">
                  <c:v>-25.094376150640684</c:v>
                </c:pt>
                <c:pt idx="19">
                  <c:v>-25.610188415870443</c:v>
                </c:pt>
                <c:pt idx="20">
                  <c:v>-26.133830260013099</c:v>
                </c:pt>
                <c:pt idx="21">
                  <c:v>-26.665259064115244</c:v>
                </c:pt>
                <c:pt idx="22">
                  <c:v>-27.204422090569505</c:v>
                </c:pt>
                <c:pt idx="23">
                  <c:v>-27.751256161000907</c:v>
                </c:pt>
                <c:pt idx="24">
                  <c:v>-28.3056873548921</c:v>
                </c:pt>
                <c:pt idx="25">
                  <c:v>-28.867630732039668</c:v>
                </c:pt>
                <c:pt idx="26">
                  <c:v>-29.436990081985286</c:v>
                </c:pt>
                <c:pt idx="27">
                  <c:v>-30.013657703599417</c:v>
                </c:pt>
                <c:pt idx="28">
                  <c:v>-30.597514217990934</c:v>
                </c:pt>
                <c:pt idx="29">
                  <c:v>-31.188428417878079</c:v>
                </c:pt>
                <c:pt idx="30">
                  <c:v>-31.786257156488006</c:v>
                </c:pt>
                <c:pt idx="31">
                  <c:v>-32.390845278934307</c:v>
                </c:pt>
                <c:pt idx="32">
                  <c:v>-33.00202559886948</c:v>
                </c:pt>
                <c:pt idx="33">
                  <c:v>-33.619618923018351</c:v>
                </c:pt>
                <c:pt idx="34">
                  <c:v>-34.243434125949236</c:v>
                </c:pt>
                <c:pt idx="35">
                  <c:v>-34.873268277164456</c:v>
                </c:pt>
                <c:pt idx="36">
                  <c:v>-35.508906822263945</c:v>
                </c:pt>
                <c:pt idx="37">
                  <c:v>-36.150123819566815</c:v>
                </c:pt>
                <c:pt idx="38">
                  <c:v>-36.796682233175567</c:v>
                </c:pt>
                <c:pt idx="39">
                  <c:v>-37.44833428302146</c:v>
                </c:pt>
                <c:pt idx="40">
                  <c:v>-38.104821851966534</c:v>
                </c:pt>
                <c:pt idx="41">
                  <c:v>-38.765876949534459</c:v>
                </c:pt>
                <c:pt idx="42">
                  <c:v>-39.431222231332043</c:v>
                </c:pt>
                <c:pt idx="43">
                  <c:v>-40.100571572691123</c:v>
                </c:pt>
                <c:pt idx="44">
                  <c:v>-40.77363069453115</c:v>
                </c:pt>
                <c:pt idx="45">
                  <c:v>-41.45009783890773</c:v>
                </c:pt>
                <c:pt idx="46">
                  <c:v>-42.129664491195783</c:v>
                </c:pt>
                <c:pt idx="47">
                  <c:v>-42.812016145352061</c:v>
                </c:pt>
                <c:pt idx="48">
                  <c:v>-43.496833108232842</c:v>
                </c:pt>
                <c:pt idx="49">
                  <c:v>-44.183791338499631</c:v>
                </c:pt>
                <c:pt idx="50">
                  <c:v>-44.872563315258951</c:v>
                </c:pt>
                <c:pt idx="51">
                  <c:v>-45.562818931232208</c:v>
                </c:pt>
                <c:pt idx="52">
                  <c:v>-46.254226404971341</c:v>
                </c:pt>
                <c:pt idx="53">
                  <c:v>-46.94645320641208</c:v>
                </c:pt>
                <c:pt idx="54">
                  <c:v>-47.639166989892502</c:v>
                </c:pt>
                <c:pt idx="55">
                  <c:v>-48.332036528690679</c:v>
                </c:pt>
                <c:pt idx="56">
                  <c:v>-49.024732645103235</c:v>
                </c:pt>
                <c:pt idx="57">
                  <c:v>-49.716929130161652</c:v>
                </c:pt>
                <c:pt idx="58">
                  <c:v>-50.408303647185228</c:v>
                </c:pt>
                <c:pt idx="59">
                  <c:v>-51.098538613589575</c:v>
                </c:pt>
                <c:pt idx="60">
                  <c:v>-51.787322055610375</c:v>
                </c:pt>
                <c:pt idx="61">
                  <c:v>-52.474348430924543</c:v>
                </c:pt>
                <c:pt idx="62">
                  <c:v>-53.159319414530437</c:v>
                </c:pt>
                <c:pt idx="63">
                  <c:v>-53.841944643656397</c:v>
                </c:pt>
                <c:pt idx="64">
                  <c:v>-54.521942417934611</c:v>
                </c:pt>
                <c:pt idx="65">
                  <c:v>-55.199040351559596</c:v>
                </c:pt>
                <c:pt idx="66">
                  <c:v>-55.872975974668527</c:v>
                </c:pt>
                <c:pt idx="67">
                  <c:v>-56.543497281705825</c:v>
                </c:pt>
                <c:pt idx="68">
                  <c:v>-57.210363225064455</c:v>
                </c:pt>
                <c:pt idx="69">
                  <c:v>-57.873344152833887</c:v>
                </c:pt>
                <c:pt idx="70">
                  <c:v>-58.532222190004397</c:v>
                </c:pt>
                <c:pt idx="71">
                  <c:v>-59.186791562976715</c:v>
                </c:pt>
                <c:pt idx="72">
                  <c:v>-59.836858867720608</c:v>
                </c:pt>
                <c:pt idx="73">
                  <c:v>-60.482243282370973</c:v>
                </c:pt>
                <c:pt idx="74">
                  <c:v>-61.122776725468228</c:v>
                </c:pt>
                <c:pt idx="75">
                  <c:v>-61.758303961448931</c:v>
                </c:pt>
                <c:pt idx="76">
                  <c:v>-62.388682655315677</c:v>
                </c:pt>
                <c:pt idx="77">
                  <c:v>-63.013783378733983</c:v>
                </c:pt>
                <c:pt idx="78">
                  <c:v>-63.633489570053264</c:v>
                </c:pt>
                <c:pt idx="79">
                  <c:v>-64.24769745097008</c:v>
                </c:pt>
                <c:pt idx="80">
                  <c:v>-64.856315902715664</c:v>
                </c:pt>
                <c:pt idx="81">
                  <c:v>-65.459266304792109</c:v>
                </c:pt>
                <c:pt idx="82">
                  <c:v>-66.05648233936202</c:v>
                </c:pt>
                <c:pt idx="83">
                  <c:v>-66.647909764450048</c:v>
                </c:pt>
                <c:pt idx="84">
                  <c:v>-67.233506159137136</c:v>
                </c:pt>
                <c:pt idx="85">
                  <c:v>-67.813240643903015</c:v>
                </c:pt>
                <c:pt idx="86">
                  <c:v>-68.387093579236222</c:v>
                </c:pt>
                <c:pt idx="87">
                  <c:v>-68.955056245551859</c:v>
                </c:pt>
                <c:pt idx="88">
                  <c:v>-69.51713050736592</c:v>
                </c:pt>
                <c:pt idx="89">
                  <c:v>-70.073328464562138</c:v>
                </c:pt>
                <c:pt idx="90">
                  <c:v>-70.623672093452385</c:v>
                </c:pt>
                <c:pt idx="91">
                  <c:v>-71.168192880192436</c:v>
                </c:pt>
                <c:pt idx="92">
                  <c:v>-71.706931448958258</c:v>
                </c:pt>
                <c:pt idx="93">
                  <c:v>-72.239937187126685</c:v>
                </c:pt>
                <c:pt idx="94">
                  <c:v>-72.767267869541101</c:v>
                </c:pt>
                <c:pt idx="95">
                  <c:v>-73.28898928376843</c:v>
                </c:pt>
                <c:pt idx="96">
                  <c:v>-73.805174858091505</c:v>
                </c:pt>
                <c:pt idx="97">
                  <c:v>-74.315905293807447</c:v>
                </c:pt>
                <c:pt idx="98">
                  <c:v>-74.821268203242198</c:v>
                </c:pt>
                <c:pt idx="99">
                  <c:v>-75.321357754728922</c:v>
                </c:pt>
                <c:pt idx="100">
                  <c:v>-75.816274325644613</c:v>
                </c:pt>
                <c:pt idx="101">
                  <c:v>-76.306124164451518</c:v>
                </c:pt>
                <c:pt idx="102">
                  <c:v>-76.791019062548742</c:v>
                </c:pt>
                <c:pt idx="103">
                  <c:v>-77.271076036607255</c:v>
                </c:pt>
                <c:pt idx="104">
                  <c:v>-77.746417021935329</c:v>
                </c:pt>
                <c:pt idx="105">
                  <c:v>-78.217168577307959</c:v>
                </c:pt>
                <c:pt idx="106">
                  <c:v>-78.683461601582891</c:v>
                </c:pt>
                <c:pt idx="107">
                  <c:v>-79.145431062328726</c:v>
                </c:pt>
                <c:pt idx="108">
                  <c:v>-79.603215736598813</c:v>
                </c:pt>
                <c:pt idx="109">
                  <c:v>-80.05695796390215</c:v>
                </c:pt>
                <c:pt idx="110">
                  <c:v>-80.506803411346127</c:v>
                </c:pt>
                <c:pt idx="111">
                  <c:v>-80.95290085086134</c:v>
                </c:pt>
                <c:pt idx="112">
                  <c:v>-81.395401948354532</c:v>
                </c:pt>
                <c:pt idx="113">
                  <c:v>-81.834461064586662</c:v>
                </c:pt>
                <c:pt idx="114">
                  <c:v>-82.270235067521142</c:v>
                </c:pt>
                <c:pt idx="115">
                  <c:v>-82.702883155849861</c:v>
                </c:pt>
                <c:pt idx="116">
                  <c:v>-83.132566693366584</c:v>
                </c:pt>
                <c:pt idx="117">
                  <c:v>-83.559449053826938</c:v>
                </c:pt>
                <c:pt idx="118">
                  <c:v>-83.983695475907496</c:v>
                </c:pt>
                <c:pt idx="119">
                  <c:v>-84.405472927855797</c:v>
                </c:pt>
                <c:pt idx="120">
                  <c:v>-84.824949981401474</c:v>
                </c:pt>
                <c:pt idx="121">
                  <c:v>-85.242296694488246</c:v>
                </c:pt>
                <c:pt idx="122">
                  <c:v>-85.657684502367772</c:v>
                </c:pt>
                <c:pt idx="123">
                  <c:v>-86.071286116594422</c:v>
                </c:pt>
                <c:pt idx="124">
                  <c:v>-86.483275431444866</c:v>
                </c:pt>
                <c:pt idx="125">
                  <c:v>-86.893827437286859</c:v>
                </c:pt>
                <c:pt idx="126">
                  <c:v>-87.303118140415421</c:v>
                </c:pt>
                <c:pt idx="127">
                  <c:v>-87.711324488869238</c:v>
                </c:pt>
                <c:pt idx="128">
                  <c:v>-88.118624303744554</c:v>
                </c:pt>
                <c:pt idx="129">
                  <c:v>-88.525196215519756</c:v>
                </c:pt>
                <c:pt idx="130">
                  <c:v>-88.931219604901145</c:v>
                </c:pt>
                <c:pt idx="131">
                  <c:v>-89.336874547708774</c:v>
                </c:pt>
                <c:pt idx="132">
                  <c:v>-89.742341763313561</c:v>
                </c:pt>
                <c:pt idx="133">
                  <c:v>-90.147802566145288</c:v>
                </c:pt>
                <c:pt idx="134">
                  <c:v>-90.553438819786095</c:v>
                </c:pt>
                <c:pt idx="135">
                  <c:v>-90.959432893170359</c:v>
                </c:pt>
                <c:pt idx="136">
                  <c:v>-91.365967618409741</c:v>
                </c:pt>
                <c:pt idx="137">
                  <c:v>-91.773226249763709</c:v>
                </c:pt>
                <c:pt idx="138">
                  <c:v>-92.181392423276534</c:v>
                </c:pt>
                <c:pt idx="139">
                  <c:v>-92.590650116603967</c:v>
                </c:pt>
                <c:pt idx="140">
                  <c:v>-93.00118360854708</c:v>
                </c:pt>
                <c:pt idx="141">
                  <c:v>-93.413177437819044</c:v>
                </c:pt>
                <c:pt idx="142">
                  <c:v>-93.826816360561267</c:v>
                </c:pt>
                <c:pt idx="143">
                  <c:v>-94.242285306130455</c:v>
                </c:pt>
                <c:pt idx="144">
                  <c:v>-94.659769330675076</c:v>
                </c:pt>
                <c:pt idx="145">
                  <c:v>-95.079453568017811</c:v>
                </c:pt>
                <c:pt idx="146">
                  <c:v>-95.501523177360227</c:v>
                </c:pt>
                <c:pt idx="147">
                  <c:v>-95.926163287325025</c:v>
                </c:pt>
                <c:pt idx="148">
                  <c:v>-96.353558935849023</c:v>
                </c:pt>
                <c:pt idx="149">
                  <c:v>-96.783895005440058</c:v>
                </c:pt>
                <c:pt idx="150">
                  <c:v>-97.21735615331157</c:v>
                </c:pt>
                <c:pt idx="151">
                  <c:v>-97.654126735906459</c:v>
                </c:pt>
                <c:pt idx="152">
                  <c:v>-98.094390727325916</c:v>
                </c:pt>
                <c:pt idx="153">
                  <c:v>-98.538331631180739</c:v>
                </c:pt>
                <c:pt idx="154">
                  <c:v>-98.986132385383115</c:v>
                </c:pt>
                <c:pt idx="155">
                  <c:v>-99.437975259407963</c:v>
                </c:pt>
                <c:pt idx="156">
                  <c:v>-99.894041743553657</c:v>
                </c:pt>
                <c:pt idx="157">
                  <c:v>-100.35451242974744</c:v>
                </c:pt>
                <c:pt idx="158">
                  <c:v>-100.819566883447</c:v>
                </c:pt>
                <c:pt idx="159">
                  <c:v>-101.28938350620915</c:v>
                </c:pt>
                <c:pt idx="160">
                  <c:v>-101.76413938851128</c:v>
                </c:pt>
                <c:pt idx="161">
                  <c:v>-102.24401015243555</c:v>
                </c:pt>
                <c:pt idx="162">
                  <c:v>-102.72916978384897</c:v>
                </c:pt>
                <c:pt idx="163">
                  <c:v>-103.21979045374557</c:v>
                </c:pt>
                <c:pt idx="164">
                  <c:v>-103.71604232844899</c:v>
                </c:pt>
                <c:pt idx="165">
                  <c:v>-104.21809336841811</c:v>
                </c:pt>
                <c:pt idx="166">
                  <c:v>-104.72610911544086</c:v>
                </c:pt>
                <c:pt idx="167">
                  <c:v>-105.24025246805714</c:v>
                </c:pt>
                <c:pt idx="168">
                  <c:v>-105.76068344510922</c:v>
                </c:pt>
                <c:pt idx="169">
                  <c:v>-106.28755893738564</c:v>
                </c:pt>
                <c:pt idx="170">
                  <c:v>-106.82103244739838</c:v>
                </c:pt>
                <c:pt idx="171">
                  <c:v>-107.36125381741265</c:v>
                </c:pt>
                <c:pt idx="172">
                  <c:v>-107.90836894594221</c:v>
                </c:pt>
                <c:pt idx="173">
                  <c:v>-108.46251949301869</c:v>
                </c:pt>
                <c:pt idx="174">
                  <c:v>-109.02384257464867</c:v>
                </c:pt>
                <c:pt idx="175">
                  <c:v>-109.5924704469905</c:v>
                </c:pt>
                <c:pt idx="176">
                  <c:v>-110.16853018090265</c:v>
                </c:pt>
                <c:pt idx="177">
                  <c:v>-110.75214332764871</c:v>
                </c:pt>
                <c:pt idx="178">
                  <c:v>-111.34342557668195</c:v>
                </c:pt>
                <c:pt idx="179">
                  <c:v>-111.94248640657871</c:v>
                </c:pt>
                <c:pt idx="180">
                  <c:v>-112.54942873034321</c:v>
                </c:pt>
                <c:pt idx="181">
                  <c:v>-113.16434853646349</c:v>
                </c:pt>
                <c:pt idx="182">
                  <c:v>-113.78733452726006</c:v>
                </c:pt>
                <c:pt idx="183">
                  <c:v>-114.41846775623752</c:v>
                </c:pt>
                <c:pt idx="184">
                  <c:v>-115.05782126631269</c:v>
                </c:pt>
                <c:pt idx="185">
                  <c:v>-115.70545973096004</c:v>
                </c:pt>
                <c:pt idx="186">
                  <c:v>-116.36143910048297</c:v>
                </c:pt>
                <c:pt idx="187">
                  <c:v>-117.02580625577129</c:v>
                </c:pt>
                <c:pt idx="188">
                  <c:v>-117.69859867206605</c:v>
                </c:pt>
                <c:pt idx="189">
                  <c:v>-118.37984409538477</c:v>
                </c:pt>
                <c:pt idx="190">
                  <c:v>-119.06956023439646</c:v>
                </c:pt>
                <c:pt idx="191">
                  <c:v>-119.76775447064298</c:v>
                </c:pt>
                <c:pt idx="192">
                  <c:v>-120.47442359009472</c:v>
                </c:pt>
                <c:pt idx="193">
                  <c:v>-121.18955353910384</c:v>
                </c:pt>
                <c:pt idx="194">
                  <c:v>-121.91311920785316</c:v>
                </c:pt>
                <c:pt idx="195">
                  <c:v>-122.6450842444183</c:v>
                </c:pt>
                <c:pt idx="196">
                  <c:v>-123.38540090253872</c:v>
                </c:pt>
                <c:pt idx="197">
                  <c:v>-124.1340099261384</c:v>
                </c:pt>
                <c:pt idx="198">
                  <c:v>-124.89084047354361</c:v>
                </c:pt>
                <c:pt idx="199">
                  <c:v>-125.65581008421319</c:v>
                </c:pt>
                <c:pt idx="200">
                  <c:v>-126.42882469061998</c:v>
                </c:pt>
                <c:pt idx="201">
                  <c:v>-127.20977867769874</c:v>
                </c:pt>
                <c:pt idx="202">
                  <c:v>-127.99855499202428</c:v>
                </c:pt>
                <c:pt idx="203">
                  <c:v>-128.7950253025607</c:v>
                </c:pt>
                <c:pt idx="204">
                  <c:v>-129.59905021449165</c:v>
                </c:pt>
                <c:pt idx="205">
                  <c:v>-130.41047953723768</c:v>
                </c:pt>
                <c:pt idx="206">
                  <c:v>-131.22915260734965</c:v>
                </c:pt>
                <c:pt idx="207">
                  <c:v>-132.05489866650078</c:v>
                </c:pt>
                <c:pt idx="208">
                  <c:v>-132.8875372943146</c:v>
                </c:pt>
                <c:pt idx="209">
                  <c:v>-133.72687889525068</c:v>
                </c:pt>
                <c:pt idx="210">
                  <c:v>-134.57272523824048</c:v>
                </c:pt>
                <c:pt idx="211">
                  <c:v>-135.42487004722366</c:v>
                </c:pt>
                <c:pt idx="212">
                  <c:v>-136.28309964019539</c:v>
                </c:pt>
                <c:pt idx="213">
                  <c:v>-137.14719361383442</c:v>
                </c:pt>
                <c:pt idx="214">
                  <c:v>-138.01692557025987</c:v>
                </c:pt>
                <c:pt idx="215">
                  <c:v>-138.89206388196288</c:v>
                </c:pt>
                <c:pt idx="216">
                  <c:v>-139.77237249048849</c:v>
                </c:pt>
                <c:pt idx="217">
                  <c:v>-140.65761173401106</c:v>
                </c:pt>
                <c:pt idx="218">
                  <c:v>-141.5475391985625</c:v>
                </c:pt>
                <c:pt idx="219">
                  <c:v>-142.44191058733702</c:v>
                </c:pt>
                <c:pt idx="220">
                  <c:v>-143.34048060222665</c:v>
                </c:pt>
                <c:pt idx="221">
                  <c:v>-144.24300383153013</c:v>
                </c:pt>
                <c:pt idx="222">
                  <c:v>-145.14923563763742</c:v>
                </c:pt>
                <c:pt idx="223">
                  <c:v>-146.05893303842345</c:v>
                </c:pt>
                <c:pt idx="224">
                  <c:v>-146.97185557608216</c:v>
                </c:pt>
                <c:pt idx="225">
                  <c:v>-147.88776616720972</c:v>
                </c:pt>
                <c:pt idx="226">
                  <c:v>-148.80643192808921</c:v>
                </c:pt>
                <c:pt idx="227">
                  <c:v>-149.72762496933009</c:v>
                </c:pt>
                <c:pt idx="228">
                  <c:v>-150.65112315430594</c:v>
                </c:pt>
                <c:pt idx="229">
                  <c:v>-151.5767108161572</c:v>
                </c:pt>
                <c:pt idx="230">
                  <c:v>-152.5041794285014</c:v>
                </c:pt>
                <c:pt idx="231">
                  <c:v>-153.43332822544986</c:v>
                </c:pt>
                <c:pt idx="232">
                  <c:v>-154.36396476696339</c:v>
                </c:pt>
                <c:pt idx="233">
                  <c:v>-155.29590544611011</c:v>
                </c:pt>
                <c:pt idx="234">
                  <c:v>-156.22897593527949</c:v>
                </c:pt>
                <c:pt idx="235">
                  <c:v>-157.1630115689627</c:v>
                </c:pt>
                <c:pt idx="236">
                  <c:v>-158.09785766123338</c:v>
                </c:pt>
                <c:pt idx="237">
                  <c:v>-159.03336975660372</c:v>
                </c:pt>
                <c:pt idx="238">
                  <c:v>-159.96941381346548</c:v>
                </c:pt>
                <c:pt idx="239">
                  <c:v>-160.90586631982796</c:v>
                </c:pt>
                <c:pt idx="240">
                  <c:v>-161.84261434156076</c:v>
                </c:pt>
                <c:pt idx="241">
                  <c:v>-162.77955550382282</c:v>
                </c:pt>
                <c:pt idx="242">
                  <c:v>-163.71659790677879</c:v>
                </c:pt>
                <c:pt idx="243">
                  <c:v>-164.65365997712394</c:v>
                </c:pt>
                <c:pt idx="244">
                  <c:v>-165.59067025729485</c:v>
                </c:pt>
                <c:pt idx="245">
                  <c:v>-166.5275671345866</c:v>
                </c:pt>
                <c:pt idx="246">
                  <c:v>-167.46429851267737</c:v>
                </c:pt>
                <c:pt idx="247">
                  <c:v>-168.40082142833984</c:v>
                </c:pt>
                <c:pt idx="248">
                  <c:v>-169.33710161632558</c:v>
                </c:pt>
                <c:pt idx="249">
                  <c:v>-170.27311302561253</c:v>
                </c:pt>
                <c:pt idx="250">
                  <c:v>-171.20883729035867</c:v>
                </c:pt>
                <c:pt idx="251">
                  <c:v>-172.14426315903665</c:v>
                </c:pt>
                <c:pt idx="252">
                  <c:v>-173.0793858853327</c:v>
                </c:pt>
                <c:pt idx="253">
                  <c:v>-174.01420658447265</c:v>
                </c:pt>
                <c:pt idx="254">
                  <c:v>-174.94873155870212</c:v>
                </c:pt>
                <c:pt idx="255">
                  <c:v>-175.88297159569649</c:v>
                </c:pt>
                <c:pt idx="256">
                  <c:v>-176.81694124370139</c:v>
                </c:pt>
                <c:pt idx="257">
                  <c:v>-177.75065806724268</c:v>
                </c:pt>
                <c:pt idx="258">
                  <c:v>-178.68414188724256</c:v>
                </c:pt>
                <c:pt idx="259">
                  <c:v>-179.61741400939655</c:v>
                </c:pt>
                <c:pt idx="260">
                  <c:v>179.44950355532944</c:v>
                </c:pt>
                <c:pt idx="261">
                  <c:v>178.51658887422155</c:v>
                </c:pt>
                <c:pt idx="262">
                  <c:v>177.58382087650168</c:v>
                </c:pt>
                <c:pt idx="263">
                  <c:v>176.65118013330681</c:v>
                </c:pt>
                <c:pt idx="264">
                  <c:v>175.71864963010623</c:v>
                </c:pt>
                <c:pt idx="265">
                  <c:v>174.78621552769957</c:v>
                </c:pt>
                <c:pt idx="266">
                  <c:v>173.85386790793936</c:v>
                </c:pt>
                <c:pt idx="267">
                  <c:v>172.9216015003359</c:v>
                </c:pt>
                <c:pt idx="268">
                  <c:v>171.98941638571489</c:v>
                </c:pt>
                <c:pt idx="269">
                  <c:v>171.05731867311607</c:v>
                </c:pt>
                <c:pt idx="270">
                  <c:v>170.12532114616306</c:v>
                </c:pt>
                <c:pt idx="271">
                  <c:v>169.19344387516679</c:v>
                </c:pt>
                <c:pt idx="272">
                  <c:v>168.26171479130591</c:v>
                </c:pt>
                <c:pt idx="273">
                  <c:v>167.33017021928649</c:v>
                </c:pt>
                <c:pt idx="274">
                  <c:v>166.39885536500702</c:v>
                </c:pt>
                <c:pt idx="275">
                  <c:v>165.46782475487402</c:v>
                </c:pt>
                <c:pt idx="276">
                  <c:v>164.53714262357312</c:v>
                </c:pt>
                <c:pt idx="277">
                  <c:v>163.60688324729307</c:v>
                </c:pt>
                <c:pt idx="278">
                  <c:v>162.67713121961722</c:v>
                </c:pt>
                <c:pt idx="279">
                  <c:v>161.74798166756153</c:v>
                </c:pt>
                <c:pt idx="280">
                  <c:v>160.81954040552341</c:v>
                </c:pt>
                <c:pt idx="281">
                  <c:v>159.89192402524631</c:v>
                </c:pt>
                <c:pt idx="282">
                  <c:v>158.9652599202598</c:v>
                </c:pt>
                <c:pt idx="283">
                  <c:v>158.03968624366604</c:v>
                </c:pt>
                <c:pt idx="284">
                  <c:v>157.11535179857316</c:v>
                </c:pt>
                <c:pt idx="285">
                  <c:v>156.19241586094043</c:v>
                </c:pt>
                <c:pt idx="286">
                  <c:v>155.27104793509315</c:v>
                </c:pt>
                <c:pt idx="287">
                  <c:v>154.35142744267219</c:v>
                </c:pt>
                <c:pt idx="288">
                  <c:v>153.43374334631869</c:v>
                </c:pt>
                <c:pt idx="289">
                  <c:v>152.51819370991967</c:v>
                </c:pt>
                <c:pt idx="290">
                  <c:v>151.60498519779122</c:v>
                </c:pt>
                <c:pt idx="291">
                  <c:v>150.69433251570081</c:v>
                </c:pt>
                <c:pt idx="292">
                  <c:v>149.78645779715322</c:v>
                </c:pt>
                <c:pt idx="293">
                  <c:v>148.8815899388683</c:v>
                </c:pt>
                <c:pt idx="294">
                  <c:v>147.97996388983969</c:v>
                </c:pt>
                <c:pt idx="295">
                  <c:v>147.0818198988037</c:v>
                </c:pt>
                <c:pt idx="296">
                  <c:v>146.18740272533049</c:v>
                </c:pt>
                <c:pt idx="297">
                  <c:v>145.29696082008743</c:v>
                </c:pt>
                <c:pt idx="298">
                  <c:v>144.41074548010064</c:v>
                </c:pt>
                <c:pt idx="299">
                  <c:v>143.52900998505615</c:v>
                </c:pt>
                <c:pt idx="300">
                  <c:v>142.65200872082841</c:v>
                </c:pt>
                <c:pt idx="301">
                  <c:v>141.77999629650367</c:v>
                </c:pt>
                <c:pt idx="302">
                  <c:v>140.91322666116471</c:v>
                </c:pt>
                <c:pt idx="303">
                  <c:v>140.05195222664639</c:v>
                </c:pt>
                <c:pt idx="304">
                  <c:v>139.19642300232655</c:v>
                </c:pt>
                <c:pt idx="305">
                  <c:v>138.34688574781467</c:v>
                </c:pt>
                <c:pt idx="306">
                  <c:v>137.50358314913001</c:v>
                </c:pt>
                <c:pt idx="307">
                  <c:v>136.66675302363473</c:v>
                </c:pt>
                <c:pt idx="308">
                  <c:v>135.83662755859902</c:v>
                </c:pt>
                <c:pt idx="309">
                  <c:v>135.01343258784985</c:v>
                </c:pt>
                <c:pt idx="310">
                  <c:v>134.1973869104869</c:v>
                </c:pt>
                <c:pt idx="311">
                  <c:v>133.38870165514544</c:v>
                </c:pt>
                <c:pt idx="312">
                  <c:v>132.58757969276422</c:v>
                </c:pt>
                <c:pt idx="313">
                  <c:v>131.79421510028641</c:v>
                </c:pt>
                <c:pt idx="314">
                  <c:v>131.00879267716513</c:v>
                </c:pt>
                <c:pt idx="315">
                  <c:v>130.23148751601607</c:v>
                </c:pt>
                <c:pt idx="316">
                  <c:v>129.46246462822546</c:v>
                </c:pt>
                <c:pt idx="317">
                  <c:v>128.70187862480199</c:v>
                </c:pt>
                <c:pt idx="318">
                  <c:v>127.94987345227665</c:v>
                </c:pt>
                <c:pt idx="319">
                  <c:v>127.20658218299079</c:v>
                </c:pt>
                <c:pt idx="320">
                  <c:v>126.47212685867916</c:v>
                </c:pt>
                <c:pt idx="321">
                  <c:v>125.74661838587042</c:v>
                </c:pt>
                <c:pt idx="322">
                  <c:v>125.03015648127122</c:v>
                </c:pt>
                <c:pt idx="323">
                  <c:v>124.32282966499115</c:v>
                </c:pt>
                <c:pt idx="324">
                  <c:v>123.62471529920373</c:v>
                </c:pt>
                <c:pt idx="325">
                  <c:v>122.9358796696125</c:v>
                </c:pt>
                <c:pt idx="326">
                  <c:v>122.25637810691929</c:v>
                </c:pt>
                <c:pt idx="327">
                  <c:v>121.58625514534339</c:v>
                </c:pt>
                <c:pt idx="328">
                  <c:v>120.9255447151598</c:v>
                </c:pt>
                <c:pt idx="329">
                  <c:v>120.27427036615292</c:v>
                </c:pt>
                <c:pt idx="330">
                  <c:v>119.63244551887634</c:v>
                </c:pt>
                <c:pt idx="331">
                  <c:v>119.00007374059896</c:v>
                </c:pt>
                <c:pt idx="332">
                  <c:v>118.37714904288269</c:v>
                </c:pt>
                <c:pt idx="333">
                  <c:v>117.76365619778333</c:v>
                </c:pt>
                <c:pt idx="334">
                  <c:v>117.15957106977251</c:v>
                </c:pt>
                <c:pt idx="335">
                  <c:v>116.56486096057637</c:v>
                </c:pt>
                <c:pt idx="336">
                  <c:v>115.9794849642647</c:v>
                </c:pt>
                <c:pt idx="337">
                  <c:v>115.40339433005164</c:v>
                </c:pt>
                <c:pt idx="338">
                  <c:v>114.8365328304323</c:v>
                </c:pt>
                <c:pt idx="339">
                  <c:v>114.27883713242771</c:v>
                </c:pt>
                <c:pt idx="340">
                  <c:v>113.73023716988045</c:v>
                </c:pt>
                <c:pt idx="341">
                  <c:v>113.19065651489863</c:v>
                </c:pt>
                <c:pt idx="342">
                  <c:v>112.66001274672863</c:v>
                </c:pt>
                <c:pt idx="343">
                  <c:v>112.1382178164808</c:v>
                </c:pt>
                <c:pt idx="344">
                  <c:v>111.62517840631335</c:v>
                </c:pt>
                <c:pt idx="345">
                  <c:v>111.12079628181965</c:v>
                </c:pt>
                <c:pt idx="346">
                  <c:v>110.62496863653026</c:v>
                </c:pt>
                <c:pt idx="347">
                  <c:v>110.13758842757554</c:v>
                </c:pt>
                <c:pt idx="348">
                  <c:v>109.65854470169737</c:v>
                </c:pt>
                <c:pt idx="349">
                  <c:v>109.18772291092598</c:v>
                </c:pt>
                <c:pt idx="350">
                  <c:v>108.72500521736337</c:v>
                </c:pt>
                <c:pt idx="351">
                  <c:v>108.27027078662181</c:v>
                </c:pt>
                <c:pt idx="352">
                  <c:v>107.8233960695777</c:v>
                </c:pt>
                <c:pt idx="353">
                  <c:v>107.38425507219222</c:v>
                </c:pt>
                <c:pt idx="354">
                  <c:v>106.9527196132364</c:v>
                </c:pt>
                <c:pt idx="355">
                  <c:v>106.52865956984854</c:v>
                </c:pt>
                <c:pt idx="356">
                  <c:v>106.11194311090732</c:v>
                </c:pt>
                <c:pt idx="357">
                  <c:v>105.70243691828126</c:v>
                </c:pt>
                <c:pt idx="358">
                  <c:v>105.30000639606486</c:v>
                </c:pt>
                <c:pt idx="359">
                  <c:v>104.90451586796495</c:v>
                </c:pt>
                <c:pt idx="360">
                  <c:v>104.51582876303988</c:v>
                </c:pt>
                <c:pt idx="361">
                  <c:v>104.1338077900365</c:v>
                </c:pt>
                <c:pt idx="362">
                  <c:v>103.75831510059604</c:v>
                </c:pt>
                <c:pt idx="363">
                  <c:v>103.38921244163178</c:v>
                </c:pt>
                <c:pt idx="364">
                  <c:v>103.02636129719748</c:v>
                </c:pt>
                <c:pt idx="365">
                  <c:v>102.66962302018777</c:v>
                </c:pt>
                <c:pt idx="366">
                  <c:v>102.31885895422003</c:v>
                </c:pt>
                <c:pt idx="367">
                  <c:v>101.97393054606189</c:v>
                </c:pt>
                <c:pt idx="368">
                  <c:v>101.63469944897039</c:v>
                </c:pt>
                <c:pt idx="369">
                  <c:v>101.3010276173159</c:v>
                </c:pt>
                <c:pt idx="370">
                  <c:v>100.97277739286351</c:v>
                </c:pt>
                <c:pt idx="371">
                  <c:v>100.64981158308237</c:v>
                </c:pt>
                <c:pt idx="372">
                  <c:v>100.33199353185344</c:v>
                </c:pt>
                <c:pt idx="373">
                  <c:v>100.01918718293813</c:v>
                </c:pt>
                <c:pt idx="374">
                  <c:v>99.711257136566246</c:v>
                </c:pt>
                <c:pt idx="375">
                  <c:v>99.408068699493782</c:v>
                </c:pt>
                <c:pt idx="376">
                  <c:v>99.109487928872326</c:v>
                </c:pt>
                <c:pt idx="377">
                  <c:v>98.815381670263449</c:v>
                </c:pt>
                <c:pt idx="378">
                  <c:v>98.525617590120646</c:v>
                </c:pt>
                <c:pt idx="379">
                  <c:v>98.240064203052469</c:v>
                </c:pt>
                <c:pt idx="380">
                  <c:v>97.958590894168594</c:v>
                </c:pt>
                <c:pt idx="381">
                  <c:v>97.68106793680036</c:v>
                </c:pt>
                <c:pt idx="382">
                  <c:v>97.407366505876055</c:v>
                </c:pt>
                <c:pt idx="383">
                  <c:v>97.137358687220171</c:v>
                </c:pt>
                <c:pt idx="384">
                  <c:v>96.87091748303483</c:v>
                </c:pt>
                <c:pt idx="385">
                  <c:v>96.607916813811244</c:v>
                </c:pt>
                <c:pt idx="386">
                  <c:v>96.348231516906779</c:v>
                </c:pt>
                <c:pt idx="387">
                  <c:v>96.091737342014355</c:v>
                </c:pt>
                <c:pt idx="388">
                  <c:v>95.838310943740026</c:v>
                </c:pt>
                <c:pt idx="389">
                  <c:v>95.587829871494094</c:v>
                </c:pt>
                <c:pt idx="390">
                  <c:v>95.340172556892725</c:v>
                </c:pt>
                <c:pt idx="391">
                  <c:v>95.095218298856338</c:v>
                </c:pt>
                <c:pt idx="392">
                  <c:v>94.852847246583522</c:v>
                </c:pt>
                <c:pt idx="393">
                  <c:v>94.61294038057008</c:v>
                </c:pt>
                <c:pt idx="394">
                  <c:v>94.375379491834963</c:v>
                </c:pt>
                <c:pt idx="395">
                  <c:v>94.140047159507219</c:v>
                </c:pt>
                <c:pt idx="396">
                  <c:v>93.906826726921153</c:v>
                </c:pt>
                <c:pt idx="397">
                  <c:v>93.67560227636001</c:v>
                </c:pt>
                <c:pt idx="398">
                  <c:v>93.446258602582432</c:v>
                </c:pt>
                <c:pt idx="399">
                  <c:v>93.218681185259882</c:v>
                </c:pt>
                <c:pt idx="400">
                  <c:v>92.992756160448138</c:v>
                </c:pt>
                <c:pt idx="401">
                  <c:v>92.768370291211383</c:v>
                </c:pt>
                <c:pt idx="402">
                  <c:v>92.545410937512088</c:v>
                </c:pt>
                <c:pt idx="403">
                  <c:v>92.323766025476885</c:v>
                </c:pt>
                <c:pt idx="404">
                  <c:v>92.103324016144668</c:v>
                </c:pt>
                <c:pt idx="405">
                  <c:v>91.883973873800173</c:v>
                </c:pt>
                <c:pt idx="406">
                  <c:v>91.665605033993387</c:v>
                </c:pt>
                <c:pt idx="407">
                  <c:v>91.44810737134371</c:v>
                </c:pt>
                <c:pt idx="408">
                  <c:v>91.231371167225106</c:v>
                </c:pt>
                <c:pt idx="409">
                  <c:v>91.015287077427828</c:v>
                </c:pt>
                <c:pt idx="410">
                  <c:v>90.799746099891607</c:v>
                </c:pt>
                <c:pt idx="411">
                  <c:v>90.584639542603824</c:v>
                </c:pt>
                <c:pt idx="412">
                  <c:v>90.369858991757241</c:v>
                </c:pt>
                <c:pt idx="413">
                  <c:v>90.155296280262206</c:v>
                </c:pt>
                <c:pt idx="414">
                  <c:v>89.940843456708166</c:v>
                </c:pt>
                <c:pt idx="415">
                  <c:v>89.72639275487181</c:v>
                </c:pt>
                <c:pt idx="416">
                  <c:v>89.511836563870759</c:v>
                </c:pt>
                <c:pt idx="417">
                  <c:v>89.297067399062826</c:v>
                </c:pt>
                <c:pt idx="418">
                  <c:v>89.081977873795552</c:v>
                </c:pt>
                <c:pt idx="419">
                  <c:v>88.8664606721117</c:v>
                </c:pt>
                <c:pt idx="420">
                  <c:v>88.65040852252136</c:v>
                </c:pt>
                <c:pt idx="421">
                  <c:v>88.433714172954637</c:v>
                </c:pt>
                <c:pt idx="422">
                  <c:v>88.216270367014403</c:v>
                </c:pt>
                <c:pt idx="423">
                  <c:v>87.997969821651068</c:v>
                </c:pt>
                <c:pt idx="424">
                  <c:v>87.778705206390427</c:v>
                </c:pt>
                <c:pt idx="425">
                  <c:v>87.558369124247278</c:v>
                </c:pt>
                <c:pt idx="426">
                  <c:v>87.336854094467</c:v>
                </c:pt>
                <c:pt idx="427">
                  <c:v>87.114052537242713</c:v>
                </c:pt>
                <c:pt idx="428">
                  <c:v>86.889856760563362</c:v>
                </c:pt>
                <c:pt idx="429">
                  <c:v>86.664158949352512</c:v>
                </c:pt>
                <c:pt idx="430">
                  <c:v>86.436851157073008</c:v>
                </c:pt>
                <c:pt idx="431">
                  <c:v>86.207825299971859</c:v>
                </c:pt>
                <c:pt idx="432">
                  <c:v>85.976973154156653</c:v>
                </c:pt>
                <c:pt idx="433">
                  <c:v>85.744186355697238</c:v>
                </c:pt>
                <c:pt idx="434">
                  <c:v>85.509356403963139</c:v>
                </c:pt>
                <c:pt idx="435">
                  <c:v>85.272374668409967</c:v>
                </c:pt>
                <c:pt idx="436">
                  <c:v>85.033132399043794</c:v>
                </c:pt>
                <c:pt idx="437">
                  <c:v>84.791520740799172</c:v>
                </c:pt>
                <c:pt idx="438">
                  <c:v>84.54743075208161</c:v>
                </c:pt>
                <c:pt idx="439">
                  <c:v>84.300753427730754</c:v>
                </c:pt>
                <c:pt idx="440">
                  <c:v>84.051379726676188</c:v>
                </c:pt>
                <c:pt idx="441">
                  <c:v>83.799200604567233</c:v>
                </c:pt>
                <c:pt idx="442">
                  <c:v>83.544107051667496</c:v>
                </c:pt>
                <c:pt idx="443">
                  <c:v>83.285990136320166</c:v>
                </c:pt>
                <c:pt idx="444">
                  <c:v>83.024741054295305</c:v>
                </c:pt>
                <c:pt idx="445">
                  <c:v>82.760251184344853</c:v>
                </c:pt>
                <c:pt idx="446">
                  <c:v>82.492412150300538</c:v>
                </c:pt>
                <c:pt idx="447">
                  <c:v>82.221115890055998</c:v>
                </c:pt>
                <c:pt idx="448">
                  <c:v>81.946254731787221</c:v>
                </c:pt>
                <c:pt idx="449">
                  <c:v>81.667721477768822</c:v>
                </c:pt>
                <c:pt idx="450">
                  <c:v>81.385409496153784</c:v>
                </c:pt>
                <c:pt idx="451">
                  <c:v>81.099212821086155</c:v>
                </c:pt>
                <c:pt idx="452">
                  <c:v>80.809026261521055</c:v>
                </c:pt>
                <c:pt idx="453">
                  <c:v>80.514745519126478</c:v>
                </c:pt>
                <c:pt idx="454">
                  <c:v>80.216267315643364</c:v>
                </c:pt>
                <c:pt idx="455">
                  <c:v>79.91348953007288</c:v>
                </c:pt>
                <c:pt idx="456">
                  <c:v>79.606311346057609</c:v>
                </c:pt>
                <c:pt idx="457">
                  <c:v>79.294633409812107</c:v>
                </c:pt>
                <c:pt idx="458">
                  <c:v>78.978357998944745</c:v>
                </c:pt>
                <c:pt idx="459">
                  <c:v>78.657389202499829</c:v>
                </c:pt>
                <c:pt idx="460">
                  <c:v>78.331633112522411</c:v>
                </c:pt>
                <c:pt idx="461">
                  <c:v>78.0009980274273</c:v>
                </c:pt>
                <c:pt idx="462">
                  <c:v>77.665394667420884</c:v>
                </c:pt>
                <c:pt idx="463">
                  <c:v>77.324736402186431</c:v>
                </c:pt>
                <c:pt idx="464">
                  <c:v>76.978939491004823</c:v>
                </c:pt>
                <c:pt idx="465">
                  <c:v>76.627923335429401</c:v>
                </c:pt>
                <c:pt idx="466">
                  <c:v>76.271610744581437</c:v>
                </c:pt>
                <c:pt idx="467">
                  <c:v>75.909928213066152</c:v>
                </c:pt>
                <c:pt idx="468">
                  <c:v>75.542806211442112</c:v>
                </c:pt>
                <c:pt idx="469">
                  <c:v>75.170179489093996</c:v>
                </c:pt>
                <c:pt idx="470">
                  <c:v>74.791987389275789</c:v>
                </c:pt>
                <c:pt idx="471">
                  <c:v>74.408174175992258</c:v>
                </c:pt>
                <c:pt idx="472">
                  <c:v>74.018689372285209</c:v>
                </c:pt>
                <c:pt idx="473">
                  <c:v>73.623488109376439</c:v>
                </c:pt>
                <c:pt idx="474">
                  <c:v>73.222531485998942</c:v>
                </c:pt>
                <c:pt idx="475">
                  <c:v>72.815786937118659</c:v>
                </c:pt>
                <c:pt idx="476">
                  <c:v>72.403228611108148</c:v>
                </c:pt>
                <c:pt idx="477">
                  <c:v>71.984837754294361</c:v>
                </c:pt>
                <c:pt idx="478">
                  <c:v>71.560603101644347</c:v>
                </c:pt>
                <c:pt idx="479">
                  <c:v>71.130521272197669</c:v>
                </c:pt>
                <c:pt idx="480">
                  <c:v>70.694597167693814</c:v>
                </c:pt>
                <c:pt idx="481">
                  <c:v>70.252844372670765</c:v>
                </c:pt>
                <c:pt idx="482">
                  <c:v>69.805285554148043</c:v>
                </c:pt>
                <c:pt idx="483">
                  <c:v>69.351952858838217</c:v>
                </c:pt>
                <c:pt idx="484">
                  <c:v>68.892888305661018</c:v>
                </c:pt>
                <c:pt idx="485">
                  <c:v>68.428144171176982</c:v>
                </c:pt>
                <c:pt idx="486">
                  <c:v>67.957783365400232</c:v>
                </c:pt>
                <c:pt idx="487">
                  <c:v>67.481879795301623</c:v>
                </c:pt>
                <c:pt idx="488">
                  <c:v>67.000518713186935</c:v>
                </c:pt>
                <c:pt idx="489">
                  <c:v>66.51379704700885</c:v>
                </c:pt>
                <c:pt idx="490">
                  <c:v>66.021823709578996</c:v>
                </c:pt>
                <c:pt idx="491">
                  <c:v>65.524719883568977</c:v>
                </c:pt>
                <c:pt idx="492">
                  <c:v>65.022619279133195</c:v>
                </c:pt>
                <c:pt idx="493">
                  <c:v>64.515668360970167</c:v>
                </c:pt>
                <c:pt idx="494">
                  <c:v>64.004026541646425</c:v>
                </c:pt>
                <c:pt idx="495">
                  <c:v>63.487866338048718</c:v>
                </c:pt>
                <c:pt idx="496">
                  <c:v>62.967373487915935</c:v>
                </c:pt>
                <c:pt idx="497">
                  <c:v>62.442747023521427</c:v>
                </c:pt>
                <c:pt idx="498">
                  <c:v>61.91419929974235</c:v>
                </c:pt>
                <c:pt idx="499">
                  <c:v>61.381955973954369</c:v>
                </c:pt>
                <c:pt idx="500">
                  <c:v>60.846255935443565</c:v>
                </c:pt>
                <c:pt idx="501">
                  <c:v>60.307351182313816</c:v>
                </c:pt>
                <c:pt idx="502">
                  <c:v>59.765506644215243</c:v>
                </c:pt>
                <c:pt idx="503">
                  <c:v>59.220999949572843</c:v>
                </c:pt>
                <c:pt idx="504">
                  <c:v>58.674121136430401</c:v>
                </c:pt>
                <c:pt idx="505">
                  <c:v>58.125172306451347</c:v>
                </c:pt>
                <c:pt idx="506">
                  <c:v>57.574467222107636</c:v>
                </c:pt>
                <c:pt idx="507">
                  <c:v>57.022330847575816</c:v>
                </c:pt>
                <c:pt idx="508">
                  <c:v>56.469098834386529</c:v>
                </c:pt>
                <c:pt idx="509">
                  <c:v>55.915116953392143</c:v>
                </c:pt>
                <c:pt idx="510">
                  <c:v>55.36074047515698</c:v>
                </c:pt>
                <c:pt idx="511">
                  <c:v>54.806333501391173</c:v>
                </c:pt>
                <c:pt idx="512">
                  <c:v>54.252268250569649</c:v>
                </c:pt>
                <c:pt idx="513">
                  <c:v>53.698924301365572</c:v>
                </c:pt>
                <c:pt idx="514">
                  <c:v>53.146687797986765</c:v>
                </c:pt>
                <c:pt idx="515">
                  <c:v>52.59595062193312</c:v>
                </c:pt>
                <c:pt idx="516">
                  <c:v>52.047109535060741</c:v>
                </c:pt>
                <c:pt idx="517">
                  <c:v>51.500565299173346</c:v>
                </c:pt>
                <c:pt idx="518">
                  <c:v>50.956721777619492</c:v>
                </c:pt>
                <c:pt idx="519">
                  <c:v>50.415985024580749</c:v>
                </c:pt>
                <c:pt idx="520">
                  <c:v>49.878762367869889</c:v>
                </c:pt>
                <c:pt idx="521">
                  <c:v>49.34546149111609</c:v>
                </c:pt>
                <c:pt idx="522">
                  <c:v>48.816489521219161</c:v>
                </c:pt>
                <c:pt idx="523">
                  <c:v>48.292252126857377</c:v>
                </c:pt>
                <c:pt idx="524">
                  <c:v>47.773152633698146</c:v>
                </c:pt>
                <c:pt idx="525">
                  <c:v>47.2595911617369</c:v>
                </c:pt>
                <c:pt idx="526">
                  <c:v>46.751963789905389</c:v>
                </c:pt>
                <c:pt idx="527">
                  <c:v>46.250661752756088</c:v>
                </c:pt>
                <c:pt idx="528">
                  <c:v>45.756070673635271</c:v>
                </c:pt>
                <c:pt idx="529">
                  <c:v>45.268569838311933</c:v>
                </c:pt>
                <c:pt idx="530">
                  <c:v>44.788531512572611</c:v>
                </c:pt>
                <c:pt idx="531">
                  <c:v>44.316320306763338</c:v>
                </c:pt>
                <c:pt idx="532">
                  <c:v>43.852292589755471</c:v>
                </c:pt>
                <c:pt idx="533">
                  <c:v>43.39679595425558</c:v>
                </c:pt>
                <c:pt idx="534">
                  <c:v>42.950168734851232</c:v>
                </c:pt>
                <c:pt idx="535">
                  <c:v>42.51273957962799</c:v>
                </c:pt>
                <c:pt idx="536">
                  <c:v>42.084827075684494</c:v>
                </c:pt>
                <c:pt idx="537">
                  <c:v>41.66673942833603</c:v>
                </c:pt>
                <c:pt idx="538">
                  <c:v>41.258774193335313</c:v>
                </c:pt>
                <c:pt idx="539">
                  <c:v>40.861218060963814</c:v>
                </c:pt>
                <c:pt idx="540">
                  <c:v>40.47434669043092</c:v>
                </c:pt>
                <c:pt idx="541">
                  <c:v>40.098424592633933</c:v>
                </c:pt>
              </c:numCache>
            </c:numRef>
          </c:yVal>
          <c:smooth val="1"/>
          <c:extLst>
            <c:ext xmlns:c16="http://schemas.microsoft.com/office/drawing/2014/chart" uri="{C3380CC4-5D6E-409C-BE32-E72D297353CC}">
              <c16:uniqueId val="{00000001-1B3F-4802-9751-4D21F96C72BF}"/>
            </c:ext>
          </c:extLst>
        </c:ser>
        <c:dLbls>
          <c:showLegendKey val="0"/>
          <c:showVal val="0"/>
          <c:showCatName val="0"/>
          <c:showSerName val="0"/>
          <c:showPercent val="0"/>
          <c:showBubbleSize val="0"/>
        </c:dLbls>
        <c:axId val="385829504"/>
        <c:axId val="385827968"/>
      </c:scatterChart>
      <c:valAx>
        <c:axId val="385819776"/>
        <c:scaling>
          <c:logBase val="10"/>
          <c:orientation val="minMax"/>
          <c:max val="2200000"/>
          <c:min val="10"/>
        </c:scaling>
        <c:delete val="0"/>
        <c:axPos val="b"/>
        <c:minorGridlines/>
        <c:title>
          <c:tx>
            <c:rich>
              <a:bodyPr/>
              <a:lstStyle/>
              <a:p>
                <a:pPr>
                  <a:defRPr/>
                </a:pPr>
                <a:r>
                  <a:rPr lang="en-US"/>
                  <a:t>Frequency</a:t>
                </a:r>
                <a:r>
                  <a:rPr lang="en-US" baseline="0"/>
                  <a:t> (Hz)</a:t>
                </a:r>
                <a:endParaRPr lang="en-US"/>
              </a:p>
            </c:rich>
          </c:tx>
          <c:overlay val="0"/>
        </c:title>
        <c:numFmt formatCode="0" sourceLinked="0"/>
        <c:majorTickMark val="out"/>
        <c:minorTickMark val="none"/>
        <c:tickLblPos val="low"/>
        <c:crossAx val="385821696"/>
        <c:crosses val="autoZero"/>
        <c:crossBetween val="midCat"/>
      </c:valAx>
      <c:valAx>
        <c:axId val="385821696"/>
        <c:scaling>
          <c:orientation val="minMax"/>
          <c:max val="40"/>
          <c:min val="-40"/>
        </c:scaling>
        <c:delete val="0"/>
        <c:axPos val="l"/>
        <c:majorGridlines/>
        <c:minorGridlines/>
        <c:title>
          <c:tx>
            <c:rich>
              <a:bodyPr rot="-5400000" vert="horz"/>
              <a:lstStyle/>
              <a:p>
                <a:pPr>
                  <a:defRPr/>
                </a:pPr>
                <a:r>
                  <a:rPr lang="en-US"/>
                  <a:t>Gain</a:t>
                </a:r>
                <a:r>
                  <a:rPr lang="en-US" baseline="0"/>
                  <a:t> (dB)</a:t>
                </a:r>
                <a:endParaRPr lang="en-US"/>
              </a:p>
            </c:rich>
          </c:tx>
          <c:overlay val="0"/>
        </c:title>
        <c:numFmt formatCode="General" sourceLinked="0"/>
        <c:majorTickMark val="out"/>
        <c:minorTickMark val="none"/>
        <c:tickLblPos val="nextTo"/>
        <c:crossAx val="385819776"/>
        <c:crosses val="autoZero"/>
        <c:crossBetween val="midCat"/>
        <c:majorUnit val="20"/>
        <c:minorUnit val="10"/>
      </c:valAx>
      <c:valAx>
        <c:axId val="385827968"/>
        <c:scaling>
          <c:orientation val="minMax"/>
          <c:max val="180"/>
          <c:min val="-180"/>
        </c:scaling>
        <c:delete val="0"/>
        <c:axPos val="r"/>
        <c:numFmt formatCode="General" sourceLinked="1"/>
        <c:majorTickMark val="out"/>
        <c:minorTickMark val="none"/>
        <c:tickLblPos val="nextTo"/>
        <c:crossAx val="385829504"/>
        <c:crosses val="max"/>
        <c:crossBetween val="midCat"/>
        <c:majorUnit val="90"/>
        <c:minorUnit val="45"/>
      </c:valAx>
      <c:valAx>
        <c:axId val="385829504"/>
        <c:scaling>
          <c:logBase val="10"/>
          <c:orientation val="minMax"/>
        </c:scaling>
        <c:delete val="1"/>
        <c:axPos val="b"/>
        <c:numFmt formatCode="0.00" sourceLinked="1"/>
        <c:majorTickMark val="out"/>
        <c:minorTickMark val="none"/>
        <c:tickLblPos val="nextTo"/>
        <c:crossAx val="385827968"/>
        <c:crosses val="autoZero"/>
        <c:crossBetween val="midCat"/>
      </c:valAx>
    </c:plotArea>
    <c:legend>
      <c:legendPos val="r"/>
      <c:layout>
        <c:manualLayout>
          <c:xMode val="edge"/>
          <c:yMode val="edge"/>
          <c:x val="0.79880558209512509"/>
          <c:y val="0.14321997959862004"/>
          <c:w val="0.13459449276057311"/>
          <c:h val="0.10691609861199437"/>
        </c:manualLayout>
      </c:layout>
      <c:overlay val="1"/>
      <c:spPr>
        <a:solidFill>
          <a:schemeClr val="bg1"/>
        </a:solidFill>
      </c:spPr>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Error</a:t>
            </a:r>
            <a:r>
              <a:rPr lang="en-US" baseline="0"/>
              <a:t> Amplifier Transfer</a:t>
            </a:r>
          </a:p>
        </c:rich>
      </c:tx>
      <c:overlay val="0"/>
    </c:title>
    <c:autoTitleDeleted val="0"/>
    <c:plotArea>
      <c:layout/>
      <c:scatterChart>
        <c:scatterStyle val="smoothMarker"/>
        <c:varyColors val="0"/>
        <c:ser>
          <c:idx val="0"/>
          <c:order val="0"/>
          <c:marker>
            <c:symbol val="none"/>
          </c:marker>
          <c:xVal>
            <c:numRef>
              <c:f>CCM_Loop_Modeling_non_isolated!$O$19:$O$560</c:f>
              <c:numCache>
                <c:formatCode>0.00</c:formatCode>
                <c:ptCount val="542"/>
                <c:pt idx="0">
                  <c:v>10.232929922807543</c:v>
                </c:pt>
                <c:pt idx="1">
                  <c:v>10.471285480509</c:v>
                </c:pt>
                <c:pt idx="2">
                  <c:v>10.715193052376069</c:v>
                </c:pt>
                <c:pt idx="3">
                  <c:v>10.964781961431854</c:v>
                </c:pt>
                <c:pt idx="4">
                  <c:v>11.220184543019636</c:v>
                </c:pt>
                <c:pt idx="5">
                  <c:v>11.481536214968834</c:v>
                </c:pt>
                <c:pt idx="6">
                  <c:v>11.748975549395301</c:v>
                </c:pt>
                <c:pt idx="7">
                  <c:v>12.022644346174133</c:v>
                </c:pt>
                <c:pt idx="8">
                  <c:v>12.302687708123818</c:v>
                </c:pt>
                <c:pt idx="9">
                  <c:v>12.58925411794168</c:v>
                </c:pt>
                <c:pt idx="10">
                  <c:v>12.882495516931346</c:v>
                </c:pt>
                <c:pt idx="11">
                  <c:v>13.182567385564075</c:v>
                </c:pt>
                <c:pt idx="12">
                  <c:v>13.489628825916535</c:v>
                </c:pt>
                <c:pt idx="13">
                  <c:v>13.803842646028857</c:v>
                </c:pt>
                <c:pt idx="14">
                  <c:v>14.125375446227544</c:v>
                </c:pt>
                <c:pt idx="15">
                  <c:v>14.454397707459275</c:v>
                </c:pt>
                <c:pt idx="16">
                  <c:v>14.791083881682074</c:v>
                </c:pt>
                <c:pt idx="17">
                  <c:v>15.135612484362087</c:v>
                </c:pt>
                <c:pt idx="18">
                  <c:v>15.488166189124817</c:v>
                </c:pt>
                <c:pt idx="19">
                  <c:v>15.848931924611136</c:v>
                </c:pt>
                <c:pt idx="20">
                  <c:v>16.218100973589298</c:v>
                </c:pt>
                <c:pt idx="21">
                  <c:v>16.595869074375614</c:v>
                </c:pt>
                <c:pt idx="22">
                  <c:v>16.982436524617448</c:v>
                </c:pt>
                <c:pt idx="23">
                  <c:v>17.378008287493756</c:v>
                </c:pt>
                <c:pt idx="24">
                  <c:v>17.782794100389236</c:v>
                </c:pt>
                <c:pt idx="25">
                  <c:v>18.197008586099841</c:v>
                </c:pt>
                <c:pt idx="26">
                  <c:v>18.62087136662868</c:v>
                </c:pt>
                <c:pt idx="27">
                  <c:v>19.054607179632477</c:v>
                </c:pt>
                <c:pt idx="28">
                  <c:v>19.498445997580465</c:v>
                </c:pt>
                <c:pt idx="29">
                  <c:v>19.952623149688804</c:v>
                </c:pt>
                <c:pt idx="30">
                  <c:v>20.4173794466953</c:v>
                </c:pt>
                <c:pt idx="31">
                  <c:v>20.8929613085404</c:v>
                </c:pt>
                <c:pt idx="32">
                  <c:v>21.379620895022335</c:v>
                </c:pt>
                <c:pt idx="33">
                  <c:v>21.877616239495538</c:v>
                </c:pt>
                <c:pt idx="34">
                  <c:v>22.387211385683404</c:v>
                </c:pt>
                <c:pt idx="35">
                  <c:v>22.908676527677727</c:v>
                </c:pt>
                <c:pt idx="36">
                  <c:v>23.442288153199236</c:v>
                </c:pt>
                <c:pt idx="37">
                  <c:v>23.988329190194907</c:v>
                </c:pt>
                <c:pt idx="38">
                  <c:v>24.547089156850316</c:v>
                </c:pt>
                <c:pt idx="39">
                  <c:v>25.118864315095799</c:v>
                </c:pt>
                <c:pt idx="40">
                  <c:v>25.703957827688647</c:v>
                </c:pt>
                <c:pt idx="41">
                  <c:v>26.302679918953825</c:v>
                </c:pt>
                <c:pt idx="42">
                  <c:v>26.915348039269158</c:v>
                </c:pt>
                <c:pt idx="43">
                  <c:v>27.542287033381665</c:v>
                </c:pt>
                <c:pt idx="44">
                  <c:v>28.183829312644548</c:v>
                </c:pt>
                <c:pt idx="45">
                  <c:v>28.840315031266066</c:v>
                </c:pt>
                <c:pt idx="46">
                  <c:v>29.512092266663863</c:v>
                </c:pt>
                <c:pt idx="47">
                  <c:v>30.199517204020164</c:v>
                </c:pt>
                <c:pt idx="48">
                  <c:v>30.902954325135919</c:v>
                </c:pt>
                <c:pt idx="49">
                  <c:v>31.622776601683803</c:v>
                </c:pt>
                <c:pt idx="50">
                  <c:v>32.359365692962832</c:v>
                </c:pt>
                <c:pt idx="51">
                  <c:v>33.113112148259127</c:v>
                </c:pt>
                <c:pt idx="52">
                  <c:v>33.884415613920268</c:v>
                </c:pt>
                <c:pt idx="53">
                  <c:v>34.67368504525318</c:v>
                </c:pt>
                <c:pt idx="54">
                  <c:v>35.481338923357555</c:v>
                </c:pt>
                <c:pt idx="55">
                  <c:v>36.307805477010156</c:v>
                </c:pt>
                <c:pt idx="56">
                  <c:v>37.15352290971726</c:v>
                </c:pt>
                <c:pt idx="57">
                  <c:v>38.018939632056139</c:v>
                </c:pt>
                <c:pt idx="58">
                  <c:v>38.904514499428053</c:v>
                </c:pt>
                <c:pt idx="59">
                  <c:v>39.810717055349755</c:v>
                </c:pt>
                <c:pt idx="60">
                  <c:v>40.738027780411279</c:v>
                </c:pt>
                <c:pt idx="61">
                  <c:v>41.686938347033561</c:v>
                </c:pt>
                <c:pt idx="62">
                  <c:v>42.657951880159267</c:v>
                </c:pt>
                <c:pt idx="63">
                  <c:v>43.651583224016633</c:v>
                </c:pt>
                <c:pt idx="64">
                  <c:v>44.668359215096324</c:v>
                </c:pt>
                <c:pt idx="65">
                  <c:v>45.70881896148753</c:v>
                </c:pt>
                <c:pt idx="66">
                  <c:v>46.773514128719818</c:v>
                </c:pt>
                <c:pt idx="67">
                  <c:v>47.863009232263877</c:v>
                </c:pt>
                <c:pt idx="68">
                  <c:v>48.977881936844632</c:v>
                </c:pt>
                <c:pt idx="69">
                  <c:v>50.118723362727238</c:v>
                </c:pt>
                <c:pt idx="70">
                  <c:v>51.28613839913649</c:v>
                </c:pt>
                <c:pt idx="71">
                  <c:v>52.480746024977286</c:v>
                </c:pt>
                <c:pt idx="72">
                  <c:v>53.703179637025293</c:v>
                </c:pt>
                <c:pt idx="73">
                  <c:v>54.95408738576247</c:v>
                </c:pt>
                <c:pt idx="74">
                  <c:v>56.234132519034915</c:v>
                </c:pt>
                <c:pt idx="75">
                  <c:v>57.543993733715695</c:v>
                </c:pt>
                <c:pt idx="76">
                  <c:v>58.884365535558949</c:v>
                </c:pt>
                <c:pt idx="77">
                  <c:v>60.255958607435822</c:v>
                </c:pt>
                <c:pt idx="78">
                  <c:v>61.659500186148257</c:v>
                </c:pt>
                <c:pt idx="79">
                  <c:v>63.095734448019364</c:v>
                </c:pt>
                <c:pt idx="80">
                  <c:v>64.565422903465588</c:v>
                </c:pt>
                <c:pt idx="81">
                  <c:v>66.069344800759623</c:v>
                </c:pt>
                <c:pt idx="82">
                  <c:v>67.60829753919819</c:v>
                </c:pt>
                <c:pt idx="83">
                  <c:v>69.183097091893657</c:v>
                </c:pt>
                <c:pt idx="84">
                  <c:v>70.794578438413865</c:v>
                </c:pt>
                <c:pt idx="85">
                  <c:v>72.443596007499011</c:v>
                </c:pt>
                <c:pt idx="86">
                  <c:v>74.131024130091816</c:v>
                </c:pt>
                <c:pt idx="87">
                  <c:v>75.857757502918361</c:v>
                </c:pt>
                <c:pt idx="88">
                  <c:v>77.624711662869217</c:v>
                </c:pt>
                <c:pt idx="89">
                  <c:v>79.432823472428197</c:v>
                </c:pt>
                <c:pt idx="90">
                  <c:v>81.283051616409963</c:v>
                </c:pt>
                <c:pt idx="91">
                  <c:v>83.176377110267126</c:v>
                </c:pt>
                <c:pt idx="92">
                  <c:v>85.113803820237734</c:v>
                </c:pt>
                <c:pt idx="93">
                  <c:v>87.096358995608071</c:v>
                </c:pt>
                <c:pt idx="94">
                  <c:v>89.125093813374562</c:v>
                </c:pt>
                <c:pt idx="95">
                  <c:v>91.201083935590972</c:v>
                </c:pt>
                <c:pt idx="96">
                  <c:v>93.325430079699174</c:v>
                </c:pt>
                <c:pt idx="97">
                  <c:v>95.499258602143655</c:v>
                </c:pt>
                <c:pt idx="98">
                  <c:v>97.723722095581124</c:v>
                </c:pt>
                <c:pt idx="99">
                  <c:v>100</c:v>
                </c:pt>
                <c:pt idx="100">
                  <c:v>102.32929922807544</c:v>
                </c:pt>
                <c:pt idx="101">
                  <c:v>104.71285480508998</c:v>
                </c:pt>
                <c:pt idx="102">
                  <c:v>107.15193052376065</c:v>
                </c:pt>
                <c:pt idx="103">
                  <c:v>109.64781961431861</c:v>
                </c:pt>
                <c:pt idx="104">
                  <c:v>112.20184543019634</c:v>
                </c:pt>
                <c:pt idx="105">
                  <c:v>114.81536214968835</c:v>
                </c:pt>
                <c:pt idx="106">
                  <c:v>117.48975549395293</c:v>
                </c:pt>
                <c:pt idx="107">
                  <c:v>120.22644346174135</c:v>
                </c:pt>
                <c:pt idx="108">
                  <c:v>123.02687708123821</c:v>
                </c:pt>
                <c:pt idx="109">
                  <c:v>125.89254117941677</c:v>
                </c:pt>
                <c:pt idx="110">
                  <c:v>128.82495516931343</c:v>
                </c:pt>
                <c:pt idx="111">
                  <c:v>131.82567385564084</c:v>
                </c:pt>
                <c:pt idx="112">
                  <c:v>134.89628825916537</c:v>
                </c:pt>
                <c:pt idx="113">
                  <c:v>138.0384264602886</c:v>
                </c:pt>
                <c:pt idx="114">
                  <c:v>141.25375446227542</c:v>
                </c:pt>
                <c:pt idx="115">
                  <c:v>144.54397707459285</c:v>
                </c:pt>
                <c:pt idx="116">
                  <c:v>147.91083881682084</c:v>
                </c:pt>
                <c:pt idx="117">
                  <c:v>151.3561248436209</c:v>
                </c:pt>
                <c:pt idx="118">
                  <c:v>154.8816618912482</c:v>
                </c:pt>
                <c:pt idx="119">
                  <c:v>158.48931924611153</c:v>
                </c:pt>
                <c:pt idx="120">
                  <c:v>162.18100973589304</c:v>
                </c:pt>
                <c:pt idx="121">
                  <c:v>165.95869074375622</c:v>
                </c:pt>
                <c:pt idx="122">
                  <c:v>169.82436524617444</c:v>
                </c:pt>
                <c:pt idx="123">
                  <c:v>173.78008287493768</c:v>
                </c:pt>
                <c:pt idx="124">
                  <c:v>177.82794100389242</c:v>
                </c:pt>
                <c:pt idx="125">
                  <c:v>181.9700858609983</c:v>
                </c:pt>
                <c:pt idx="126">
                  <c:v>186.20871366628685</c:v>
                </c:pt>
                <c:pt idx="127">
                  <c:v>190.54607179632498</c:v>
                </c:pt>
                <c:pt idx="128">
                  <c:v>194.98445997580458</c:v>
                </c:pt>
                <c:pt idx="129">
                  <c:v>199.52623149688802</c:v>
                </c:pt>
                <c:pt idx="130">
                  <c:v>204.17379446695315</c:v>
                </c:pt>
                <c:pt idx="131">
                  <c:v>208.92961308540396</c:v>
                </c:pt>
                <c:pt idx="132">
                  <c:v>213.79620895022339</c:v>
                </c:pt>
                <c:pt idx="133">
                  <c:v>218.77616239495524</c:v>
                </c:pt>
                <c:pt idx="134">
                  <c:v>223.87211385683412</c:v>
                </c:pt>
                <c:pt idx="135">
                  <c:v>229.08676527677744</c:v>
                </c:pt>
                <c:pt idx="136">
                  <c:v>234.42288153199232</c:v>
                </c:pt>
                <c:pt idx="137">
                  <c:v>239.88329190194912</c:v>
                </c:pt>
                <c:pt idx="138">
                  <c:v>245.4708915685033</c:v>
                </c:pt>
                <c:pt idx="139">
                  <c:v>251.18864315095806</c:v>
                </c:pt>
                <c:pt idx="140">
                  <c:v>257.03957827688663</c:v>
                </c:pt>
                <c:pt idx="141">
                  <c:v>263.02679918953817</c:v>
                </c:pt>
                <c:pt idx="142">
                  <c:v>269.15348039269179</c:v>
                </c:pt>
                <c:pt idx="143">
                  <c:v>275.42287033381683</c:v>
                </c:pt>
                <c:pt idx="144">
                  <c:v>281.83829312644554</c:v>
                </c:pt>
                <c:pt idx="145">
                  <c:v>288.40315031266073</c:v>
                </c:pt>
                <c:pt idx="146">
                  <c:v>295.12092266663871</c:v>
                </c:pt>
                <c:pt idx="147">
                  <c:v>301.99517204020168</c:v>
                </c:pt>
                <c:pt idx="148">
                  <c:v>309.02954325135937</c:v>
                </c:pt>
                <c:pt idx="149">
                  <c:v>316.22776601683825</c:v>
                </c:pt>
                <c:pt idx="150">
                  <c:v>323.59365692962825</c:v>
                </c:pt>
                <c:pt idx="151">
                  <c:v>331.13112148259137</c:v>
                </c:pt>
                <c:pt idx="152">
                  <c:v>338.84415613920277</c:v>
                </c:pt>
                <c:pt idx="153">
                  <c:v>346.73685045253183</c:v>
                </c:pt>
                <c:pt idx="154">
                  <c:v>354.81338923357566</c:v>
                </c:pt>
                <c:pt idx="155">
                  <c:v>363.07805477010152</c:v>
                </c:pt>
                <c:pt idx="156">
                  <c:v>371.53522909717265</c:v>
                </c:pt>
                <c:pt idx="157">
                  <c:v>380.18939632056163</c:v>
                </c:pt>
                <c:pt idx="158">
                  <c:v>389.04514499428063</c:v>
                </c:pt>
                <c:pt idx="159">
                  <c:v>398.10717055349761</c:v>
                </c:pt>
                <c:pt idx="160">
                  <c:v>407.38027780411272</c:v>
                </c:pt>
                <c:pt idx="161">
                  <c:v>416.86938347033572</c:v>
                </c:pt>
                <c:pt idx="162">
                  <c:v>426.57951880159294</c:v>
                </c:pt>
                <c:pt idx="163">
                  <c:v>436.51583224016622</c:v>
                </c:pt>
                <c:pt idx="164">
                  <c:v>446.68359215096331</c:v>
                </c:pt>
                <c:pt idx="165">
                  <c:v>457.0881896148756</c:v>
                </c:pt>
                <c:pt idx="166">
                  <c:v>467.7351412871983</c:v>
                </c:pt>
                <c:pt idx="167">
                  <c:v>478.63009232263886</c:v>
                </c:pt>
                <c:pt idx="168">
                  <c:v>489.77881936844625</c:v>
                </c:pt>
                <c:pt idx="169">
                  <c:v>501.18723362727269</c:v>
                </c:pt>
                <c:pt idx="170">
                  <c:v>512.86138399136519</c:v>
                </c:pt>
                <c:pt idx="171">
                  <c:v>524.80746024977248</c:v>
                </c:pt>
                <c:pt idx="172">
                  <c:v>537.03179637025301</c:v>
                </c:pt>
                <c:pt idx="173">
                  <c:v>549.54087385762534</c:v>
                </c:pt>
                <c:pt idx="174">
                  <c:v>562.34132519034927</c:v>
                </c:pt>
                <c:pt idx="175">
                  <c:v>575.43993733715706</c:v>
                </c:pt>
                <c:pt idx="176">
                  <c:v>588.84365535558959</c:v>
                </c:pt>
                <c:pt idx="177">
                  <c:v>602.55958607435832</c:v>
                </c:pt>
                <c:pt idx="178">
                  <c:v>616.59500186148273</c:v>
                </c:pt>
                <c:pt idx="179">
                  <c:v>630.95734448019323</c:v>
                </c:pt>
                <c:pt idx="180">
                  <c:v>645.65422903465594</c:v>
                </c:pt>
                <c:pt idx="181">
                  <c:v>660.69344800759643</c:v>
                </c:pt>
                <c:pt idx="182">
                  <c:v>676.08297539198213</c:v>
                </c:pt>
                <c:pt idx="183">
                  <c:v>691.83097091893671</c:v>
                </c:pt>
                <c:pt idx="184">
                  <c:v>707.94578438413873</c:v>
                </c:pt>
                <c:pt idx="185">
                  <c:v>724.43596007499025</c:v>
                </c:pt>
                <c:pt idx="186">
                  <c:v>741.31024130091828</c:v>
                </c:pt>
                <c:pt idx="187">
                  <c:v>758.57757502918378</c:v>
                </c:pt>
                <c:pt idx="188">
                  <c:v>776.24711662869231</c:v>
                </c:pt>
                <c:pt idx="189">
                  <c:v>794.32823472428208</c:v>
                </c:pt>
                <c:pt idx="190">
                  <c:v>812.83051616409978</c:v>
                </c:pt>
                <c:pt idx="191">
                  <c:v>831.7637711026714</c:v>
                </c:pt>
                <c:pt idx="192">
                  <c:v>851.13803820237763</c:v>
                </c:pt>
                <c:pt idx="193">
                  <c:v>870.96358995608091</c:v>
                </c:pt>
                <c:pt idx="194">
                  <c:v>891.25093813374656</c:v>
                </c:pt>
                <c:pt idx="195">
                  <c:v>912.01083935590987</c:v>
                </c:pt>
                <c:pt idx="196">
                  <c:v>933.25430079699106</c:v>
                </c:pt>
                <c:pt idx="197">
                  <c:v>954.99258602143675</c:v>
                </c:pt>
                <c:pt idx="198">
                  <c:v>977.23722095581138</c:v>
                </c:pt>
                <c:pt idx="199">
                  <c:v>1000</c:v>
                </c:pt>
                <c:pt idx="200">
                  <c:v>1023.2929922807547</c:v>
                </c:pt>
                <c:pt idx="201">
                  <c:v>1047.1285480509</c:v>
                </c:pt>
                <c:pt idx="202">
                  <c:v>1071.5193052376069</c:v>
                </c:pt>
                <c:pt idx="203">
                  <c:v>1096.4781961431863</c:v>
                </c:pt>
                <c:pt idx="204">
                  <c:v>1122.0184543019636</c:v>
                </c:pt>
                <c:pt idx="205">
                  <c:v>1148.1536214968839</c:v>
                </c:pt>
                <c:pt idx="206">
                  <c:v>1174.8975549395295</c:v>
                </c:pt>
                <c:pt idx="207">
                  <c:v>1202.2644346174138</c:v>
                </c:pt>
                <c:pt idx="208">
                  <c:v>1230.2687708123824</c:v>
                </c:pt>
                <c:pt idx="209">
                  <c:v>1258.925411794168</c:v>
                </c:pt>
                <c:pt idx="210">
                  <c:v>1288.2495516931347</c:v>
                </c:pt>
                <c:pt idx="211">
                  <c:v>1318.2567385564089</c:v>
                </c:pt>
                <c:pt idx="212">
                  <c:v>1348.9628825916541</c:v>
                </c:pt>
                <c:pt idx="213">
                  <c:v>1380.3842646028863</c:v>
                </c:pt>
                <c:pt idx="214">
                  <c:v>1412.5375446227545</c:v>
                </c:pt>
                <c:pt idx="215">
                  <c:v>1445.4397707459289</c:v>
                </c:pt>
                <c:pt idx="216">
                  <c:v>1479.1083881682086</c:v>
                </c:pt>
                <c:pt idx="217">
                  <c:v>1513.5612484362093</c:v>
                </c:pt>
                <c:pt idx="218">
                  <c:v>1548.8166189124822</c:v>
                </c:pt>
                <c:pt idx="219">
                  <c:v>1584.8931924611156</c:v>
                </c:pt>
                <c:pt idx="220">
                  <c:v>1621.8100973589308</c:v>
                </c:pt>
                <c:pt idx="221">
                  <c:v>1659.5869074375626</c:v>
                </c:pt>
                <c:pt idx="222">
                  <c:v>1698.2436524617447</c:v>
                </c:pt>
                <c:pt idx="223">
                  <c:v>1737.8008287493772</c:v>
                </c:pt>
                <c:pt idx="224">
                  <c:v>1778.2794100389244</c:v>
                </c:pt>
                <c:pt idx="225">
                  <c:v>1819.7008586099832</c:v>
                </c:pt>
                <c:pt idx="226">
                  <c:v>1862.0871366628687</c:v>
                </c:pt>
                <c:pt idx="227">
                  <c:v>1905.4607179632501</c:v>
                </c:pt>
                <c:pt idx="228">
                  <c:v>1949.8445997580463</c:v>
                </c:pt>
                <c:pt idx="229">
                  <c:v>1995.2623149688804</c:v>
                </c:pt>
                <c:pt idx="230">
                  <c:v>2041.7379446695318</c:v>
                </c:pt>
                <c:pt idx="231">
                  <c:v>2089.2961308540398</c:v>
                </c:pt>
                <c:pt idx="232">
                  <c:v>2137.9620895022344</c:v>
                </c:pt>
                <c:pt idx="233">
                  <c:v>2187.7616239495528</c:v>
                </c:pt>
                <c:pt idx="234">
                  <c:v>2238.7211385683418</c:v>
                </c:pt>
                <c:pt idx="235">
                  <c:v>2290.8676527677749</c:v>
                </c:pt>
                <c:pt idx="236">
                  <c:v>2344.2288153199238</c:v>
                </c:pt>
                <c:pt idx="237">
                  <c:v>2398.8329190194918</c:v>
                </c:pt>
                <c:pt idx="238">
                  <c:v>2454.7089156850338</c:v>
                </c:pt>
                <c:pt idx="239">
                  <c:v>2511.8864315095811</c:v>
                </c:pt>
                <c:pt idx="240">
                  <c:v>2570.3957827688669</c:v>
                </c:pt>
                <c:pt idx="241">
                  <c:v>2630.2679918953822</c:v>
                </c:pt>
                <c:pt idx="242">
                  <c:v>2691.5348039269184</c:v>
                </c:pt>
                <c:pt idx="243">
                  <c:v>2754.228703338169</c:v>
                </c:pt>
                <c:pt idx="244">
                  <c:v>2818.3829312644561</c:v>
                </c:pt>
                <c:pt idx="245">
                  <c:v>2884.0315031266077</c:v>
                </c:pt>
                <c:pt idx="246">
                  <c:v>2951.2092266663876</c:v>
                </c:pt>
                <c:pt idx="247">
                  <c:v>3019.9517204020176</c:v>
                </c:pt>
                <c:pt idx="248">
                  <c:v>3090.295432513592</c:v>
                </c:pt>
                <c:pt idx="249">
                  <c:v>3162.2776601683804</c:v>
                </c:pt>
                <c:pt idx="250">
                  <c:v>3235.9365692962833</c:v>
                </c:pt>
                <c:pt idx="251">
                  <c:v>3311.3112148259115</c:v>
                </c:pt>
                <c:pt idx="252">
                  <c:v>3388.4415613920314</c:v>
                </c:pt>
                <c:pt idx="253">
                  <c:v>3467.3685045253224</c:v>
                </c:pt>
                <c:pt idx="254">
                  <c:v>3548.1338923357539</c:v>
                </c:pt>
                <c:pt idx="255">
                  <c:v>3630.7805477010188</c:v>
                </c:pt>
                <c:pt idx="256">
                  <c:v>3715.352290971724</c:v>
                </c:pt>
                <c:pt idx="257">
                  <c:v>3801.8939632056172</c:v>
                </c:pt>
                <c:pt idx="258">
                  <c:v>3890.451449942811</c:v>
                </c:pt>
                <c:pt idx="259">
                  <c:v>3981.0717055349769</c:v>
                </c:pt>
                <c:pt idx="260">
                  <c:v>4073.8027780411317</c:v>
                </c:pt>
                <c:pt idx="261">
                  <c:v>4168.6938347033583</c:v>
                </c:pt>
                <c:pt idx="262">
                  <c:v>4265.7951880159299</c:v>
                </c:pt>
                <c:pt idx="263">
                  <c:v>4365.1583224016631</c:v>
                </c:pt>
                <c:pt idx="264">
                  <c:v>4466.8359215096343</c:v>
                </c:pt>
                <c:pt idx="265">
                  <c:v>4570.8818961487532</c:v>
                </c:pt>
                <c:pt idx="266">
                  <c:v>4677.3514128719844</c:v>
                </c:pt>
                <c:pt idx="267">
                  <c:v>4786.3009232263848</c:v>
                </c:pt>
                <c:pt idx="268">
                  <c:v>4897.7881936844633</c:v>
                </c:pt>
                <c:pt idx="269">
                  <c:v>5011.8723362727324</c:v>
                </c:pt>
                <c:pt idx="270">
                  <c:v>5128.6138399136489</c:v>
                </c:pt>
                <c:pt idx="271">
                  <c:v>5248.0746024977261</c:v>
                </c:pt>
                <c:pt idx="272">
                  <c:v>5370.3179637025269</c:v>
                </c:pt>
                <c:pt idx="273">
                  <c:v>5495.4087385762541</c:v>
                </c:pt>
                <c:pt idx="274">
                  <c:v>5623.4132519034993</c:v>
                </c:pt>
                <c:pt idx="275">
                  <c:v>5754.399373371567</c:v>
                </c:pt>
                <c:pt idx="276">
                  <c:v>5888.4365535558973</c:v>
                </c:pt>
                <c:pt idx="277">
                  <c:v>6025.595860743585</c:v>
                </c:pt>
                <c:pt idx="278">
                  <c:v>6165.9500186148289</c:v>
                </c:pt>
                <c:pt idx="279">
                  <c:v>6309.5734448019384</c:v>
                </c:pt>
                <c:pt idx="280">
                  <c:v>6456.5422903465615</c:v>
                </c:pt>
                <c:pt idx="281">
                  <c:v>6606.9344800759654</c:v>
                </c:pt>
                <c:pt idx="282">
                  <c:v>6760.8297539198229</c:v>
                </c:pt>
                <c:pt idx="283">
                  <c:v>6918.3097091893687</c:v>
                </c:pt>
                <c:pt idx="284">
                  <c:v>7079.4578438413828</c:v>
                </c:pt>
                <c:pt idx="285">
                  <c:v>7244.3596007499036</c:v>
                </c:pt>
                <c:pt idx="286">
                  <c:v>7413.1024130091773</c:v>
                </c:pt>
                <c:pt idx="287">
                  <c:v>7585.7757502918394</c:v>
                </c:pt>
                <c:pt idx="288">
                  <c:v>7762.4711662869322</c:v>
                </c:pt>
                <c:pt idx="289">
                  <c:v>7943.2823472428154</c:v>
                </c:pt>
                <c:pt idx="290">
                  <c:v>8128.3051616410066</c:v>
                </c:pt>
                <c:pt idx="291">
                  <c:v>8317.6377110267094</c:v>
                </c:pt>
                <c:pt idx="292">
                  <c:v>8511.3803820237772</c:v>
                </c:pt>
                <c:pt idx="293">
                  <c:v>8709.6358995608189</c:v>
                </c:pt>
                <c:pt idx="294">
                  <c:v>8912.5093813374679</c:v>
                </c:pt>
                <c:pt idx="295">
                  <c:v>9120.1083935591087</c:v>
                </c:pt>
                <c:pt idx="296">
                  <c:v>9332.5430079699217</c:v>
                </c:pt>
                <c:pt idx="297">
                  <c:v>9549.9258602143691</c:v>
                </c:pt>
                <c:pt idx="298">
                  <c:v>9772.3722095581161</c:v>
                </c:pt>
                <c:pt idx="299">
                  <c:v>10000</c:v>
                </c:pt>
                <c:pt idx="300">
                  <c:v>10232.929922807549</c:v>
                </c:pt>
                <c:pt idx="301">
                  <c:v>10471.285480509003</c:v>
                </c:pt>
                <c:pt idx="302">
                  <c:v>10715.193052376071</c:v>
                </c:pt>
                <c:pt idx="303">
                  <c:v>10964.781961431856</c:v>
                </c:pt>
                <c:pt idx="304">
                  <c:v>11220.184543019639</c:v>
                </c:pt>
                <c:pt idx="305">
                  <c:v>11481.536214968832</c:v>
                </c:pt>
                <c:pt idx="306">
                  <c:v>11748.975549395318</c:v>
                </c:pt>
                <c:pt idx="307">
                  <c:v>12022.644346174151</c:v>
                </c:pt>
                <c:pt idx="308">
                  <c:v>12302.687708123816</c:v>
                </c:pt>
                <c:pt idx="309">
                  <c:v>12589.254117941671</c:v>
                </c:pt>
                <c:pt idx="310">
                  <c:v>12882.49551693136</c:v>
                </c:pt>
                <c:pt idx="311">
                  <c:v>13182.567385564091</c:v>
                </c:pt>
                <c:pt idx="312">
                  <c:v>13489.628825916556</c:v>
                </c:pt>
                <c:pt idx="313">
                  <c:v>13803.842646028841</c:v>
                </c:pt>
                <c:pt idx="314">
                  <c:v>14125.375446227561</c:v>
                </c:pt>
                <c:pt idx="315">
                  <c:v>14454.397707459291</c:v>
                </c:pt>
                <c:pt idx="316">
                  <c:v>14791.083881682089</c:v>
                </c:pt>
                <c:pt idx="317">
                  <c:v>15135.612484362096</c:v>
                </c:pt>
                <c:pt idx="318">
                  <c:v>15488.166189124853</c:v>
                </c:pt>
                <c:pt idx="319">
                  <c:v>15848.931924611146</c:v>
                </c:pt>
                <c:pt idx="320">
                  <c:v>16218.100973589309</c:v>
                </c:pt>
                <c:pt idx="321">
                  <c:v>16595.869074375616</c:v>
                </c:pt>
                <c:pt idx="322">
                  <c:v>16982.436524617482</c:v>
                </c:pt>
                <c:pt idx="323">
                  <c:v>17378.008287493791</c:v>
                </c:pt>
                <c:pt idx="324">
                  <c:v>17782.794100389234</c:v>
                </c:pt>
                <c:pt idx="325">
                  <c:v>18197.008586099837</c:v>
                </c:pt>
                <c:pt idx="326">
                  <c:v>18620.871366628675</c:v>
                </c:pt>
                <c:pt idx="327">
                  <c:v>19054.607179632505</c:v>
                </c:pt>
                <c:pt idx="328">
                  <c:v>19498.445997580486</c:v>
                </c:pt>
                <c:pt idx="329">
                  <c:v>19952.623149688792</c:v>
                </c:pt>
                <c:pt idx="330">
                  <c:v>20417.379446695286</c:v>
                </c:pt>
                <c:pt idx="331">
                  <c:v>20892.961308540423</c:v>
                </c:pt>
                <c:pt idx="332">
                  <c:v>21379.620895022348</c:v>
                </c:pt>
                <c:pt idx="333">
                  <c:v>21877.61623949555</c:v>
                </c:pt>
                <c:pt idx="334">
                  <c:v>22387.211385683382</c:v>
                </c:pt>
                <c:pt idx="335">
                  <c:v>22908.676527677751</c:v>
                </c:pt>
                <c:pt idx="336">
                  <c:v>23442.288153199243</c:v>
                </c:pt>
                <c:pt idx="337">
                  <c:v>23988.329190194923</c:v>
                </c:pt>
                <c:pt idx="338">
                  <c:v>24547.089156850321</c:v>
                </c:pt>
                <c:pt idx="339">
                  <c:v>25118.86431509586</c:v>
                </c:pt>
                <c:pt idx="340">
                  <c:v>25703.95782768865</c:v>
                </c:pt>
                <c:pt idx="341">
                  <c:v>26302.679918953829</c:v>
                </c:pt>
                <c:pt idx="342">
                  <c:v>26915.348039269167</c:v>
                </c:pt>
                <c:pt idx="343">
                  <c:v>27542.287033381719</c:v>
                </c:pt>
                <c:pt idx="344">
                  <c:v>28183.829312644593</c:v>
                </c:pt>
                <c:pt idx="345">
                  <c:v>28840.315031266062</c:v>
                </c:pt>
                <c:pt idx="346">
                  <c:v>29512.092266663854</c:v>
                </c:pt>
                <c:pt idx="347">
                  <c:v>30199.517204020212</c:v>
                </c:pt>
                <c:pt idx="348">
                  <c:v>30902.954325135954</c:v>
                </c:pt>
                <c:pt idx="349">
                  <c:v>31622.77660168384</c:v>
                </c:pt>
                <c:pt idx="350">
                  <c:v>32359.365692962871</c:v>
                </c:pt>
                <c:pt idx="351">
                  <c:v>33113.11214825909</c:v>
                </c:pt>
                <c:pt idx="352">
                  <c:v>33884.41561392029</c:v>
                </c:pt>
                <c:pt idx="353">
                  <c:v>34673.685045253202</c:v>
                </c:pt>
                <c:pt idx="354">
                  <c:v>35481.33892335758</c:v>
                </c:pt>
                <c:pt idx="355">
                  <c:v>36307.805477010232</c:v>
                </c:pt>
                <c:pt idx="356">
                  <c:v>37153.522909717351</c:v>
                </c:pt>
                <c:pt idx="357">
                  <c:v>38018.939632056143</c:v>
                </c:pt>
                <c:pt idx="358">
                  <c:v>38904.514499428085</c:v>
                </c:pt>
                <c:pt idx="359">
                  <c:v>39810.717055349742</c:v>
                </c:pt>
                <c:pt idx="360">
                  <c:v>40738.027780411358</c:v>
                </c:pt>
                <c:pt idx="361">
                  <c:v>41686.938347033625</c:v>
                </c:pt>
                <c:pt idx="362">
                  <c:v>42657.951880159271</c:v>
                </c:pt>
                <c:pt idx="363">
                  <c:v>43651.583224016598</c:v>
                </c:pt>
                <c:pt idx="364">
                  <c:v>44668.359215096389</c:v>
                </c:pt>
                <c:pt idx="365">
                  <c:v>45708.818961487581</c:v>
                </c:pt>
                <c:pt idx="366">
                  <c:v>46773.514128719893</c:v>
                </c:pt>
                <c:pt idx="367">
                  <c:v>47863.009232263823</c:v>
                </c:pt>
                <c:pt idx="368">
                  <c:v>48977.881936844598</c:v>
                </c:pt>
                <c:pt idx="369">
                  <c:v>50118.723362727294</c:v>
                </c:pt>
                <c:pt idx="370">
                  <c:v>51286.138399136544</c:v>
                </c:pt>
                <c:pt idx="371">
                  <c:v>52480.746024977314</c:v>
                </c:pt>
                <c:pt idx="372">
                  <c:v>53703.179637025423</c:v>
                </c:pt>
                <c:pt idx="373">
                  <c:v>54954.087385762505</c:v>
                </c:pt>
                <c:pt idx="374">
                  <c:v>56234.132519034953</c:v>
                </c:pt>
                <c:pt idx="375">
                  <c:v>57543.993733715732</c:v>
                </c:pt>
                <c:pt idx="376">
                  <c:v>58884.365535558936</c:v>
                </c:pt>
                <c:pt idx="377">
                  <c:v>60255.95860743591</c:v>
                </c:pt>
                <c:pt idx="378">
                  <c:v>61659.500186148245</c:v>
                </c:pt>
                <c:pt idx="379">
                  <c:v>63095.734448019342</c:v>
                </c:pt>
                <c:pt idx="380">
                  <c:v>64565.422903465682</c:v>
                </c:pt>
                <c:pt idx="381">
                  <c:v>66069.344800759733</c:v>
                </c:pt>
                <c:pt idx="382">
                  <c:v>67608.297539198305</c:v>
                </c:pt>
                <c:pt idx="383">
                  <c:v>69183.097091893651</c:v>
                </c:pt>
                <c:pt idx="384">
                  <c:v>70794.578438413781</c:v>
                </c:pt>
                <c:pt idx="385">
                  <c:v>72443.596007499116</c:v>
                </c:pt>
                <c:pt idx="386">
                  <c:v>74131.024130091857</c:v>
                </c:pt>
                <c:pt idx="387">
                  <c:v>75857.757502918481</c:v>
                </c:pt>
                <c:pt idx="388">
                  <c:v>77624.711662869129</c:v>
                </c:pt>
                <c:pt idx="389">
                  <c:v>79432.823472428237</c:v>
                </c:pt>
                <c:pt idx="390">
                  <c:v>81283.051616410012</c:v>
                </c:pt>
                <c:pt idx="391">
                  <c:v>83176.377110267174</c:v>
                </c:pt>
                <c:pt idx="392">
                  <c:v>85113.803820237721</c:v>
                </c:pt>
                <c:pt idx="393">
                  <c:v>87096.358995608127</c:v>
                </c:pt>
                <c:pt idx="394">
                  <c:v>89125.093813374609</c:v>
                </c:pt>
                <c:pt idx="395">
                  <c:v>91201.083935591028</c:v>
                </c:pt>
                <c:pt idx="396">
                  <c:v>93325.430079699145</c:v>
                </c:pt>
                <c:pt idx="397">
                  <c:v>95499.258602143804</c:v>
                </c:pt>
                <c:pt idx="398">
                  <c:v>97723.722095581266</c:v>
                </c:pt>
                <c:pt idx="399">
                  <c:v>100000</c:v>
                </c:pt>
                <c:pt idx="400">
                  <c:v>102329.29922807543</c:v>
                </c:pt>
                <c:pt idx="401">
                  <c:v>104712.85480508996</c:v>
                </c:pt>
                <c:pt idx="402">
                  <c:v>107151.93052376082</c:v>
                </c:pt>
                <c:pt idx="403">
                  <c:v>109647.81961431868</c:v>
                </c:pt>
                <c:pt idx="404">
                  <c:v>112201.84543019651</c:v>
                </c:pt>
                <c:pt idx="405">
                  <c:v>114815.36214968823</c:v>
                </c:pt>
                <c:pt idx="406">
                  <c:v>117489.75549395311</c:v>
                </c:pt>
                <c:pt idx="407">
                  <c:v>120226.44346174144</c:v>
                </c:pt>
                <c:pt idx="408">
                  <c:v>123026.87708123829</c:v>
                </c:pt>
                <c:pt idx="409">
                  <c:v>125892.54117941685</c:v>
                </c:pt>
                <c:pt idx="410">
                  <c:v>128824.95516931375</c:v>
                </c:pt>
                <c:pt idx="411">
                  <c:v>131825.67385564081</c:v>
                </c:pt>
                <c:pt idx="412">
                  <c:v>134896.28825916545</c:v>
                </c:pt>
                <c:pt idx="413">
                  <c:v>138038.42646028858</c:v>
                </c:pt>
                <c:pt idx="414">
                  <c:v>141253.75446227577</c:v>
                </c:pt>
                <c:pt idx="415">
                  <c:v>144543.97707459307</c:v>
                </c:pt>
                <c:pt idx="416">
                  <c:v>147910.83881682079</c:v>
                </c:pt>
                <c:pt idx="417">
                  <c:v>151356.12484362084</c:v>
                </c:pt>
                <c:pt idx="418">
                  <c:v>154881.66189124843</c:v>
                </c:pt>
                <c:pt idx="419">
                  <c:v>158489.31924611164</c:v>
                </c:pt>
                <c:pt idx="420">
                  <c:v>162181.00973589328</c:v>
                </c:pt>
                <c:pt idx="421">
                  <c:v>165958.69074375604</c:v>
                </c:pt>
                <c:pt idx="422">
                  <c:v>169824.36524617471</c:v>
                </c:pt>
                <c:pt idx="423">
                  <c:v>173780.0828749378</c:v>
                </c:pt>
                <c:pt idx="424">
                  <c:v>177827.94100389251</c:v>
                </c:pt>
                <c:pt idx="425">
                  <c:v>181970.08586099857</c:v>
                </c:pt>
                <c:pt idx="426">
                  <c:v>186208.71366628664</c:v>
                </c:pt>
                <c:pt idx="427">
                  <c:v>190546.07179632492</c:v>
                </c:pt>
                <c:pt idx="428">
                  <c:v>194984.45997580473</c:v>
                </c:pt>
                <c:pt idx="429">
                  <c:v>199526.23149688813</c:v>
                </c:pt>
                <c:pt idx="430">
                  <c:v>204173.79446695308</c:v>
                </c:pt>
                <c:pt idx="431">
                  <c:v>208929.61308540447</c:v>
                </c:pt>
                <c:pt idx="432">
                  <c:v>213796.20895022334</c:v>
                </c:pt>
                <c:pt idx="433">
                  <c:v>218776.16239495538</c:v>
                </c:pt>
                <c:pt idx="434">
                  <c:v>223872.11385683404</c:v>
                </c:pt>
                <c:pt idx="435">
                  <c:v>229086.76527677779</c:v>
                </c:pt>
                <c:pt idx="436">
                  <c:v>234422.88153199267</c:v>
                </c:pt>
                <c:pt idx="437">
                  <c:v>239883.29190194907</c:v>
                </c:pt>
                <c:pt idx="438">
                  <c:v>245470.89156850305</c:v>
                </c:pt>
                <c:pt idx="439">
                  <c:v>251188.64315095844</c:v>
                </c:pt>
                <c:pt idx="440">
                  <c:v>257039.57827688678</c:v>
                </c:pt>
                <c:pt idx="441">
                  <c:v>263026.79918953858</c:v>
                </c:pt>
                <c:pt idx="442">
                  <c:v>269153.48039269145</c:v>
                </c:pt>
                <c:pt idx="443">
                  <c:v>275422.87033381703</c:v>
                </c:pt>
                <c:pt idx="444">
                  <c:v>281838.29312644573</c:v>
                </c:pt>
                <c:pt idx="445">
                  <c:v>288403.1503126609</c:v>
                </c:pt>
                <c:pt idx="446">
                  <c:v>295120.92266663886</c:v>
                </c:pt>
                <c:pt idx="447">
                  <c:v>301995.17204020242</c:v>
                </c:pt>
                <c:pt idx="448">
                  <c:v>309029.54325135931</c:v>
                </c:pt>
                <c:pt idx="449">
                  <c:v>316227.7660168382</c:v>
                </c:pt>
                <c:pt idx="450">
                  <c:v>323593.65692962846</c:v>
                </c:pt>
                <c:pt idx="451">
                  <c:v>331131.12148259126</c:v>
                </c:pt>
                <c:pt idx="452">
                  <c:v>338844.15613920329</c:v>
                </c:pt>
                <c:pt idx="453">
                  <c:v>346736.85045253241</c:v>
                </c:pt>
                <c:pt idx="454">
                  <c:v>354813.38923357555</c:v>
                </c:pt>
                <c:pt idx="455">
                  <c:v>363078.05477010203</c:v>
                </c:pt>
                <c:pt idx="456">
                  <c:v>371535.2290971732</c:v>
                </c:pt>
                <c:pt idx="457">
                  <c:v>380189.39632056188</c:v>
                </c:pt>
                <c:pt idx="458">
                  <c:v>389045.14499428123</c:v>
                </c:pt>
                <c:pt idx="459">
                  <c:v>398107.17055349716</c:v>
                </c:pt>
                <c:pt idx="460">
                  <c:v>407380.27780411334</c:v>
                </c:pt>
                <c:pt idx="461">
                  <c:v>416869.38347033598</c:v>
                </c:pt>
                <c:pt idx="462">
                  <c:v>426579.51880159322</c:v>
                </c:pt>
                <c:pt idx="463">
                  <c:v>436515.83224016649</c:v>
                </c:pt>
                <c:pt idx="464">
                  <c:v>446683.59215096442</c:v>
                </c:pt>
                <c:pt idx="465">
                  <c:v>457088.18961487547</c:v>
                </c:pt>
                <c:pt idx="466">
                  <c:v>467735.14128719864</c:v>
                </c:pt>
                <c:pt idx="467">
                  <c:v>478630.09232263872</c:v>
                </c:pt>
                <c:pt idx="468">
                  <c:v>489778.81936844654</c:v>
                </c:pt>
                <c:pt idx="469">
                  <c:v>501187.23362727347</c:v>
                </c:pt>
                <c:pt idx="470">
                  <c:v>512861.38399136515</c:v>
                </c:pt>
                <c:pt idx="471">
                  <c:v>524807.46024977288</c:v>
                </c:pt>
                <c:pt idx="472">
                  <c:v>537031.7963702539</c:v>
                </c:pt>
                <c:pt idx="473">
                  <c:v>549540.87385762564</c:v>
                </c:pt>
                <c:pt idx="474">
                  <c:v>562341.32519035018</c:v>
                </c:pt>
                <c:pt idx="475">
                  <c:v>575439.93733715697</c:v>
                </c:pt>
                <c:pt idx="476">
                  <c:v>588843.65535558888</c:v>
                </c:pt>
                <c:pt idx="477">
                  <c:v>602559.58607435878</c:v>
                </c:pt>
                <c:pt idx="478">
                  <c:v>616595.00186148309</c:v>
                </c:pt>
                <c:pt idx="479">
                  <c:v>630957.34448019415</c:v>
                </c:pt>
                <c:pt idx="480">
                  <c:v>645654.22903465747</c:v>
                </c:pt>
                <c:pt idx="481">
                  <c:v>660693.44800759677</c:v>
                </c:pt>
                <c:pt idx="482">
                  <c:v>676082.97539198259</c:v>
                </c:pt>
                <c:pt idx="483">
                  <c:v>691830.97091893724</c:v>
                </c:pt>
                <c:pt idx="484">
                  <c:v>707945.78438413853</c:v>
                </c:pt>
                <c:pt idx="485">
                  <c:v>724435.96007499192</c:v>
                </c:pt>
                <c:pt idx="486">
                  <c:v>741310.24130091805</c:v>
                </c:pt>
                <c:pt idx="487">
                  <c:v>758577.57502918423</c:v>
                </c:pt>
                <c:pt idx="488">
                  <c:v>776247.11662869214</c:v>
                </c:pt>
                <c:pt idx="489">
                  <c:v>794328.23472428333</c:v>
                </c:pt>
                <c:pt idx="490">
                  <c:v>812830.51616410096</c:v>
                </c:pt>
                <c:pt idx="491">
                  <c:v>831763.77110267128</c:v>
                </c:pt>
                <c:pt idx="492">
                  <c:v>851138.03820237669</c:v>
                </c:pt>
                <c:pt idx="493">
                  <c:v>870963.58995608077</c:v>
                </c:pt>
                <c:pt idx="494">
                  <c:v>891250.93813374708</c:v>
                </c:pt>
                <c:pt idx="495">
                  <c:v>912010.83935591124</c:v>
                </c:pt>
                <c:pt idx="496">
                  <c:v>933254.30079699249</c:v>
                </c:pt>
                <c:pt idx="497">
                  <c:v>954992.58602143743</c:v>
                </c:pt>
                <c:pt idx="498">
                  <c:v>977237.22095581202</c:v>
                </c:pt>
                <c:pt idx="499">
                  <c:v>1000000</c:v>
                </c:pt>
                <c:pt idx="500">
                  <c:v>1023292.9922807553</c:v>
                </c:pt>
                <c:pt idx="501">
                  <c:v>1047128.5480509007</c:v>
                </c:pt>
                <c:pt idx="502">
                  <c:v>1071519.3052376076</c:v>
                </c:pt>
                <c:pt idx="503">
                  <c:v>1096478.196143186</c:v>
                </c:pt>
                <c:pt idx="504">
                  <c:v>1122018.4543019643</c:v>
                </c:pt>
                <c:pt idx="505">
                  <c:v>1148153.6214968837</c:v>
                </c:pt>
                <c:pt idx="506">
                  <c:v>1174897.5549395324</c:v>
                </c:pt>
                <c:pt idx="507">
                  <c:v>1202264.4346174158</c:v>
                </c:pt>
                <c:pt idx="508">
                  <c:v>1230268.770812382</c:v>
                </c:pt>
                <c:pt idx="509">
                  <c:v>1258925.4117941677</c:v>
                </c:pt>
                <c:pt idx="510">
                  <c:v>1288249.5516931366</c:v>
                </c:pt>
                <c:pt idx="511">
                  <c:v>1318256.7385564097</c:v>
                </c:pt>
                <c:pt idx="512">
                  <c:v>1348962.8825916562</c:v>
                </c:pt>
                <c:pt idx="513">
                  <c:v>1380384.2646028849</c:v>
                </c:pt>
                <c:pt idx="514">
                  <c:v>1412537.5446227565</c:v>
                </c:pt>
                <c:pt idx="515">
                  <c:v>1445439.7707459298</c:v>
                </c:pt>
                <c:pt idx="516">
                  <c:v>1479108.3881682095</c:v>
                </c:pt>
                <c:pt idx="517">
                  <c:v>1513561.2484362102</c:v>
                </c:pt>
                <c:pt idx="518">
                  <c:v>1548816.6189124861</c:v>
                </c:pt>
                <c:pt idx="519">
                  <c:v>1584893.1924611153</c:v>
                </c:pt>
                <c:pt idx="520">
                  <c:v>1621810.0973589318</c:v>
                </c:pt>
                <c:pt idx="521">
                  <c:v>1659586.9074375622</c:v>
                </c:pt>
                <c:pt idx="522">
                  <c:v>1698243.6524617488</c:v>
                </c:pt>
                <c:pt idx="523">
                  <c:v>1737800.8287493798</c:v>
                </c:pt>
                <c:pt idx="524">
                  <c:v>1778279.4100389241</c:v>
                </c:pt>
                <c:pt idx="525">
                  <c:v>1819700.8586099846</c:v>
                </c:pt>
                <c:pt idx="526">
                  <c:v>1862087.1366628683</c:v>
                </c:pt>
                <c:pt idx="527">
                  <c:v>1905460.7179632513</c:v>
                </c:pt>
                <c:pt idx="528">
                  <c:v>1949844.5997580495</c:v>
                </c:pt>
                <c:pt idx="529">
                  <c:v>1995262.31496888</c:v>
                </c:pt>
                <c:pt idx="530">
                  <c:v>2041737.9446695296</c:v>
                </c:pt>
                <c:pt idx="531">
                  <c:v>2089296.1308540432</c:v>
                </c:pt>
                <c:pt idx="532">
                  <c:v>2137962.0895022359</c:v>
                </c:pt>
                <c:pt idx="533">
                  <c:v>2187761.6239495561</c:v>
                </c:pt>
                <c:pt idx="534">
                  <c:v>2238721.1385683389</c:v>
                </c:pt>
                <c:pt idx="535">
                  <c:v>2290867.6527677765</c:v>
                </c:pt>
                <c:pt idx="536">
                  <c:v>2344228.8153199251</c:v>
                </c:pt>
                <c:pt idx="537">
                  <c:v>2398832.9190194933</c:v>
                </c:pt>
                <c:pt idx="538">
                  <c:v>2454708.915685033</c:v>
                </c:pt>
                <c:pt idx="539">
                  <c:v>2511886.431509587</c:v>
                </c:pt>
                <c:pt idx="540">
                  <c:v>2570395.782768866</c:v>
                </c:pt>
                <c:pt idx="541">
                  <c:v>2630267.9918953842</c:v>
                </c:pt>
              </c:numCache>
            </c:numRef>
          </c:xVal>
          <c:yVal>
            <c:numRef>
              <c:f>CCM_Loop_Modeling_non_isolated!$AQ$19:$AQ$560</c:f>
              <c:numCache>
                <c:formatCode>General</c:formatCode>
                <c:ptCount val="542"/>
                <c:pt idx="0">
                  <c:v>-3.6111160065962582</c:v>
                </c:pt>
                <c:pt idx="1">
                  <c:v>-3.8099808207315924</c:v>
                </c:pt>
                <c:pt idx="2">
                  <c:v>-4.0087924531498356</c:v>
                </c:pt>
                <c:pt idx="3">
                  <c:v>-4.2075484279577928</c:v>
                </c:pt>
                <c:pt idx="4">
                  <c:v>-4.4062461554899599</c:v>
                </c:pt>
                <c:pt idx="5">
                  <c:v>-4.6048829272233096</c:v>
                </c:pt>
                <c:pt idx="6">
                  <c:v>-4.8034559104790473</c:v>
                </c:pt>
                <c:pt idx="7">
                  <c:v>-5.00196214290286</c:v>
                </c:pt>
                <c:pt idx="8">
                  <c:v>-5.2003985267159365</c:v>
                </c:pt>
                <c:pt idx="9">
                  <c:v>-5.3987618227298864</c:v>
                </c:pt>
                <c:pt idx="10">
                  <c:v>-5.5970486441161693</c:v>
                </c:pt>
                <c:pt idx="11">
                  <c:v>-5.795255449922772</c:v>
                </c:pt>
                <c:pt idx="12">
                  <c:v>-5.9933785383300613</c:v>
                </c:pt>
                <c:pt idx="13">
                  <c:v>-6.1914140396368289</c:v>
                </c:pt>
                <c:pt idx="14">
                  <c:v>-6.3893579089692043</c:v>
                </c:pt>
                <c:pt idx="15">
                  <c:v>-6.5872059187036154</c:v>
                </c:pt>
                <c:pt idx="16">
                  <c:v>-6.7849536505957619</c:v>
                </c:pt>
                <c:pt idx="17">
                  <c:v>-6.9825964876074433</c:v>
                </c:pt>
                <c:pt idx="18">
                  <c:v>-7.1801296054236765</c:v>
                </c:pt>
                <c:pt idx="19">
                  <c:v>-7.3775479636515948</c:v>
                </c:pt>
                <c:pt idx="20">
                  <c:v>-7.5748462966940782</c:v>
                </c:pt>
                <c:pt idx="21">
                  <c:v>-7.7720191042907611</c:v>
                </c:pt>
                <c:pt idx="22">
                  <c:v>-7.9690606417191914</c:v>
                </c:pt>
                <c:pt idx="23">
                  <c:v>-8.1659649096499933</c:v>
                </c:pt>
                <c:pt idx="24">
                  <c:v>-8.3627256436497497</c:v>
                </c:pt>
                <c:pt idx="25">
                  <c:v>-8.5593363033263596</c:v>
                </c:pt>
                <c:pt idx="26">
                  <c:v>-8.7557900611117976</c:v>
                </c:pt>
                <c:pt idx="27">
                  <c:v>-8.9520797906790932</c:v>
                </c:pt>
                <c:pt idx="28">
                  <c:v>-9.1481980549893862</c:v>
                </c:pt>
                <c:pt idx="29">
                  <c:v>-9.3441370939679711</c:v>
                </c:pt>
                <c:pt idx="30">
                  <c:v>-9.5398888118079821</c:v>
                </c:pt>
                <c:pt idx="31">
                  <c:v>-9.7354447639024517</c:v>
                </c:pt>
                <c:pt idx="32">
                  <c:v>-9.9307961434062708</c:v>
                </c:pt>
                <c:pt idx="33">
                  <c:v>-10.125933767431988</c:v>
                </c:pt>
                <c:pt idx="34">
                  <c:v>-10.320848062884593</c:v>
                </c:pt>
                <c:pt idx="35">
                  <c:v>-10.515529051942496</c:v>
                </c:pt>
                <c:pt idx="36">
                  <c:v>-10.709966337194881</c:v>
                </c:pt>
                <c:pt idx="37">
                  <c:v>-10.90414908644625</c:v>
                </c:pt>
                <c:pt idx="38">
                  <c:v>-11.098066017204339</c:v>
                </c:pt>
                <c:pt idx="39">
                  <c:v>-11.291705380867469</c:v>
                </c:pt>
                <c:pt idx="40">
                  <c:v>-11.485054946633479</c:v>
                </c:pt>
                <c:pt idx="41">
                  <c:v>-11.678101985152844</c:v>
                </c:pt>
                <c:pt idx="42">
                  <c:v>-11.870833251955869</c:v>
                </c:pt>
                <c:pt idx="43">
                  <c:v>-12.063234970683705</c:v>
                </c:pt>
                <c:pt idx="44">
                  <c:v>-12.255292816161704</c:v>
                </c:pt>
                <c:pt idx="45">
                  <c:v>-12.446991897353861</c:v>
                </c:pt>
                <c:pt idx="46">
                  <c:v>-12.638316740246726</c:v>
                </c:pt>
                <c:pt idx="47">
                  <c:v>-12.829251270711408</c:v>
                </c:pt>
                <c:pt idx="48">
                  <c:v>-13.019778797403186</c:v>
                </c:pt>
                <c:pt idx="49">
                  <c:v>-13.209881994759661</c:v>
                </c:pt>
                <c:pt idx="50">
                  <c:v>-13.39954288616838</c:v>
                </c:pt>
                <c:pt idx="51">
                  <c:v>-13.588742827378258</c:v>
                </c:pt>
                <c:pt idx="52">
                  <c:v>-13.777462490239706</c:v>
                </c:pt>
                <c:pt idx="53">
                  <c:v>-13.965681846861955</c:v>
                </c:pt>
                <c:pt idx="54">
                  <c:v>-14.153380154286882</c:v>
                </c:pt>
                <c:pt idx="55">
                  <c:v>-14.34053593978431</c:v>
                </c:pt>
                <c:pt idx="56">
                  <c:v>-14.527126986882701</c:v>
                </c:pt>
                <c:pt idx="57">
                  <c:v>-14.713130322257753</c:v>
                </c:pt>
                <c:pt idx="58">
                  <c:v>-14.898522203608922</c:v>
                </c:pt>
                <c:pt idx="59">
                  <c:v>-15.083278108662931</c:v>
                </c:pt>
                <c:pt idx="60">
                  <c:v>-15.267372725451738</c:v>
                </c:pt>
                <c:pt idx="61">
                  <c:v>-15.450779944020303</c:v>
                </c:pt>
                <c:pt idx="62">
                  <c:v>-15.633472849728207</c:v>
                </c:pt>
                <c:pt idx="63">
                  <c:v>-15.815423718317021</c:v>
                </c:pt>
                <c:pt idx="64">
                  <c:v>-15.996604012922065</c:v>
                </c:pt>
                <c:pt idx="65">
                  <c:v>-16.176984383214752</c:v>
                </c:pt>
                <c:pt idx="66">
                  <c:v>-16.356534666868242</c:v>
                </c:pt>
                <c:pt idx="67">
                  <c:v>-16.535223893542742</c:v>
                </c:pt>
                <c:pt idx="68">
                  <c:v>-16.713020291593772</c:v>
                </c:pt>
                <c:pt idx="69">
                  <c:v>-16.889891297707017</c:v>
                </c:pt>
                <c:pt idx="70">
                  <c:v>-17.065803569667505</c:v>
                </c:pt>
                <c:pt idx="71">
                  <c:v>-17.24072300246916</c:v>
                </c:pt>
                <c:pt idx="72">
                  <c:v>-17.414614747969893</c:v>
                </c:pt>
                <c:pt idx="73">
                  <c:v>-17.587443238293453</c:v>
                </c:pt>
                <c:pt idx="74">
                  <c:v>-17.759172213173802</c:v>
                </c:pt>
                <c:pt idx="75">
                  <c:v>-17.929764751427953</c:v>
                </c:pt>
                <c:pt idx="76">
                  <c:v>-18.099183306733632</c:v>
                </c:pt>
                <c:pt idx="77">
                  <c:v>-18.267389747873565</c:v>
                </c:pt>
                <c:pt idx="78">
                  <c:v>-18.434345403589973</c:v>
                </c:pt>
                <c:pt idx="79">
                  <c:v>-18.600011112176059</c:v>
                </c:pt>
                <c:pt idx="80">
                  <c:v>-18.764347275903301</c:v>
                </c:pt>
                <c:pt idx="81">
                  <c:v>-18.927313920360273</c:v>
                </c:pt>
                <c:pt idx="82">
                  <c:v>-19.088870758746562</c:v>
                </c:pt>
                <c:pt idx="83">
                  <c:v>-19.248977261132289</c:v>
                </c:pt>
                <c:pt idx="84">
                  <c:v>-19.407592728656155</c:v>
                </c:pt>
                <c:pt idx="85">
                  <c:v>-19.564676372594914</c:v>
                </c:pt>
                <c:pt idx="86">
                  <c:v>-19.72018739819503</c:v>
                </c:pt>
                <c:pt idx="87">
                  <c:v>-19.874085093108469</c:v>
                </c:pt>
                <c:pt idx="88">
                  <c:v>-20.026328920229158</c:v>
                </c:pt>
                <c:pt idx="89">
                  <c:v>-20.176878614673839</c:v>
                </c:pt>
                <c:pt idx="90">
                  <c:v>-20.325694284600413</c:v>
                </c:pt>
                <c:pt idx="91">
                  <c:v>-20.472736515503961</c:v>
                </c:pt>
                <c:pt idx="92">
                  <c:v>-20.617966477576097</c:v>
                </c:pt>
                <c:pt idx="93">
                  <c:v>-20.761346035663255</c:v>
                </c:pt>
                <c:pt idx="94">
                  <c:v>-20.902837861306285</c:v>
                </c:pt>
                <c:pt idx="95">
                  <c:v>-21.042405546294862</c:v>
                </c:pt>
                <c:pt idx="96">
                  <c:v>-21.180013717125874</c:v>
                </c:pt>
                <c:pt idx="97">
                  <c:v>-21.315628149710118</c:v>
                </c:pt>
                <c:pt idx="98">
                  <c:v>-21.449215883637272</c:v>
                </c:pt>
                <c:pt idx="99">
                  <c:v>-21.580745335275186</c:v>
                </c:pt>
                <c:pt idx="100">
                  <c:v>-21.710186408956499</c:v>
                </c:pt>
                <c:pt idx="101">
                  <c:v>-21.837510605486496</c:v>
                </c:pt>
                <c:pt idx="102">
                  <c:v>-21.962691127198251</c:v>
                </c:pt>
                <c:pt idx="103">
                  <c:v>-22.085702978778798</c:v>
                </c:pt>
                <c:pt idx="104">
                  <c:v>-22.206523063099436</c:v>
                </c:pt>
                <c:pt idx="105">
                  <c:v>-22.325130271300505</c:v>
                </c:pt>
                <c:pt idx="106">
                  <c:v>-22.44150556640885</c:v>
                </c:pt>
                <c:pt idx="107">
                  <c:v>-22.555632059802587</c:v>
                </c:pt>
                <c:pt idx="108">
                  <c:v>-22.667495079883999</c:v>
                </c:pt>
                <c:pt idx="109">
                  <c:v>-22.777082232377683</c:v>
                </c:pt>
                <c:pt idx="110">
                  <c:v>-22.88438345173298</c:v>
                </c:pt>
                <c:pt idx="111">
                  <c:v>-22.989391043182547</c:v>
                </c:pt>
                <c:pt idx="112">
                  <c:v>-23.092099715085645</c:v>
                </c:pt>
                <c:pt idx="113">
                  <c:v>-23.192506601268672</c:v>
                </c:pt>
                <c:pt idx="114">
                  <c:v>-23.290611273163154</c:v>
                </c:pt>
                <c:pt idx="115">
                  <c:v>-23.386415741632508</c:v>
                </c:pt>
                <c:pt idx="116">
                  <c:v>-23.479924448470598</c:v>
                </c:pt>
                <c:pt idx="117">
                  <c:v>-23.57114424764935</c:v>
                </c:pt>
                <c:pt idx="118">
                  <c:v>-23.660084376482565</c:v>
                </c:pt>
                <c:pt idx="119">
                  <c:v>-23.746756416963887</c:v>
                </c:pt>
                <c:pt idx="120">
                  <c:v>-23.83117424761997</c:v>
                </c:pt>
                <c:pt idx="121">
                  <c:v>-23.913353986302276</c:v>
                </c:pt>
                <c:pt idx="122">
                  <c:v>-23.993313924412526</c:v>
                </c:pt>
                <c:pt idx="123">
                  <c:v>-24.07107445312349</c:v>
                </c:pt>
                <c:pt idx="124">
                  <c:v>-24.14665798221727</c:v>
                </c:pt>
                <c:pt idx="125">
                  <c:v>-24.220088852208793</c:v>
                </c:pt>
                <c:pt idx="126">
                  <c:v>-24.291393240466146</c:v>
                </c:pt>
                <c:pt idx="127">
                  <c:v>-24.360599062068719</c:v>
                </c:pt>
                <c:pt idx="128">
                  <c:v>-24.427735866164145</c:v>
                </c:pt>
                <c:pt idx="129">
                  <c:v>-24.492834728598588</c:v>
                </c:pt>
                <c:pt idx="130">
                  <c:v>-24.555928141596716</c:v>
                </c:pt>
                <c:pt idx="131">
                  <c:v>-24.617049901259975</c:v>
                </c:pt>
                <c:pt idx="132">
                  <c:v>-24.676234993639202</c:v>
                </c:pt>
                <c:pt idx="133">
                  <c:v>-24.73351948011285</c:v>
                </c:pt>
                <c:pt idx="134">
                  <c:v>-24.788940382775483</c:v>
                </c:pt>
                <c:pt idx="135">
                  <c:v>-24.842535570503259</c:v>
                </c:pt>
                <c:pt idx="136">
                  <c:v>-24.894343646324103</c:v>
                </c:pt>
                <c:pt idx="137">
                  <c:v>-24.944403836675775</c:v>
                </c:pt>
                <c:pt idx="138">
                  <c:v>-24.992755883086364</c:v>
                </c:pt>
                <c:pt idx="139">
                  <c:v>-25.039439936760147</c:v>
                </c:pt>
                <c:pt idx="140">
                  <c:v>-25.084496456502499</c:v>
                </c:pt>
                <c:pt idx="141">
                  <c:v>-25.127966110360845</c:v>
                </c:pt>
                <c:pt idx="142">
                  <c:v>-25.169889681309385</c:v>
                </c:pt>
                <c:pt idx="143">
                  <c:v>-25.210307977249546</c:v>
                </c:pt>
                <c:pt idx="144">
                  <c:v>-25.249261745549681</c:v>
                </c:pt>
                <c:pt idx="145">
                  <c:v>-25.28679159229705</c:v>
                </c:pt>
                <c:pt idx="146">
                  <c:v>-25.322937906388205</c:v>
                </c:pt>
                <c:pt idx="147">
                  <c:v>-25.357740788540095</c:v>
                </c:pt>
                <c:pt idx="148">
                  <c:v>-25.391239985262324</c:v>
                </c:pt>
                <c:pt idx="149">
                  <c:v>-25.423474827792578</c:v>
                </c:pt>
                <c:pt idx="150">
                  <c:v>-25.454484175963678</c:v>
                </c:pt>
                <c:pt idx="151">
                  <c:v>-25.484306366937574</c:v>
                </c:pt>
                <c:pt idx="152">
                  <c:v>-25.512979168714395</c:v>
                </c:pt>
                <c:pt idx="153">
                  <c:v>-25.540539738299834</c:v>
                </c:pt>
                <c:pt idx="154">
                  <c:v>-25.56702458439355</c:v>
                </c:pt>
                <c:pt idx="155">
                  <c:v>-25.592469534441399</c:v>
                </c:pt>
                <c:pt idx="156">
                  <c:v>-25.616909705881543</c:v>
                </c:pt>
                <c:pt idx="157">
                  <c:v>-25.640379481400579</c:v>
                </c:pt>
                <c:pt idx="158">
                  <c:v>-25.662912488007343</c:v>
                </c:pt>
                <c:pt idx="159">
                  <c:v>-25.684541579725213</c:v>
                </c:pt>
                <c:pt idx="160">
                  <c:v>-25.705298823699042</c:v>
                </c:pt>
                <c:pt idx="161">
                  <c:v>-25.725215489509949</c:v>
                </c:pt>
                <c:pt idx="162">
                  <c:v>-25.744322041491955</c:v>
                </c:pt>
                <c:pt idx="163">
                  <c:v>-25.762648133844046</c:v>
                </c:pt>
                <c:pt idx="164">
                  <c:v>-25.780222608335176</c:v>
                </c:pt>
                <c:pt idx="165">
                  <c:v>-25.797073494402824</c:v>
                </c:pt>
                <c:pt idx="166">
                  <c:v>-25.813228011451166</c:v>
                </c:pt>
                <c:pt idx="167">
                  <c:v>-25.828712573160509</c:v>
                </c:pt>
                <c:pt idx="168">
                  <c:v>-25.84355279362644</c:v>
                </c:pt>
                <c:pt idx="169">
                  <c:v>-25.857773495154657</c:v>
                </c:pt>
                <c:pt idx="170">
                  <c:v>-25.871398717544682</c:v>
                </c:pt>
                <c:pt idx="171">
                  <c:v>-25.884451728704242</c:v>
                </c:pt>
                <c:pt idx="172">
                  <c:v>-25.896955036443718</c:v>
                </c:pt>
                <c:pt idx="173">
                  <c:v>-25.908930401309121</c:v>
                </c:pt>
                <c:pt idx="174">
                  <c:v>-25.920398850320954</c:v>
                </c:pt>
                <c:pt idx="175">
                  <c:v>-25.931380691492272</c:v>
                </c:pt>
                <c:pt idx="176">
                  <c:v>-25.941895529011543</c:v>
                </c:pt>
                <c:pt idx="177">
                  <c:v>-25.951962278980183</c:v>
                </c:pt>
                <c:pt idx="178">
                  <c:v>-25.961599185604818</c:v>
                </c:pt>
                <c:pt idx="179">
                  <c:v>-25.970823837751936</c:v>
                </c:pt>
                <c:pt idx="180">
                  <c:v>-25.979653185778453</c:v>
                </c:pt>
                <c:pt idx="181">
                  <c:v>-25.988103558561058</c:v>
                </c:pt>
                <c:pt idx="182">
                  <c:v>-25.996190680652361</c:v>
                </c:pt>
                <c:pt idx="183">
                  <c:v>-26.003929689498392</c:v>
                </c:pt>
                <c:pt idx="184">
                  <c:v>-26.01133515265937</c:v>
                </c:pt>
                <c:pt idx="185">
                  <c:v>-26.018421084980506</c:v>
                </c:pt>
                <c:pt idx="186">
                  <c:v>-26.025200965664759</c:v>
                </c:pt>
                <c:pt idx="187">
                  <c:v>-26.031687755205517</c:v>
                </c:pt>
                <c:pt idx="188">
                  <c:v>-26.037893912141556</c:v>
                </c:pt>
                <c:pt idx="189">
                  <c:v>-26.043831409600593</c:v>
                </c:pt>
                <c:pt idx="190">
                  <c:v>-26.049511751602914</c:v>
                </c:pt>
                <c:pt idx="191">
                  <c:v>-26.054945989099604</c:v>
                </c:pt>
                <c:pt idx="192">
                  <c:v>-26.06014473572348</c:v>
                </c:pt>
                <c:pt idx="193">
                  <c:v>-26.065118183234762</c:v>
                </c:pt>
                <c:pt idx="194">
                  <c:v>-26.069876116646014</c:v>
                </c:pt>
                <c:pt idx="195">
                  <c:v>-26.074427929013339</c:v>
                </c:pt>
                <c:pt idx="196">
                  <c:v>-26.078782635884622</c:v>
                </c:pt>
                <c:pt idx="197">
                  <c:v>-26.082948889395791</c:v>
                </c:pt>
                <c:pt idx="198">
                  <c:v>-26.086934992010903</c:v>
                </c:pt>
                <c:pt idx="199">
                  <c:v>-26.090748909900924</c:v>
                </c:pt>
                <c:pt idx="200">
                  <c:v>-26.094398285959848</c:v>
                </c:pt>
                <c:pt idx="201">
                  <c:v>-26.09789045245758</c:v>
                </c:pt>
                <c:pt idx="202">
                  <c:v>-26.101232443330098</c:v>
                </c:pt>
                <c:pt idx="203">
                  <c:v>-26.104431006109166</c:v>
                </c:pt>
                <c:pt idx="204">
                  <c:v>-26.107492613494991</c:v>
                </c:pt>
                <c:pt idx="205">
                  <c:v>-26.11042347457504</c:v>
                </c:pt>
                <c:pt idx="206">
                  <c:v>-26.113229545695322</c:v>
                </c:pt>
                <c:pt idx="207">
                  <c:v>-26.11591654098882</c:v>
                </c:pt>
                <c:pt idx="208">
                  <c:v>-26.118489942567571</c:v>
                </c:pt>
                <c:pt idx="209">
                  <c:v>-26.120955010386034</c:v>
                </c:pt>
                <c:pt idx="210">
                  <c:v>-26.123316791781971</c:v>
                </c:pt>
                <c:pt idx="211">
                  <c:v>-26.125580130703653</c:v>
                </c:pt>
                <c:pt idx="212">
                  <c:v>-26.12774967663124</c:v>
                </c:pt>
                <c:pt idx="213">
                  <c:v>-26.129829893200338</c:v>
                </c:pt>
                <c:pt idx="214">
                  <c:v>-26.131825066536774</c:v>
                </c:pt>
                <c:pt idx="215">
                  <c:v>-26.133739313311565</c:v>
                </c:pt>
                <c:pt idx="216">
                  <c:v>-26.135576588524341</c:v>
                </c:pt>
                <c:pt idx="217">
                  <c:v>-26.137340693024939</c:v>
                </c:pt>
                <c:pt idx="218">
                  <c:v>-26.139035280781933</c:v>
                </c:pt>
                <c:pt idx="219">
                  <c:v>-26.140663865907342</c:v>
                </c:pt>
                <c:pt idx="220">
                  <c:v>-26.142229829446361</c:v>
                </c:pt>
                <c:pt idx="221">
                  <c:v>-26.143736425941331</c:v>
                </c:pt>
                <c:pt idx="222">
                  <c:v>-26.145186789779938</c:v>
                </c:pt>
                <c:pt idx="223">
                  <c:v>-26.146583941334196</c:v>
                </c:pt>
                <c:pt idx="224">
                  <c:v>-26.147930792902567</c:v>
                </c:pt>
                <c:pt idx="225">
                  <c:v>-26.149230154460994</c:v>
                </c:pt>
                <c:pt idx="226">
                  <c:v>-26.150484739232883</c:v>
                </c:pt>
                <c:pt idx="227">
                  <c:v>-26.151697169087385</c:v>
                </c:pt>
                <c:pt idx="228">
                  <c:v>-26.15286997977352</c:v>
                </c:pt>
                <c:pt idx="229">
                  <c:v>-26.154005625997851</c:v>
                </c:pt>
                <c:pt idx="230">
                  <c:v>-26.155106486356765</c:v>
                </c:pt>
                <c:pt idx="231">
                  <c:v>-26.156174868128211</c:v>
                </c:pt>
                <c:pt idx="232">
                  <c:v>-26.157213011933919</c:v>
                </c:pt>
                <c:pt idx="233">
                  <c:v>-26.158223096277474</c:v>
                </c:pt>
                <c:pt idx="234">
                  <c:v>-26.159207241968495</c:v>
                </c:pt>
                <c:pt idx="235">
                  <c:v>-26.160167516439195</c:v>
                </c:pt>
                <c:pt idx="236">
                  <c:v>-26.161105937961015</c:v>
                </c:pt>
                <c:pt idx="237">
                  <c:v>-26.16202447976983</c:v>
                </c:pt>
                <c:pt idx="238">
                  <c:v>-26.162925074106145</c:v>
                </c:pt>
                <c:pt idx="239">
                  <c:v>-26.163809616178352</c:v>
                </c:pt>
                <c:pt idx="240">
                  <c:v>-26.164679968056159</c:v>
                </c:pt>
                <c:pt idx="241">
                  <c:v>-26.165537962500892</c:v>
                </c:pt>
                <c:pt idx="242">
                  <c:v>-26.166385406740602</c:v>
                </c:pt>
                <c:pt idx="243">
                  <c:v>-26.167224086196693</c:v>
                </c:pt>
                <c:pt idx="244">
                  <c:v>-26.168055768168891</c:v>
                </c:pt>
                <c:pt idx="245">
                  <c:v>-26.168882205485531</c:v>
                </c:pt>
                <c:pt idx="246">
                  <c:v>-26.169705140126855</c:v>
                </c:pt>
                <c:pt idx="247">
                  <c:v>-26.170526306827089</c:v>
                </c:pt>
                <c:pt idx="248">
                  <c:v>-26.171347436662558</c:v>
                </c:pt>
                <c:pt idx="249">
                  <c:v>-26.172170260633564</c:v>
                </c:pt>
                <c:pt idx="250">
                  <c:v>-26.172996513245231</c:v>
                </c:pt>
                <c:pt idx="251">
                  <c:v>-26.173827936095702</c:v>
                </c:pt>
                <c:pt idx="252">
                  <c:v>-26.174666281477464</c:v>
                </c:pt>
                <c:pt idx="253">
                  <c:v>-26.175513315999403</c:v>
                </c:pt>
                <c:pt idx="254">
                  <c:v>-26.17637082423586</c:v>
                </c:pt>
                <c:pt idx="255">
                  <c:v>-26.177240612410138</c:v>
                </c:pt>
                <c:pt idx="256">
                  <c:v>-26.178124512119002</c:v>
                </c:pt>
                <c:pt idx="257">
                  <c:v>-26.179024384105691</c:v>
                </c:pt>
                <c:pt idx="258">
                  <c:v>-26.179942122087724</c:v>
                </c:pt>
                <c:pt idx="259">
                  <c:v>-26.180879656647477</c:v>
                </c:pt>
                <c:pt idx="260">
                  <c:v>-26.181838959192262</c:v>
                </c:pt>
                <c:pt idx="261">
                  <c:v>-26.182822045991205</c:v>
                </c:pt>
                <c:pt idx="262">
                  <c:v>-26.183830982296527</c:v>
                </c:pt>
                <c:pt idx="263">
                  <c:v>-26.184867886556283</c:v>
                </c:pt>
                <c:pt idx="264">
                  <c:v>-26.185934934726522</c:v>
                </c:pt>
                <c:pt idx="265">
                  <c:v>-26.187034364690433</c:v>
                </c:pt>
                <c:pt idx="266">
                  <c:v>-26.188168480791806</c:v>
                </c:pt>
                <c:pt idx="267">
                  <c:v>-26.189339658491463</c:v>
                </c:pt>
                <c:pt idx="268">
                  <c:v>-26.190550349153842</c:v>
                </c:pt>
                <c:pt idx="269">
                  <c:v>-26.191803084972136</c:v>
                </c:pt>
                <c:pt idx="270">
                  <c:v>-26.193100484040567</c:v>
                </c:pt>
                <c:pt idx="271">
                  <c:v>-26.194445255581464</c:v>
                </c:pt>
                <c:pt idx="272">
                  <c:v>-26.195840205335937</c:v>
                </c:pt>
                <c:pt idx="273">
                  <c:v>-26.197288241126717</c:v>
                </c:pt>
                <c:pt idx="274">
                  <c:v>-26.198792378601485</c:v>
                </c:pt>
                <c:pt idx="275">
                  <c:v>-26.200355747165951</c:v>
                </c:pt>
                <c:pt idx="276">
                  <c:v>-26.201981596115292</c:v>
                </c:pt>
                <c:pt idx="277">
                  <c:v>-26.203673300972362</c:v>
                </c:pt>
                <c:pt idx="278">
                  <c:v>-26.205434370042653</c:v>
                </c:pt>
                <c:pt idx="279">
                  <c:v>-26.207268451194338</c:v>
                </c:pt>
                <c:pt idx="280">
                  <c:v>-26.209179338872495</c:v>
                </c:pt>
                <c:pt idx="281">
                  <c:v>-26.211170981357277</c:v>
                </c:pt>
                <c:pt idx="282">
                  <c:v>-26.213247488274433</c:v>
                </c:pt>
                <c:pt idx="283">
                  <c:v>-26.215413138367531</c:v>
                </c:pt>
                <c:pt idx="284">
                  <c:v>-26.217672387540883</c:v>
                </c:pt>
                <c:pt idx="285">
                  <c:v>-26.220029877182498</c:v>
                </c:pt>
                <c:pt idx="286">
                  <c:v>-26.222490442775218</c:v>
                </c:pt>
                <c:pt idx="287">
                  <c:v>-26.225059122804943</c:v>
                </c:pt>
                <c:pt idx="288">
                  <c:v>-26.227741167974578</c:v>
                </c:pt>
                <c:pt idx="289">
                  <c:v>-26.230542050731817</c:v>
                </c:pt>
                <c:pt idx="290">
                  <c:v>-26.233467475118452</c:v>
                </c:pt>
                <c:pt idx="291">
                  <c:v>-26.236523386947994</c:v>
                </c:pt>
                <c:pt idx="292">
                  <c:v>-26.23971598432016</c:v>
                </c:pt>
                <c:pt idx="293">
                  <c:v>-26.24305172847685</c:v>
                </c:pt>
                <c:pt idx="294">
                  <c:v>-26.246537355006492</c:v>
                </c:pt>
                <c:pt idx="295">
                  <c:v>-26.250179885401504</c:v>
                </c:pt>
                <c:pt idx="296">
                  <c:v>-26.253986638972378</c:v>
                </c:pt>
                <c:pt idx="297">
                  <c:v>-26.257965245122818</c:v>
                </c:pt>
                <c:pt idx="298">
                  <c:v>-26.262123655986951</c:v>
                </c:pt>
                <c:pt idx="299">
                  <c:v>-26.266470159429929</c:v>
                </c:pt>
                <c:pt idx="300">
                  <c:v>-26.271013392411508</c:v>
                </c:pt>
                <c:pt idx="301">
                  <c:v>-26.275762354710501</c:v>
                </c:pt>
                <c:pt idx="302">
                  <c:v>-26.280726423006236</c:v>
                </c:pt>
                <c:pt idx="303">
                  <c:v>-26.285915365311748</c:v>
                </c:pt>
                <c:pt idx="304">
                  <c:v>-26.291339355750765</c:v>
                </c:pt>
                <c:pt idx="305">
                  <c:v>-26.297008989668367</c:v>
                </c:pt>
                <c:pt idx="306">
                  <c:v>-26.302935299063609</c:v>
                </c:pt>
                <c:pt idx="307">
                  <c:v>-26.309129768327523</c:v>
                </c:pt>
                <c:pt idx="308">
                  <c:v>-26.315604350269798</c:v>
                </c:pt>
                <c:pt idx="309">
                  <c:v>-26.322371482411306</c:v>
                </c:pt>
                <c:pt idx="310">
                  <c:v>-26.329444103518149</c:v>
                </c:pt>
                <c:pt idx="311">
                  <c:v>-26.336835670348275</c:v>
                </c:pt>
                <c:pt idx="312">
                  <c:v>-26.344560174577197</c:v>
                </c:pt>
                <c:pt idx="313">
                  <c:v>-26.352632159865866</c:v>
                </c:pt>
                <c:pt idx="314">
                  <c:v>-26.361066739028001</c:v>
                </c:pt>
                <c:pt idx="315">
                  <c:v>-26.369879611249672</c:v>
                </c:pt>
                <c:pt idx="316">
                  <c:v>-26.379087079308469</c:v>
                </c:pt>
                <c:pt idx="317">
                  <c:v>-26.38870606673331</c:v>
                </c:pt>
                <c:pt idx="318">
                  <c:v>-26.398754134840516</c:v>
                </c:pt>
                <c:pt idx="319">
                  <c:v>-26.409249499574617</c:v>
                </c:pt>
                <c:pt idx="320">
                  <c:v>-26.420211048076215</c:v>
                </c:pt>
                <c:pt idx="321">
                  <c:v>-26.431658354891656</c:v>
                </c:pt>
                <c:pt idx="322">
                  <c:v>-26.44361169773213</c:v>
                </c:pt>
                <c:pt idx="323">
                  <c:v>-26.456092072681948</c:v>
                </c:pt>
                <c:pt idx="324">
                  <c:v>-26.469121208747385</c:v>
                </c:pt>
                <c:pt idx="325">
                  <c:v>-26.482721581631306</c:v>
                </c:pt>
                <c:pt idx="326">
                  <c:v>-26.496916426607328</c:v>
                </c:pt>
                <c:pt idx="327">
                  <c:v>-26.511729750361322</c:v>
                </c:pt>
                <c:pt idx="328">
                  <c:v>-26.527186341659469</c:v>
                </c:pt>
                <c:pt idx="329">
                  <c:v>-26.543311780690971</c:v>
                </c:pt>
                <c:pt idx="330">
                  <c:v>-26.560132446930677</c:v>
                </c:pt>
                <c:pt idx="331">
                  <c:v>-26.577675525351335</c:v>
                </c:pt>
                <c:pt idx="332">
                  <c:v>-26.595969010815548</c:v>
                </c:pt>
                <c:pt idx="333">
                  <c:v>-26.615041710462705</c:v>
                </c:pt>
                <c:pt idx="334">
                  <c:v>-26.63492324390543</c:v>
                </c:pt>
                <c:pt idx="335">
                  <c:v>-26.655644041040759</c:v>
                </c:pt>
                <c:pt idx="336">
                  <c:v>-26.677235337276656</c:v>
                </c:pt>
                <c:pt idx="337">
                  <c:v>-26.699729165971835</c:v>
                </c:pt>
                <c:pt idx="338">
                  <c:v>-26.723158347882841</c:v>
                </c:pt>
                <c:pt idx="339">
                  <c:v>-26.747556477411798</c:v>
                </c:pt>
                <c:pt idx="340">
                  <c:v>-26.772957905448379</c:v>
                </c:pt>
                <c:pt idx="341">
                  <c:v>-26.799397718601924</c:v>
                </c:pt>
                <c:pt idx="342">
                  <c:v>-26.826911714624128</c:v>
                </c:pt>
                <c:pt idx="343">
                  <c:v>-26.855536373830002</c:v>
                </c:pt>
                <c:pt idx="344">
                  <c:v>-26.885308826332185</c:v>
                </c:pt>
                <c:pt idx="345">
                  <c:v>-26.916266814918671</c:v>
                </c:pt>
                <c:pt idx="346">
                  <c:v>-26.948448653415539</c:v>
                </c:pt>
                <c:pt idx="347">
                  <c:v>-26.981893180397773</c:v>
                </c:pt>
                <c:pt idx="348">
                  <c:v>-27.016639708127705</c:v>
                </c:pt>
                <c:pt idx="349">
                  <c:v>-27.052727966631757</c:v>
                </c:pt>
                <c:pt idx="350">
                  <c:v>-27.090198042846438</c:v>
                </c:pt>
                <c:pt idx="351">
                  <c:v>-27.12909031480261</c:v>
                </c:pt>
                <c:pt idx="352">
                  <c:v>-27.169445380847211</c:v>
                </c:pt>
                <c:pt idx="353">
                  <c:v>-27.211303983942106</c:v>
                </c:pt>
                <c:pt idx="354">
                  <c:v>-27.254706931119625</c:v>
                </c:pt>
                <c:pt idx="355">
                  <c:v>-27.29969500822023</c:v>
                </c:pt>
                <c:pt idx="356">
                  <c:v>-27.346308890082</c:v>
                </c:pt>
                <c:pt idx="357">
                  <c:v>-27.394589046404008</c:v>
                </c:pt>
                <c:pt idx="358">
                  <c:v>-27.444575643553591</c:v>
                </c:pt>
                <c:pt idx="359">
                  <c:v>-27.496308442641535</c:v>
                </c:pt>
                <c:pt idx="360">
                  <c:v>-27.549826694242672</c:v>
                </c:pt>
                <c:pt idx="361">
                  <c:v>-27.605169030189987</c:v>
                </c:pt>
                <c:pt idx="362">
                  <c:v>-27.662373352925592</c:v>
                </c:pt>
                <c:pt idx="363">
                  <c:v>-27.721476722939769</c:v>
                </c:pt>
                <c:pt idx="364">
                  <c:v>-27.782515244879583</c:v>
                </c:pt>
                <c:pt idx="365">
                  <c:v>-27.845523952952796</c:v>
                </c:pt>
                <c:pt idx="366">
                  <c:v>-27.910536696292443</c:v>
                </c:pt>
                <c:pt idx="367">
                  <c:v>-27.977586024985058</c:v>
                </c:pt>
                <c:pt idx="368">
                  <c:v>-28.046703077493195</c:v>
                </c:pt>
                <c:pt idx="369">
                  <c:v>-28.117917470226356</c:v>
                </c:pt>
                <c:pt idx="370">
                  <c:v>-28.191257190030065</c:v>
                </c:pt>
                <c:pt idx="371">
                  <c:v>-28.266748490368382</c:v>
                </c:pt>
                <c:pt idx="372">
                  <c:v>-28.344415791974257</c:v>
                </c:pt>
                <c:pt idx="373">
                  <c:v>-28.424281588730196</c:v>
                </c:pt>
                <c:pt idx="374">
                  <c:v>-28.506366359522151</c:v>
                </c:pt>
                <c:pt idx="375">
                  <c:v>-28.590688486776429</c:v>
                </c:pt>
                <c:pt idx="376">
                  <c:v>-28.677264182353937</c:v>
                </c:pt>
                <c:pt idx="377">
                  <c:v>-28.766107421422397</c:v>
                </c:pt>
                <c:pt idx="378">
                  <c:v>-28.85722988487214</c:v>
                </c:pt>
                <c:pt idx="379">
                  <c:v>-28.95064091077456</c:v>
                </c:pt>
                <c:pt idx="380">
                  <c:v>-29.046347455308023</c:v>
                </c:pt>
                <c:pt idx="381">
                  <c:v>-29.14435406349746</c:v>
                </c:pt>
                <c:pt idx="382">
                  <c:v>-29.244662850028025</c:v>
                </c:pt>
                <c:pt idx="383">
                  <c:v>-29.347273490304879</c:v>
                </c:pt>
                <c:pt idx="384">
                  <c:v>-29.452183221839494</c:v>
                </c:pt>
                <c:pt idx="385">
                  <c:v>-29.55938685594964</c:v>
                </c:pt>
                <c:pt idx="386">
                  <c:v>-29.668876799669089</c:v>
                </c:pt>
                <c:pt idx="387">
                  <c:v>-29.780643087669834</c:v>
                </c:pt>
                <c:pt idx="388">
                  <c:v>-29.894673423913162</c:v>
                </c:pt>
                <c:pt idx="389">
                  <c:v>-30.010953232663745</c:v>
                </c:pt>
                <c:pt idx="390">
                  <c:v>-30.129465718417542</c:v>
                </c:pt>
                <c:pt idx="391">
                  <c:v>-30.250191934230489</c:v>
                </c:pt>
                <c:pt idx="392">
                  <c:v>-30.37311085786332</c:v>
                </c:pt>
                <c:pt idx="393">
                  <c:v>-30.498199475107942</c:v>
                </c:pt>
                <c:pt idx="394">
                  <c:v>-30.625432869611583</c:v>
                </c:pt>
                <c:pt idx="395">
                  <c:v>-30.75478431847699</c:v>
                </c:pt>
                <c:pt idx="396">
                  <c:v>-30.88622539289166</c:v>
                </c:pt>
                <c:pt idx="397">
                  <c:v>-31.019726063018037</c:v>
                </c:pt>
                <c:pt idx="398">
                  <c:v>-31.155254806370802</c:v>
                </c:pt>
                <c:pt idx="399">
                  <c:v>-31.292778718904565</c:v>
                </c:pt>
                <c:pt idx="400">
                  <c:v>-31.432263628047103</c:v>
                </c:pt>
                <c:pt idx="401">
                  <c:v>-31.573674206930036</c:v>
                </c:pt>
                <c:pt idx="402">
                  <c:v>-31.716974089090346</c:v>
                </c:pt>
                <c:pt idx="403">
                  <c:v>-31.862125982953696</c:v>
                </c:pt>
                <c:pt idx="404">
                  <c:v>-32.009091785439509</c:v>
                </c:pt>
                <c:pt idx="405">
                  <c:v>-32.157832694077477</c:v>
                </c:pt>
                <c:pt idx="406">
                  <c:v>-32.308309317065259</c:v>
                </c:pt>
                <c:pt idx="407">
                  <c:v>-32.460481780748282</c:v>
                </c:pt>
                <c:pt idx="408">
                  <c:v>-32.614309834055362</c:v>
                </c:pt>
                <c:pt idx="409">
                  <c:v>-32.769752949472739</c:v>
                </c:pt>
                <c:pt idx="410">
                  <c:v>-32.926770420195112</c:v>
                </c:pt>
                <c:pt idx="411">
                  <c:v>-33.085321453144225</c:v>
                </c:pt>
                <c:pt idx="412">
                  <c:v>-33.245365257597015</c:v>
                </c:pt>
                <c:pt idx="413">
                  <c:v>-33.406861129216423</c:v>
                </c:pt>
                <c:pt idx="414">
                  <c:v>-33.569768529326616</c:v>
                </c:pt>
                <c:pt idx="415">
                  <c:v>-33.734047159320411</c:v>
                </c:pt>
                <c:pt idx="416">
                  <c:v>-33.899657030129831</c:v>
                </c:pt>
                <c:pt idx="417">
                  <c:v>-34.066558526731598</c:v>
                </c:pt>
                <c:pt idx="418">
                  <c:v>-34.234712467696376</c:v>
                </c:pt>
                <c:pt idx="419">
                  <c:v>-34.404080159824538</c:v>
                </c:pt>
                <c:pt idx="420">
                  <c:v>-34.574623447940887</c:v>
                </c:pt>
                <c:pt idx="421">
                  <c:v>-34.746304759949417</c:v>
                </c:pt>
                <c:pt idx="422">
                  <c:v>-34.919087147270844</c:v>
                </c:pt>
                <c:pt idx="423">
                  <c:v>-35.092934320807352</c:v>
                </c:pt>
                <c:pt idx="424">
                  <c:v>-35.267810682595531</c:v>
                </c:pt>
                <c:pt idx="425">
                  <c:v>-35.443681353322908</c:v>
                </c:pt>
                <c:pt idx="426">
                  <c:v>-35.62051219589344</c:v>
                </c:pt>
                <c:pt idx="427">
                  <c:v>-35.798269835238791</c:v>
                </c:pt>
                <c:pt idx="428">
                  <c:v>-35.976921674574534</c:v>
                </c:pt>
                <c:pt idx="429">
                  <c:v>-36.15643590830706</c:v>
                </c:pt>
                <c:pt idx="430">
                  <c:v>-36.336781531798515</c:v>
                </c:pt>
                <c:pt idx="431">
                  <c:v>-36.517928348194722</c:v>
                </c:pt>
                <c:pt idx="432">
                  <c:v>-36.699846972523162</c:v>
                </c:pt>
                <c:pt idx="433">
                  <c:v>-36.882508833261355</c:v>
                </c:pt>
                <c:pt idx="434">
                  <c:v>-37.065886171574313</c:v>
                </c:pt>
                <c:pt idx="435">
                  <c:v>-37.249952038413653</c:v>
                </c:pt>
                <c:pt idx="436">
                  <c:v>-37.434680289663433</c:v>
                </c:pt>
                <c:pt idx="437">
                  <c:v>-37.620045579513935</c:v>
                </c:pt>
                <c:pt idx="438">
                  <c:v>-37.80602335223395</c:v>
                </c:pt>
                <c:pt idx="439">
                  <c:v>-37.992589832506106</c:v>
                </c:pt>
                <c:pt idx="440">
                  <c:v>-38.179722014481918</c:v>
                </c:pt>
                <c:pt idx="441">
                  <c:v>-38.367397649703406</c:v>
                </c:pt>
                <c:pt idx="442">
                  <c:v>-38.555595234030605</c:v>
                </c:pt>
                <c:pt idx="443">
                  <c:v>-38.744293993707174</c:v>
                </c:pt>
                <c:pt idx="444">
                  <c:v>-38.933473870683628</c:v>
                </c:pt>
                <c:pt idx="445">
                  <c:v>-39.123115507316243</c:v>
                </c:pt>
                <c:pt idx="446">
                  <c:v>-39.313200230543849</c:v>
                </c:pt>
                <c:pt idx="447">
                  <c:v>-39.503710035643984</c:v>
                </c:pt>
                <c:pt idx="448">
                  <c:v>-39.694627569656681</c:v>
                </c:pt>
                <c:pt idx="449">
                  <c:v>-39.8859361145607</c:v>
                </c:pt>
                <c:pt idx="450">
                  <c:v>-40.077619570277704</c:v>
                </c:pt>
                <c:pt idx="451">
                  <c:v>-40.269662437574269</c:v>
                </c:pt>
                <c:pt idx="452">
                  <c:v>-40.462049800924831</c:v>
                </c:pt>
                <c:pt idx="453">
                  <c:v>-40.654767311393243</c:v>
                </c:pt>
                <c:pt idx="454">
                  <c:v>-40.847801169583363</c:v>
                </c:pt>
                <c:pt idx="455">
                  <c:v>-41.041138108706349</c:v>
                </c:pt>
                <c:pt idx="456">
                  <c:v>-41.234765377804393</c:v>
                </c:pt>
                <c:pt idx="457">
                  <c:v>-41.428670725168644</c:v>
                </c:pt>
                <c:pt idx="458">
                  <c:v>-41.622842381982331</c:v>
                </c:pt>
                <c:pt idx="459">
                  <c:v>-41.817269046218001</c:v>
                </c:pt>
                <c:pt idx="460">
                  <c:v>-42.011939866812959</c:v>
                </c:pt>
                <c:pt idx="461">
                  <c:v>-42.206844428143455</c:v>
                </c:pt>
                <c:pt idx="462">
                  <c:v>-42.401972734816027</c:v>
                </c:pt>
                <c:pt idx="463">
                  <c:v>-42.597315196789893</c:v>
                </c:pt>
                <c:pt idx="464">
                  <c:v>-42.792862614843386</c:v>
                </c:pt>
                <c:pt idx="465">
                  <c:v>-42.988606166393339</c:v>
                </c:pt>
                <c:pt idx="466">
                  <c:v>-43.184537391675555</c:v>
                </c:pt>
                <c:pt idx="467">
                  <c:v>-43.380648180290883</c:v>
                </c:pt>
                <c:pt idx="468">
                  <c:v>-43.576930758121613</c:v>
                </c:pt>
                <c:pt idx="469">
                  <c:v>-43.773377674619177</c:v>
                </c:pt>
                <c:pt idx="470">
                  <c:v>-43.969981790464317</c:v>
                </c:pt>
                <c:pt idx="471">
                  <c:v>-44.166736265598729</c:v>
                </c:pt>
                <c:pt idx="472">
                  <c:v>-44.363634547625885</c:v>
                </c:pt>
                <c:pt idx="473">
                  <c:v>-44.560670360578321</c:v>
                </c:pt>
                <c:pt idx="474">
                  <c:v>-44.757837694048064</c:v>
                </c:pt>
                <c:pt idx="475">
                  <c:v>-44.95513079267387</c:v>
                </c:pt>
                <c:pt idx="476">
                  <c:v>-45.152544145981707</c:v>
                </c:pt>
                <c:pt idx="477">
                  <c:v>-45.350072478571619</c:v>
                </c:pt>
                <c:pt idx="478">
                  <c:v>-45.547710740643836</c:v>
                </c:pt>
                <c:pt idx="479">
                  <c:v>-45.745454098858367</c:v>
                </c:pt>
                <c:pt idx="480">
                  <c:v>-45.943297927521122</c:v>
                </c:pt>
                <c:pt idx="481">
                  <c:v>-46.141237800086444</c:v>
                </c:pt>
                <c:pt idx="482">
                  <c:v>-46.339269480971566</c:v>
                </c:pt>
                <c:pt idx="483">
                  <c:v>-46.537388917672743</c:v>
                </c:pt>
                <c:pt idx="484">
                  <c:v>-46.73559223317595</c:v>
                </c:pt>
                <c:pt idx="485">
                  <c:v>-46.933875718653447</c:v>
                </c:pt>
                <c:pt idx="486">
                  <c:v>-47.132235826438489</c:v>
                </c:pt>
                <c:pt idx="487">
                  <c:v>-47.330669163270016</c:v>
                </c:pt>
                <c:pt idx="488">
                  <c:v>-47.529172483797701</c:v>
                </c:pt>
                <c:pt idx="489">
                  <c:v>-47.727742684341699</c:v>
                </c:pt>
                <c:pt idx="490">
                  <c:v>-47.926376796896228</c:v>
                </c:pt>
                <c:pt idx="491">
                  <c:v>-48.125071983371726</c:v>
                </c:pt>
                <c:pt idx="492">
                  <c:v>-48.323825530064887</c:v>
                </c:pt>
                <c:pt idx="493">
                  <c:v>-48.52263484235101</c:v>
                </c:pt>
                <c:pt idx="494">
                  <c:v>-48.721497439590486</c:v>
                </c:pt>
                <c:pt idx="495">
                  <c:v>-48.920410950240523</c:v>
                </c:pt>
                <c:pt idx="496">
                  <c:v>-49.119373107166872</c:v>
                </c:pt>
                <c:pt idx="497">
                  <c:v>-49.318381743147469</c:v>
                </c:pt>
                <c:pt idx="498">
                  <c:v>-49.517434786560045</c:v>
                </c:pt>
                <c:pt idx="499">
                  <c:v>-49.71653025724892</c:v>
                </c:pt>
                <c:pt idx="500">
                  <c:v>-49.915666262562212</c:v>
                </c:pt>
                <c:pt idx="501">
                  <c:v>-50.114840993554921</c:v>
                </c:pt>
                <c:pt idx="502">
                  <c:v>-50.31405272134964</c:v>
                </c:pt>
                <c:pt idx="503">
                  <c:v>-50.513299793651136</c:v>
                </c:pt>
                <c:pt idx="504">
                  <c:v>-50.712580631406382</c:v>
                </c:pt>
                <c:pt idx="505">
                  <c:v>-50.91189372560649</c:v>
                </c:pt>
                <c:pt idx="506">
                  <c:v>-51.111237634223485</c:v>
                </c:pt>
                <c:pt idx="507">
                  <c:v>-51.310610979277563</c:v>
                </c:pt>
                <c:pt idx="508">
                  <c:v>-51.510012444028845</c:v>
                </c:pt>
                <c:pt idx="509">
                  <c:v>-51.709440770289454</c:v>
                </c:pt>
                <c:pt idx="510">
                  <c:v>-51.908894755850234</c:v>
                </c:pt>
                <c:pt idx="511">
                  <c:v>-52.108373252018126</c:v>
                </c:pt>
                <c:pt idx="512">
                  <c:v>-52.307875161259233</c:v>
                </c:pt>
                <c:pt idx="513">
                  <c:v>-52.507399434943935</c:v>
                </c:pt>
                <c:pt idx="514">
                  <c:v>-52.706945071188528</c:v>
                </c:pt>
                <c:pt idx="515">
                  <c:v>-52.906511112790881</c:v>
                </c:pt>
                <c:pt idx="516">
                  <c:v>-53.10609664525542</c:v>
                </c:pt>
                <c:pt idx="517">
                  <c:v>-53.305700794903913</c:v>
                </c:pt>
                <c:pt idx="518">
                  <c:v>-53.505322727068211</c:v>
                </c:pt>
                <c:pt idx="519">
                  <c:v>-53.704961644361845</c:v>
                </c:pt>
                <c:pt idx="520">
                  <c:v>-53.904616785026789</c:v>
                </c:pt>
                <c:pt idx="521">
                  <c:v>-54.104287421353249</c:v>
                </c:pt>
                <c:pt idx="522">
                  <c:v>-54.303972858167462</c:v>
                </c:pt>
                <c:pt idx="523">
                  <c:v>-54.503672431386711</c:v>
                </c:pt>
                <c:pt idx="524">
                  <c:v>-54.703385506636586</c:v>
                </c:pt>
                <c:pt idx="525">
                  <c:v>-54.903111477930537</c:v>
                </c:pt>
                <c:pt idx="526">
                  <c:v>-55.102849766406052</c:v>
                </c:pt>
                <c:pt idx="527">
                  <c:v>-55.302599819117191</c:v>
                </c:pt>
                <c:pt idx="528">
                  <c:v>-55.502361107880006</c:v>
                </c:pt>
                <c:pt idx="529">
                  <c:v>-55.702133128169294</c:v>
                </c:pt>
                <c:pt idx="530">
                  <c:v>-55.901915398063345</c:v>
                </c:pt>
                <c:pt idx="531">
                  <c:v>-56.101707457235889</c:v>
                </c:pt>
                <c:pt idx="532">
                  <c:v>-56.30150886599273</c:v>
                </c:pt>
                <c:pt idx="533">
                  <c:v>-56.501319204350224</c:v>
                </c:pt>
                <c:pt idx="534">
                  <c:v>-56.701138071155427</c:v>
                </c:pt>
                <c:pt idx="535">
                  <c:v>-56.900965083244756</c:v>
                </c:pt>
                <c:pt idx="536">
                  <c:v>-57.100799874640025</c:v>
                </c:pt>
                <c:pt idx="537">
                  <c:v>-57.300642095780333</c:v>
                </c:pt>
                <c:pt idx="538">
                  <c:v>-57.500491412788008</c:v>
                </c:pt>
                <c:pt idx="539">
                  <c:v>-57.700347506766825</c:v>
                </c:pt>
                <c:pt idx="540">
                  <c:v>-57.900210073132016</c:v>
                </c:pt>
                <c:pt idx="541">
                  <c:v>-58.100078820969614</c:v>
                </c:pt>
              </c:numCache>
            </c:numRef>
          </c:yVal>
          <c:smooth val="1"/>
          <c:extLst>
            <c:ext xmlns:c16="http://schemas.microsoft.com/office/drawing/2014/chart" uri="{C3380CC4-5D6E-409C-BE32-E72D297353CC}">
              <c16:uniqueId val="{00000000-4F4B-43C9-BE46-3F56EC7D1C25}"/>
            </c:ext>
          </c:extLst>
        </c:ser>
        <c:dLbls>
          <c:showLegendKey val="0"/>
          <c:showVal val="0"/>
          <c:showCatName val="0"/>
          <c:showSerName val="0"/>
          <c:showPercent val="0"/>
          <c:showBubbleSize val="0"/>
        </c:dLbls>
        <c:axId val="384242816"/>
        <c:axId val="384244736"/>
      </c:scatterChart>
      <c:scatterChart>
        <c:scatterStyle val="smoothMarker"/>
        <c:varyColors val="0"/>
        <c:ser>
          <c:idx val="1"/>
          <c:order val="1"/>
          <c:marker>
            <c:symbol val="none"/>
          </c:marker>
          <c:xVal>
            <c:numRef>
              <c:f>CCM_Loop_Modeling_non_isolated!$O$19:$O$560</c:f>
              <c:numCache>
                <c:formatCode>0.00</c:formatCode>
                <c:ptCount val="542"/>
                <c:pt idx="0">
                  <c:v>10.232929922807543</c:v>
                </c:pt>
                <c:pt idx="1">
                  <c:v>10.471285480509</c:v>
                </c:pt>
                <c:pt idx="2">
                  <c:v>10.715193052376069</c:v>
                </c:pt>
                <c:pt idx="3">
                  <c:v>10.964781961431854</c:v>
                </c:pt>
                <c:pt idx="4">
                  <c:v>11.220184543019636</c:v>
                </c:pt>
                <c:pt idx="5">
                  <c:v>11.481536214968834</c:v>
                </c:pt>
                <c:pt idx="6">
                  <c:v>11.748975549395301</c:v>
                </c:pt>
                <c:pt idx="7">
                  <c:v>12.022644346174133</c:v>
                </c:pt>
                <c:pt idx="8">
                  <c:v>12.302687708123818</c:v>
                </c:pt>
                <c:pt idx="9">
                  <c:v>12.58925411794168</c:v>
                </c:pt>
                <c:pt idx="10">
                  <c:v>12.882495516931346</c:v>
                </c:pt>
                <c:pt idx="11">
                  <c:v>13.182567385564075</c:v>
                </c:pt>
                <c:pt idx="12">
                  <c:v>13.489628825916535</c:v>
                </c:pt>
                <c:pt idx="13">
                  <c:v>13.803842646028857</c:v>
                </c:pt>
                <c:pt idx="14">
                  <c:v>14.125375446227544</c:v>
                </c:pt>
                <c:pt idx="15">
                  <c:v>14.454397707459275</c:v>
                </c:pt>
                <c:pt idx="16">
                  <c:v>14.791083881682074</c:v>
                </c:pt>
                <c:pt idx="17">
                  <c:v>15.135612484362087</c:v>
                </c:pt>
                <c:pt idx="18">
                  <c:v>15.488166189124817</c:v>
                </c:pt>
                <c:pt idx="19">
                  <c:v>15.848931924611136</c:v>
                </c:pt>
                <c:pt idx="20">
                  <c:v>16.218100973589298</c:v>
                </c:pt>
                <c:pt idx="21">
                  <c:v>16.595869074375614</c:v>
                </c:pt>
                <c:pt idx="22">
                  <c:v>16.982436524617448</c:v>
                </c:pt>
                <c:pt idx="23">
                  <c:v>17.378008287493756</c:v>
                </c:pt>
                <c:pt idx="24">
                  <c:v>17.782794100389236</c:v>
                </c:pt>
                <c:pt idx="25">
                  <c:v>18.197008586099841</c:v>
                </c:pt>
                <c:pt idx="26">
                  <c:v>18.62087136662868</c:v>
                </c:pt>
                <c:pt idx="27">
                  <c:v>19.054607179632477</c:v>
                </c:pt>
                <c:pt idx="28">
                  <c:v>19.498445997580465</c:v>
                </c:pt>
                <c:pt idx="29">
                  <c:v>19.952623149688804</c:v>
                </c:pt>
                <c:pt idx="30">
                  <c:v>20.4173794466953</c:v>
                </c:pt>
                <c:pt idx="31">
                  <c:v>20.8929613085404</c:v>
                </c:pt>
                <c:pt idx="32">
                  <c:v>21.379620895022335</c:v>
                </c:pt>
                <c:pt idx="33">
                  <c:v>21.877616239495538</c:v>
                </c:pt>
                <c:pt idx="34">
                  <c:v>22.387211385683404</c:v>
                </c:pt>
                <c:pt idx="35">
                  <c:v>22.908676527677727</c:v>
                </c:pt>
                <c:pt idx="36">
                  <c:v>23.442288153199236</c:v>
                </c:pt>
                <c:pt idx="37">
                  <c:v>23.988329190194907</c:v>
                </c:pt>
                <c:pt idx="38">
                  <c:v>24.547089156850316</c:v>
                </c:pt>
                <c:pt idx="39">
                  <c:v>25.118864315095799</c:v>
                </c:pt>
                <c:pt idx="40">
                  <c:v>25.703957827688647</c:v>
                </c:pt>
                <c:pt idx="41">
                  <c:v>26.302679918953825</c:v>
                </c:pt>
                <c:pt idx="42">
                  <c:v>26.915348039269158</c:v>
                </c:pt>
                <c:pt idx="43">
                  <c:v>27.542287033381665</c:v>
                </c:pt>
                <c:pt idx="44">
                  <c:v>28.183829312644548</c:v>
                </c:pt>
                <c:pt idx="45">
                  <c:v>28.840315031266066</c:v>
                </c:pt>
                <c:pt idx="46">
                  <c:v>29.512092266663863</c:v>
                </c:pt>
                <c:pt idx="47">
                  <c:v>30.199517204020164</c:v>
                </c:pt>
                <c:pt idx="48">
                  <c:v>30.902954325135919</c:v>
                </c:pt>
                <c:pt idx="49">
                  <c:v>31.622776601683803</c:v>
                </c:pt>
                <c:pt idx="50">
                  <c:v>32.359365692962832</c:v>
                </c:pt>
                <c:pt idx="51">
                  <c:v>33.113112148259127</c:v>
                </c:pt>
                <c:pt idx="52">
                  <c:v>33.884415613920268</c:v>
                </c:pt>
                <c:pt idx="53">
                  <c:v>34.67368504525318</c:v>
                </c:pt>
                <c:pt idx="54">
                  <c:v>35.481338923357555</c:v>
                </c:pt>
                <c:pt idx="55">
                  <c:v>36.307805477010156</c:v>
                </c:pt>
                <c:pt idx="56">
                  <c:v>37.15352290971726</c:v>
                </c:pt>
                <c:pt idx="57">
                  <c:v>38.018939632056139</c:v>
                </c:pt>
                <c:pt idx="58">
                  <c:v>38.904514499428053</c:v>
                </c:pt>
                <c:pt idx="59">
                  <c:v>39.810717055349755</c:v>
                </c:pt>
                <c:pt idx="60">
                  <c:v>40.738027780411279</c:v>
                </c:pt>
                <c:pt idx="61">
                  <c:v>41.686938347033561</c:v>
                </c:pt>
                <c:pt idx="62">
                  <c:v>42.657951880159267</c:v>
                </c:pt>
                <c:pt idx="63">
                  <c:v>43.651583224016633</c:v>
                </c:pt>
                <c:pt idx="64">
                  <c:v>44.668359215096324</c:v>
                </c:pt>
                <c:pt idx="65">
                  <c:v>45.70881896148753</c:v>
                </c:pt>
                <c:pt idx="66">
                  <c:v>46.773514128719818</c:v>
                </c:pt>
                <c:pt idx="67">
                  <c:v>47.863009232263877</c:v>
                </c:pt>
                <c:pt idx="68">
                  <c:v>48.977881936844632</c:v>
                </c:pt>
                <c:pt idx="69">
                  <c:v>50.118723362727238</c:v>
                </c:pt>
                <c:pt idx="70">
                  <c:v>51.28613839913649</c:v>
                </c:pt>
                <c:pt idx="71">
                  <c:v>52.480746024977286</c:v>
                </c:pt>
                <c:pt idx="72">
                  <c:v>53.703179637025293</c:v>
                </c:pt>
                <c:pt idx="73">
                  <c:v>54.95408738576247</c:v>
                </c:pt>
                <c:pt idx="74">
                  <c:v>56.234132519034915</c:v>
                </c:pt>
                <c:pt idx="75">
                  <c:v>57.543993733715695</c:v>
                </c:pt>
                <c:pt idx="76">
                  <c:v>58.884365535558949</c:v>
                </c:pt>
                <c:pt idx="77">
                  <c:v>60.255958607435822</c:v>
                </c:pt>
                <c:pt idx="78">
                  <c:v>61.659500186148257</c:v>
                </c:pt>
                <c:pt idx="79">
                  <c:v>63.095734448019364</c:v>
                </c:pt>
                <c:pt idx="80">
                  <c:v>64.565422903465588</c:v>
                </c:pt>
                <c:pt idx="81">
                  <c:v>66.069344800759623</c:v>
                </c:pt>
                <c:pt idx="82">
                  <c:v>67.60829753919819</c:v>
                </c:pt>
                <c:pt idx="83">
                  <c:v>69.183097091893657</c:v>
                </c:pt>
                <c:pt idx="84">
                  <c:v>70.794578438413865</c:v>
                </c:pt>
                <c:pt idx="85">
                  <c:v>72.443596007499011</c:v>
                </c:pt>
                <c:pt idx="86">
                  <c:v>74.131024130091816</c:v>
                </c:pt>
                <c:pt idx="87">
                  <c:v>75.857757502918361</c:v>
                </c:pt>
                <c:pt idx="88">
                  <c:v>77.624711662869217</c:v>
                </c:pt>
                <c:pt idx="89">
                  <c:v>79.432823472428197</c:v>
                </c:pt>
                <c:pt idx="90">
                  <c:v>81.283051616409963</c:v>
                </c:pt>
                <c:pt idx="91">
                  <c:v>83.176377110267126</c:v>
                </c:pt>
                <c:pt idx="92">
                  <c:v>85.113803820237734</c:v>
                </c:pt>
                <c:pt idx="93">
                  <c:v>87.096358995608071</c:v>
                </c:pt>
                <c:pt idx="94">
                  <c:v>89.125093813374562</c:v>
                </c:pt>
                <c:pt idx="95">
                  <c:v>91.201083935590972</c:v>
                </c:pt>
                <c:pt idx="96">
                  <c:v>93.325430079699174</c:v>
                </c:pt>
                <c:pt idx="97">
                  <c:v>95.499258602143655</c:v>
                </c:pt>
                <c:pt idx="98">
                  <c:v>97.723722095581124</c:v>
                </c:pt>
                <c:pt idx="99">
                  <c:v>100</c:v>
                </c:pt>
                <c:pt idx="100">
                  <c:v>102.32929922807544</c:v>
                </c:pt>
                <c:pt idx="101">
                  <c:v>104.71285480508998</c:v>
                </c:pt>
                <c:pt idx="102">
                  <c:v>107.15193052376065</c:v>
                </c:pt>
                <c:pt idx="103">
                  <c:v>109.64781961431861</c:v>
                </c:pt>
                <c:pt idx="104">
                  <c:v>112.20184543019634</c:v>
                </c:pt>
                <c:pt idx="105">
                  <c:v>114.81536214968835</c:v>
                </c:pt>
                <c:pt idx="106">
                  <c:v>117.48975549395293</c:v>
                </c:pt>
                <c:pt idx="107">
                  <c:v>120.22644346174135</c:v>
                </c:pt>
                <c:pt idx="108">
                  <c:v>123.02687708123821</c:v>
                </c:pt>
                <c:pt idx="109">
                  <c:v>125.89254117941677</c:v>
                </c:pt>
                <c:pt idx="110">
                  <c:v>128.82495516931343</c:v>
                </c:pt>
                <c:pt idx="111">
                  <c:v>131.82567385564084</c:v>
                </c:pt>
                <c:pt idx="112">
                  <c:v>134.89628825916537</c:v>
                </c:pt>
                <c:pt idx="113">
                  <c:v>138.0384264602886</c:v>
                </c:pt>
                <c:pt idx="114">
                  <c:v>141.25375446227542</c:v>
                </c:pt>
                <c:pt idx="115">
                  <c:v>144.54397707459285</c:v>
                </c:pt>
                <c:pt idx="116">
                  <c:v>147.91083881682084</c:v>
                </c:pt>
                <c:pt idx="117">
                  <c:v>151.3561248436209</c:v>
                </c:pt>
                <c:pt idx="118">
                  <c:v>154.8816618912482</c:v>
                </c:pt>
                <c:pt idx="119">
                  <c:v>158.48931924611153</c:v>
                </c:pt>
                <c:pt idx="120">
                  <c:v>162.18100973589304</c:v>
                </c:pt>
                <c:pt idx="121">
                  <c:v>165.95869074375622</c:v>
                </c:pt>
                <c:pt idx="122">
                  <c:v>169.82436524617444</c:v>
                </c:pt>
                <c:pt idx="123">
                  <c:v>173.78008287493768</c:v>
                </c:pt>
                <c:pt idx="124">
                  <c:v>177.82794100389242</c:v>
                </c:pt>
                <c:pt idx="125">
                  <c:v>181.9700858609983</c:v>
                </c:pt>
                <c:pt idx="126">
                  <c:v>186.20871366628685</c:v>
                </c:pt>
                <c:pt idx="127">
                  <c:v>190.54607179632498</c:v>
                </c:pt>
                <c:pt idx="128">
                  <c:v>194.98445997580458</c:v>
                </c:pt>
                <c:pt idx="129">
                  <c:v>199.52623149688802</c:v>
                </c:pt>
                <c:pt idx="130">
                  <c:v>204.17379446695315</c:v>
                </c:pt>
                <c:pt idx="131">
                  <c:v>208.92961308540396</c:v>
                </c:pt>
                <c:pt idx="132">
                  <c:v>213.79620895022339</c:v>
                </c:pt>
                <c:pt idx="133">
                  <c:v>218.77616239495524</c:v>
                </c:pt>
                <c:pt idx="134">
                  <c:v>223.87211385683412</c:v>
                </c:pt>
                <c:pt idx="135">
                  <c:v>229.08676527677744</c:v>
                </c:pt>
                <c:pt idx="136">
                  <c:v>234.42288153199232</c:v>
                </c:pt>
                <c:pt idx="137">
                  <c:v>239.88329190194912</c:v>
                </c:pt>
                <c:pt idx="138">
                  <c:v>245.4708915685033</c:v>
                </c:pt>
                <c:pt idx="139">
                  <c:v>251.18864315095806</c:v>
                </c:pt>
                <c:pt idx="140">
                  <c:v>257.03957827688663</c:v>
                </c:pt>
                <c:pt idx="141">
                  <c:v>263.02679918953817</c:v>
                </c:pt>
                <c:pt idx="142">
                  <c:v>269.15348039269179</c:v>
                </c:pt>
                <c:pt idx="143">
                  <c:v>275.42287033381683</c:v>
                </c:pt>
                <c:pt idx="144">
                  <c:v>281.83829312644554</c:v>
                </c:pt>
                <c:pt idx="145">
                  <c:v>288.40315031266073</c:v>
                </c:pt>
                <c:pt idx="146">
                  <c:v>295.12092266663871</c:v>
                </c:pt>
                <c:pt idx="147">
                  <c:v>301.99517204020168</c:v>
                </c:pt>
                <c:pt idx="148">
                  <c:v>309.02954325135937</c:v>
                </c:pt>
                <c:pt idx="149">
                  <c:v>316.22776601683825</c:v>
                </c:pt>
                <c:pt idx="150">
                  <c:v>323.59365692962825</c:v>
                </c:pt>
                <c:pt idx="151">
                  <c:v>331.13112148259137</c:v>
                </c:pt>
                <c:pt idx="152">
                  <c:v>338.84415613920277</c:v>
                </c:pt>
                <c:pt idx="153">
                  <c:v>346.73685045253183</c:v>
                </c:pt>
                <c:pt idx="154">
                  <c:v>354.81338923357566</c:v>
                </c:pt>
                <c:pt idx="155">
                  <c:v>363.07805477010152</c:v>
                </c:pt>
                <c:pt idx="156">
                  <c:v>371.53522909717265</c:v>
                </c:pt>
                <c:pt idx="157">
                  <c:v>380.18939632056163</c:v>
                </c:pt>
                <c:pt idx="158">
                  <c:v>389.04514499428063</c:v>
                </c:pt>
                <c:pt idx="159">
                  <c:v>398.10717055349761</c:v>
                </c:pt>
                <c:pt idx="160">
                  <c:v>407.38027780411272</c:v>
                </c:pt>
                <c:pt idx="161">
                  <c:v>416.86938347033572</c:v>
                </c:pt>
                <c:pt idx="162">
                  <c:v>426.57951880159294</c:v>
                </c:pt>
                <c:pt idx="163">
                  <c:v>436.51583224016622</c:v>
                </c:pt>
                <c:pt idx="164">
                  <c:v>446.68359215096331</c:v>
                </c:pt>
                <c:pt idx="165">
                  <c:v>457.0881896148756</c:v>
                </c:pt>
                <c:pt idx="166">
                  <c:v>467.7351412871983</c:v>
                </c:pt>
                <c:pt idx="167">
                  <c:v>478.63009232263886</c:v>
                </c:pt>
                <c:pt idx="168">
                  <c:v>489.77881936844625</c:v>
                </c:pt>
                <c:pt idx="169">
                  <c:v>501.18723362727269</c:v>
                </c:pt>
                <c:pt idx="170">
                  <c:v>512.86138399136519</c:v>
                </c:pt>
                <c:pt idx="171">
                  <c:v>524.80746024977248</c:v>
                </c:pt>
                <c:pt idx="172">
                  <c:v>537.03179637025301</c:v>
                </c:pt>
                <c:pt idx="173">
                  <c:v>549.54087385762534</c:v>
                </c:pt>
                <c:pt idx="174">
                  <c:v>562.34132519034927</c:v>
                </c:pt>
                <c:pt idx="175">
                  <c:v>575.43993733715706</c:v>
                </c:pt>
                <c:pt idx="176">
                  <c:v>588.84365535558959</c:v>
                </c:pt>
                <c:pt idx="177">
                  <c:v>602.55958607435832</c:v>
                </c:pt>
                <c:pt idx="178">
                  <c:v>616.59500186148273</c:v>
                </c:pt>
                <c:pt idx="179">
                  <c:v>630.95734448019323</c:v>
                </c:pt>
                <c:pt idx="180">
                  <c:v>645.65422903465594</c:v>
                </c:pt>
                <c:pt idx="181">
                  <c:v>660.69344800759643</c:v>
                </c:pt>
                <c:pt idx="182">
                  <c:v>676.08297539198213</c:v>
                </c:pt>
                <c:pt idx="183">
                  <c:v>691.83097091893671</c:v>
                </c:pt>
                <c:pt idx="184">
                  <c:v>707.94578438413873</c:v>
                </c:pt>
                <c:pt idx="185">
                  <c:v>724.43596007499025</c:v>
                </c:pt>
                <c:pt idx="186">
                  <c:v>741.31024130091828</c:v>
                </c:pt>
                <c:pt idx="187">
                  <c:v>758.57757502918378</c:v>
                </c:pt>
                <c:pt idx="188">
                  <c:v>776.24711662869231</c:v>
                </c:pt>
                <c:pt idx="189">
                  <c:v>794.32823472428208</c:v>
                </c:pt>
                <c:pt idx="190">
                  <c:v>812.83051616409978</c:v>
                </c:pt>
                <c:pt idx="191">
                  <c:v>831.7637711026714</c:v>
                </c:pt>
                <c:pt idx="192">
                  <c:v>851.13803820237763</c:v>
                </c:pt>
                <c:pt idx="193">
                  <c:v>870.96358995608091</c:v>
                </c:pt>
                <c:pt idx="194">
                  <c:v>891.25093813374656</c:v>
                </c:pt>
                <c:pt idx="195">
                  <c:v>912.01083935590987</c:v>
                </c:pt>
                <c:pt idx="196">
                  <c:v>933.25430079699106</c:v>
                </c:pt>
                <c:pt idx="197">
                  <c:v>954.99258602143675</c:v>
                </c:pt>
                <c:pt idx="198">
                  <c:v>977.23722095581138</c:v>
                </c:pt>
                <c:pt idx="199">
                  <c:v>1000</c:v>
                </c:pt>
                <c:pt idx="200">
                  <c:v>1023.2929922807547</c:v>
                </c:pt>
                <c:pt idx="201">
                  <c:v>1047.1285480509</c:v>
                </c:pt>
                <c:pt idx="202">
                  <c:v>1071.5193052376069</c:v>
                </c:pt>
                <c:pt idx="203">
                  <c:v>1096.4781961431863</c:v>
                </c:pt>
                <c:pt idx="204">
                  <c:v>1122.0184543019636</c:v>
                </c:pt>
                <c:pt idx="205">
                  <c:v>1148.1536214968839</c:v>
                </c:pt>
                <c:pt idx="206">
                  <c:v>1174.8975549395295</c:v>
                </c:pt>
                <c:pt idx="207">
                  <c:v>1202.2644346174138</c:v>
                </c:pt>
                <c:pt idx="208">
                  <c:v>1230.2687708123824</c:v>
                </c:pt>
                <c:pt idx="209">
                  <c:v>1258.925411794168</c:v>
                </c:pt>
                <c:pt idx="210">
                  <c:v>1288.2495516931347</c:v>
                </c:pt>
                <c:pt idx="211">
                  <c:v>1318.2567385564089</c:v>
                </c:pt>
                <c:pt idx="212">
                  <c:v>1348.9628825916541</c:v>
                </c:pt>
                <c:pt idx="213">
                  <c:v>1380.3842646028863</c:v>
                </c:pt>
                <c:pt idx="214">
                  <c:v>1412.5375446227545</c:v>
                </c:pt>
                <c:pt idx="215">
                  <c:v>1445.4397707459289</c:v>
                </c:pt>
                <c:pt idx="216">
                  <c:v>1479.1083881682086</c:v>
                </c:pt>
                <c:pt idx="217">
                  <c:v>1513.5612484362093</c:v>
                </c:pt>
                <c:pt idx="218">
                  <c:v>1548.8166189124822</c:v>
                </c:pt>
                <c:pt idx="219">
                  <c:v>1584.8931924611156</c:v>
                </c:pt>
                <c:pt idx="220">
                  <c:v>1621.8100973589308</c:v>
                </c:pt>
                <c:pt idx="221">
                  <c:v>1659.5869074375626</c:v>
                </c:pt>
                <c:pt idx="222">
                  <c:v>1698.2436524617447</c:v>
                </c:pt>
                <c:pt idx="223">
                  <c:v>1737.8008287493772</c:v>
                </c:pt>
                <c:pt idx="224">
                  <c:v>1778.2794100389244</c:v>
                </c:pt>
                <c:pt idx="225">
                  <c:v>1819.7008586099832</c:v>
                </c:pt>
                <c:pt idx="226">
                  <c:v>1862.0871366628687</c:v>
                </c:pt>
                <c:pt idx="227">
                  <c:v>1905.4607179632501</c:v>
                </c:pt>
                <c:pt idx="228">
                  <c:v>1949.8445997580463</c:v>
                </c:pt>
                <c:pt idx="229">
                  <c:v>1995.2623149688804</c:v>
                </c:pt>
                <c:pt idx="230">
                  <c:v>2041.7379446695318</c:v>
                </c:pt>
                <c:pt idx="231">
                  <c:v>2089.2961308540398</c:v>
                </c:pt>
                <c:pt idx="232">
                  <c:v>2137.9620895022344</c:v>
                </c:pt>
                <c:pt idx="233">
                  <c:v>2187.7616239495528</c:v>
                </c:pt>
                <c:pt idx="234">
                  <c:v>2238.7211385683418</c:v>
                </c:pt>
                <c:pt idx="235">
                  <c:v>2290.8676527677749</c:v>
                </c:pt>
                <c:pt idx="236">
                  <c:v>2344.2288153199238</c:v>
                </c:pt>
                <c:pt idx="237">
                  <c:v>2398.8329190194918</c:v>
                </c:pt>
                <c:pt idx="238">
                  <c:v>2454.7089156850338</c:v>
                </c:pt>
                <c:pt idx="239">
                  <c:v>2511.8864315095811</c:v>
                </c:pt>
                <c:pt idx="240">
                  <c:v>2570.3957827688669</c:v>
                </c:pt>
                <c:pt idx="241">
                  <c:v>2630.2679918953822</c:v>
                </c:pt>
                <c:pt idx="242">
                  <c:v>2691.5348039269184</c:v>
                </c:pt>
                <c:pt idx="243">
                  <c:v>2754.228703338169</c:v>
                </c:pt>
                <c:pt idx="244">
                  <c:v>2818.3829312644561</c:v>
                </c:pt>
                <c:pt idx="245">
                  <c:v>2884.0315031266077</c:v>
                </c:pt>
                <c:pt idx="246">
                  <c:v>2951.2092266663876</c:v>
                </c:pt>
                <c:pt idx="247">
                  <c:v>3019.9517204020176</c:v>
                </c:pt>
                <c:pt idx="248">
                  <c:v>3090.295432513592</c:v>
                </c:pt>
                <c:pt idx="249">
                  <c:v>3162.2776601683804</c:v>
                </c:pt>
                <c:pt idx="250">
                  <c:v>3235.9365692962833</c:v>
                </c:pt>
                <c:pt idx="251">
                  <c:v>3311.3112148259115</c:v>
                </c:pt>
                <c:pt idx="252">
                  <c:v>3388.4415613920314</c:v>
                </c:pt>
                <c:pt idx="253">
                  <c:v>3467.3685045253224</c:v>
                </c:pt>
                <c:pt idx="254">
                  <c:v>3548.1338923357539</c:v>
                </c:pt>
                <c:pt idx="255">
                  <c:v>3630.7805477010188</c:v>
                </c:pt>
                <c:pt idx="256">
                  <c:v>3715.352290971724</c:v>
                </c:pt>
                <c:pt idx="257">
                  <c:v>3801.8939632056172</c:v>
                </c:pt>
                <c:pt idx="258">
                  <c:v>3890.451449942811</c:v>
                </c:pt>
                <c:pt idx="259">
                  <c:v>3981.0717055349769</c:v>
                </c:pt>
                <c:pt idx="260">
                  <c:v>4073.8027780411317</c:v>
                </c:pt>
                <c:pt idx="261">
                  <c:v>4168.6938347033583</c:v>
                </c:pt>
                <c:pt idx="262">
                  <c:v>4265.7951880159299</c:v>
                </c:pt>
                <c:pt idx="263">
                  <c:v>4365.1583224016631</c:v>
                </c:pt>
                <c:pt idx="264">
                  <c:v>4466.8359215096343</c:v>
                </c:pt>
                <c:pt idx="265">
                  <c:v>4570.8818961487532</c:v>
                </c:pt>
                <c:pt idx="266">
                  <c:v>4677.3514128719844</c:v>
                </c:pt>
                <c:pt idx="267">
                  <c:v>4786.3009232263848</c:v>
                </c:pt>
                <c:pt idx="268">
                  <c:v>4897.7881936844633</c:v>
                </c:pt>
                <c:pt idx="269">
                  <c:v>5011.8723362727324</c:v>
                </c:pt>
                <c:pt idx="270">
                  <c:v>5128.6138399136489</c:v>
                </c:pt>
                <c:pt idx="271">
                  <c:v>5248.0746024977261</c:v>
                </c:pt>
                <c:pt idx="272">
                  <c:v>5370.3179637025269</c:v>
                </c:pt>
                <c:pt idx="273">
                  <c:v>5495.4087385762541</c:v>
                </c:pt>
                <c:pt idx="274">
                  <c:v>5623.4132519034993</c:v>
                </c:pt>
                <c:pt idx="275">
                  <c:v>5754.399373371567</c:v>
                </c:pt>
                <c:pt idx="276">
                  <c:v>5888.4365535558973</c:v>
                </c:pt>
                <c:pt idx="277">
                  <c:v>6025.595860743585</c:v>
                </c:pt>
                <c:pt idx="278">
                  <c:v>6165.9500186148289</c:v>
                </c:pt>
                <c:pt idx="279">
                  <c:v>6309.5734448019384</c:v>
                </c:pt>
                <c:pt idx="280">
                  <c:v>6456.5422903465615</c:v>
                </c:pt>
                <c:pt idx="281">
                  <c:v>6606.9344800759654</c:v>
                </c:pt>
                <c:pt idx="282">
                  <c:v>6760.8297539198229</c:v>
                </c:pt>
                <c:pt idx="283">
                  <c:v>6918.3097091893687</c:v>
                </c:pt>
                <c:pt idx="284">
                  <c:v>7079.4578438413828</c:v>
                </c:pt>
                <c:pt idx="285">
                  <c:v>7244.3596007499036</c:v>
                </c:pt>
                <c:pt idx="286">
                  <c:v>7413.1024130091773</c:v>
                </c:pt>
                <c:pt idx="287">
                  <c:v>7585.7757502918394</c:v>
                </c:pt>
                <c:pt idx="288">
                  <c:v>7762.4711662869322</c:v>
                </c:pt>
                <c:pt idx="289">
                  <c:v>7943.2823472428154</c:v>
                </c:pt>
                <c:pt idx="290">
                  <c:v>8128.3051616410066</c:v>
                </c:pt>
                <c:pt idx="291">
                  <c:v>8317.6377110267094</c:v>
                </c:pt>
                <c:pt idx="292">
                  <c:v>8511.3803820237772</c:v>
                </c:pt>
                <c:pt idx="293">
                  <c:v>8709.6358995608189</c:v>
                </c:pt>
                <c:pt idx="294">
                  <c:v>8912.5093813374679</c:v>
                </c:pt>
                <c:pt idx="295">
                  <c:v>9120.1083935591087</c:v>
                </c:pt>
                <c:pt idx="296">
                  <c:v>9332.5430079699217</c:v>
                </c:pt>
                <c:pt idx="297">
                  <c:v>9549.9258602143691</c:v>
                </c:pt>
                <c:pt idx="298">
                  <c:v>9772.3722095581161</c:v>
                </c:pt>
                <c:pt idx="299">
                  <c:v>10000</c:v>
                </c:pt>
                <c:pt idx="300">
                  <c:v>10232.929922807549</c:v>
                </c:pt>
                <c:pt idx="301">
                  <c:v>10471.285480509003</c:v>
                </c:pt>
                <c:pt idx="302">
                  <c:v>10715.193052376071</c:v>
                </c:pt>
                <c:pt idx="303">
                  <c:v>10964.781961431856</c:v>
                </c:pt>
                <c:pt idx="304">
                  <c:v>11220.184543019639</c:v>
                </c:pt>
                <c:pt idx="305">
                  <c:v>11481.536214968832</c:v>
                </c:pt>
                <c:pt idx="306">
                  <c:v>11748.975549395318</c:v>
                </c:pt>
                <c:pt idx="307">
                  <c:v>12022.644346174151</c:v>
                </c:pt>
                <c:pt idx="308">
                  <c:v>12302.687708123816</c:v>
                </c:pt>
                <c:pt idx="309">
                  <c:v>12589.254117941671</c:v>
                </c:pt>
                <c:pt idx="310">
                  <c:v>12882.49551693136</c:v>
                </c:pt>
                <c:pt idx="311">
                  <c:v>13182.567385564091</c:v>
                </c:pt>
                <c:pt idx="312">
                  <c:v>13489.628825916556</c:v>
                </c:pt>
                <c:pt idx="313">
                  <c:v>13803.842646028841</c:v>
                </c:pt>
                <c:pt idx="314">
                  <c:v>14125.375446227561</c:v>
                </c:pt>
                <c:pt idx="315">
                  <c:v>14454.397707459291</c:v>
                </c:pt>
                <c:pt idx="316">
                  <c:v>14791.083881682089</c:v>
                </c:pt>
                <c:pt idx="317">
                  <c:v>15135.612484362096</c:v>
                </c:pt>
                <c:pt idx="318">
                  <c:v>15488.166189124853</c:v>
                </c:pt>
                <c:pt idx="319">
                  <c:v>15848.931924611146</c:v>
                </c:pt>
                <c:pt idx="320">
                  <c:v>16218.100973589309</c:v>
                </c:pt>
                <c:pt idx="321">
                  <c:v>16595.869074375616</c:v>
                </c:pt>
                <c:pt idx="322">
                  <c:v>16982.436524617482</c:v>
                </c:pt>
                <c:pt idx="323">
                  <c:v>17378.008287493791</c:v>
                </c:pt>
                <c:pt idx="324">
                  <c:v>17782.794100389234</c:v>
                </c:pt>
                <c:pt idx="325">
                  <c:v>18197.008586099837</c:v>
                </c:pt>
                <c:pt idx="326">
                  <c:v>18620.871366628675</c:v>
                </c:pt>
                <c:pt idx="327">
                  <c:v>19054.607179632505</c:v>
                </c:pt>
                <c:pt idx="328">
                  <c:v>19498.445997580486</c:v>
                </c:pt>
                <c:pt idx="329">
                  <c:v>19952.623149688792</c:v>
                </c:pt>
                <c:pt idx="330">
                  <c:v>20417.379446695286</c:v>
                </c:pt>
                <c:pt idx="331">
                  <c:v>20892.961308540423</c:v>
                </c:pt>
                <c:pt idx="332">
                  <c:v>21379.620895022348</c:v>
                </c:pt>
                <c:pt idx="333">
                  <c:v>21877.61623949555</c:v>
                </c:pt>
                <c:pt idx="334">
                  <c:v>22387.211385683382</c:v>
                </c:pt>
                <c:pt idx="335">
                  <c:v>22908.676527677751</c:v>
                </c:pt>
                <c:pt idx="336">
                  <c:v>23442.288153199243</c:v>
                </c:pt>
                <c:pt idx="337">
                  <c:v>23988.329190194923</c:v>
                </c:pt>
                <c:pt idx="338">
                  <c:v>24547.089156850321</c:v>
                </c:pt>
                <c:pt idx="339">
                  <c:v>25118.86431509586</c:v>
                </c:pt>
                <c:pt idx="340">
                  <c:v>25703.95782768865</c:v>
                </c:pt>
                <c:pt idx="341">
                  <c:v>26302.679918953829</c:v>
                </c:pt>
                <c:pt idx="342">
                  <c:v>26915.348039269167</c:v>
                </c:pt>
                <c:pt idx="343">
                  <c:v>27542.287033381719</c:v>
                </c:pt>
                <c:pt idx="344">
                  <c:v>28183.829312644593</c:v>
                </c:pt>
                <c:pt idx="345">
                  <c:v>28840.315031266062</c:v>
                </c:pt>
                <c:pt idx="346">
                  <c:v>29512.092266663854</c:v>
                </c:pt>
                <c:pt idx="347">
                  <c:v>30199.517204020212</c:v>
                </c:pt>
                <c:pt idx="348">
                  <c:v>30902.954325135954</c:v>
                </c:pt>
                <c:pt idx="349">
                  <c:v>31622.77660168384</c:v>
                </c:pt>
                <c:pt idx="350">
                  <c:v>32359.365692962871</c:v>
                </c:pt>
                <c:pt idx="351">
                  <c:v>33113.11214825909</c:v>
                </c:pt>
                <c:pt idx="352">
                  <c:v>33884.41561392029</c:v>
                </c:pt>
                <c:pt idx="353">
                  <c:v>34673.685045253202</c:v>
                </c:pt>
                <c:pt idx="354">
                  <c:v>35481.33892335758</c:v>
                </c:pt>
                <c:pt idx="355">
                  <c:v>36307.805477010232</c:v>
                </c:pt>
                <c:pt idx="356">
                  <c:v>37153.522909717351</c:v>
                </c:pt>
                <c:pt idx="357">
                  <c:v>38018.939632056143</c:v>
                </c:pt>
                <c:pt idx="358">
                  <c:v>38904.514499428085</c:v>
                </c:pt>
                <c:pt idx="359">
                  <c:v>39810.717055349742</c:v>
                </c:pt>
                <c:pt idx="360">
                  <c:v>40738.027780411358</c:v>
                </c:pt>
                <c:pt idx="361">
                  <c:v>41686.938347033625</c:v>
                </c:pt>
                <c:pt idx="362">
                  <c:v>42657.951880159271</c:v>
                </c:pt>
                <c:pt idx="363">
                  <c:v>43651.583224016598</c:v>
                </c:pt>
                <c:pt idx="364">
                  <c:v>44668.359215096389</c:v>
                </c:pt>
                <c:pt idx="365">
                  <c:v>45708.818961487581</c:v>
                </c:pt>
                <c:pt idx="366">
                  <c:v>46773.514128719893</c:v>
                </c:pt>
                <c:pt idx="367">
                  <c:v>47863.009232263823</c:v>
                </c:pt>
                <c:pt idx="368">
                  <c:v>48977.881936844598</c:v>
                </c:pt>
                <c:pt idx="369">
                  <c:v>50118.723362727294</c:v>
                </c:pt>
                <c:pt idx="370">
                  <c:v>51286.138399136544</c:v>
                </c:pt>
                <c:pt idx="371">
                  <c:v>52480.746024977314</c:v>
                </c:pt>
                <c:pt idx="372">
                  <c:v>53703.179637025423</c:v>
                </c:pt>
                <c:pt idx="373">
                  <c:v>54954.087385762505</c:v>
                </c:pt>
                <c:pt idx="374">
                  <c:v>56234.132519034953</c:v>
                </c:pt>
                <c:pt idx="375">
                  <c:v>57543.993733715732</c:v>
                </c:pt>
                <c:pt idx="376">
                  <c:v>58884.365535558936</c:v>
                </c:pt>
                <c:pt idx="377">
                  <c:v>60255.95860743591</c:v>
                </c:pt>
                <c:pt idx="378">
                  <c:v>61659.500186148245</c:v>
                </c:pt>
                <c:pt idx="379">
                  <c:v>63095.734448019342</c:v>
                </c:pt>
                <c:pt idx="380">
                  <c:v>64565.422903465682</c:v>
                </c:pt>
                <c:pt idx="381">
                  <c:v>66069.344800759733</c:v>
                </c:pt>
                <c:pt idx="382">
                  <c:v>67608.297539198305</c:v>
                </c:pt>
                <c:pt idx="383">
                  <c:v>69183.097091893651</c:v>
                </c:pt>
                <c:pt idx="384">
                  <c:v>70794.578438413781</c:v>
                </c:pt>
                <c:pt idx="385">
                  <c:v>72443.596007499116</c:v>
                </c:pt>
                <c:pt idx="386">
                  <c:v>74131.024130091857</c:v>
                </c:pt>
                <c:pt idx="387">
                  <c:v>75857.757502918481</c:v>
                </c:pt>
                <c:pt idx="388">
                  <c:v>77624.711662869129</c:v>
                </c:pt>
                <c:pt idx="389">
                  <c:v>79432.823472428237</c:v>
                </c:pt>
                <c:pt idx="390">
                  <c:v>81283.051616410012</c:v>
                </c:pt>
                <c:pt idx="391">
                  <c:v>83176.377110267174</c:v>
                </c:pt>
                <c:pt idx="392">
                  <c:v>85113.803820237721</c:v>
                </c:pt>
                <c:pt idx="393">
                  <c:v>87096.358995608127</c:v>
                </c:pt>
                <c:pt idx="394">
                  <c:v>89125.093813374609</c:v>
                </c:pt>
                <c:pt idx="395">
                  <c:v>91201.083935591028</c:v>
                </c:pt>
                <c:pt idx="396">
                  <c:v>93325.430079699145</c:v>
                </c:pt>
                <c:pt idx="397">
                  <c:v>95499.258602143804</c:v>
                </c:pt>
                <c:pt idx="398">
                  <c:v>97723.722095581266</c:v>
                </c:pt>
                <c:pt idx="399">
                  <c:v>100000</c:v>
                </c:pt>
                <c:pt idx="400">
                  <c:v>102329.29922807543</c:v>
                </c:pt>
                <c:pt idx="401">
                  <c:v>104712.85480508996</c:v>
                </c:pt>
                <c:pt idx="402">
                  <c:v>107151.93052376082</c:v>
                </c:pt>
                <c:pt idx="403">
                  <c:v>109647.81961431868</c:v>
                </c:pt>
                <c:pt idx="404">
                  <c:v>112201.84543019651</c:v>
                </c:pt>
                <c:pt idx="405">
                  <c:v>114815.36214968823</c:v>
                </c:pt>
                <c:pt idx="406">
                  <c:v>117489.75549395311</c:v>
                </c:pt>
                <c:pt idx="407">
                  <c:v>120226.44346174144</c:v>
                </c:pt>
                <c:pt idx="408">
                  <c:v>123026.87708123829</c:v>
                </c:pt>
                <c:pt idx="409">
                  <c:v>125892.54117941685</c:v>
                </c:pt>
                <c:pt idx="410">
                  <c:v>128824.95516931375</c:v>
                </c:pt>
                <c:pt idx="411">
                  <c:v>131825.67385564081</c:v>
                </c:pt>
                <c:pt idx="412">
                  <c:v>134896.28825916545</c:v>
                </c:pt>
                <c:pt idx="413">
                  <c:v>138038.42646028858</c:v>
                </c:pt>
                <c:pt idx="414">
                  <c:v>141253.75446227577</c:v>
                </c:pt>
                <c:pt idx="415">
                  <c:v>144543.97707459307</c:v>
                </c:pt>
                <c:pt idx="416">
                  <c:v>147910.83881682079</c:v>
                </c:pt>
                <c:pt idx="417">
                  <c:v>151356.12484362084</c:v>
                </c:pt>
                <c:pt idx="418">
                  <c:v>154881.66189124843</c:v>
                </c:pt>
                <c:pt idx="419">
                  <c:v>158489.31924611164</c:v>
                </c:pt>
                <c:pt idx="420">
                  <c:v>162181.00973589328</c:v>
                </c:pt>
                <c:pt idx="421">
                  <c:v>165958.69074375604</c:v>
                </c:pt>
                <c:pt idx="422">
                  <c:v>169824.36524617471</c:v>
                </c:pt>
                <c:pt idx="423">
                  <c:v>173780.0828749378</c:v>
                </c:pt>
                <c:pt idx="424">
                  <c:v>177827.94100389251</c:v>
                </c:pt>
                <c:pt idx="425">
                  <c:v>181970.08586099857</c:v>
                </c:pt>
                <c:pt idx="426">
                  <c:v>186208.71366628664</c:v>
                </c:pt>
                <c:pt idx="427">
                  <c:v>190546.07179632492</c:v>
                </c:pt>
                <c:pt idx="428">
                  <c:v>194984.45997580473</c:v>
                </c:pt>
                <c:pt idx="429">
                  <c:v>199526.23149688813</c:v>
                </c:pt>
                <c:pt idx="430">
                  <c:v>204173.79446695308</c:v>
                </c:pt>
                <c:pt idx="431">
                  <c:v>208929.61308540447</c:v>
                </c:pt>
                <c:pt idx="432">
                  <c:v>213796.20895022334</c:v>
                </c:pt>
                <c:pt idx="433">
                  <c:v>218776.16239495538</c:v>
                </c:pt>
                <c:pt idx="434">
                  <c:v>223872.11385683404</c:v>
                </c:pt>
                <c:pt idx="435">
                  <c:v>229086.76527677779</c:v>
                </c:pt>
                <c:pt idx="436">
                  <c:v>234422.88153199267</c:v>
                </c:pt>
                <c:pt idx="437">
                  <c:v>239883.29190194907</c:v>
                </c:pt>
                <c:pt idx="438">
                  <c:v>245470.89156850305</c:v>
                </c:pt>
                <c:pt idx="439">
                  <c:v>251188.64315095844</c:v>
                </c:pt>
                <c:pt idx="440">
                  <c:v>257039.57827688678</c:v>
                </c:pt>
                <c:pt idx="441">
                  <c:v>263026.79918953858</c:v>
                </c:pt>
                <c:pt idx="442">
                  <c:v>269153.48039269145</c:v>
                </c:pt>
                <c:pt idx="443">
                  <c:v>275422.87033381703</c:v>
                </c:pt>
                <c:pt idx="444">
                  <c:v>281838.29312644573</c:v>
                </c:pt>
                <c:pt idx="445">
                  <c:v>288403.1503126609</c:v>
                </c:pt>
                <c:pt idx="446">
                  <c:v>295120.92266663886</c:v>
                </c:pt>
                <c:pt idx="447">
                  <c:v>301995.17204020242</c:v>
                </c:pt>
                <c:pt idx="448">
                  <c:v>309029.54325135931</c:v>
                </c:pt>
                <c:pt idx="449">
                  <c:v>316227.7660168382</c:v>
                </c:pt>
                <c:pt idx="450">
                  <c:v>323593.65692962846</c:v>
                </c:pt>
                <c:pt idx="451">
                  <c:v>331131.12148259126</c:v>
                </c:pt>
                <c:pt idx="452">
                  <c:v>338844.15613920329</c:v>
                </c:pt>
                <c:pt idx="453">
                  <c:v>346736.85045253241</c:v>
                </c:pt>
                <c:pt idx="454">
                  <c:v>354813.38923357555</c:v>
                </c:pt>
                <c:pt idx="455">
                  <c:v>363078.05477010203</c:v>
                </c:pt>
                <c:pt idx="456">
                  <c:v>371535.2290971732</c:v>
                </c:pt>
                <c:pt idx="457">
                  <c:v>380189.39632056188</c:v>
                </c:pt>
                <c:pt idx="458">
                  <c:v>389045.14499428123</c:v>
                </c:pt>
                <c:pt idx="459">
                  <c:v>398107.17055349716</c:v>
                </c:pt>
                <c:pt idx="460">
                  <c:v>407380.27780411334</c:v>
                </c:pt>
                <c:pt idx="461">
                  <c:v>416869.38347033598</c:v>
                </c:pt>
                <c:pt idx="462">
                  <c:v>426579.51880159322</c:v>
                </c:pt>
                <c:pt idx="463">
                  <c:v>436515.83224016649</c:v>
                </c:pt>
                <c:pt idx="464">
                  <c:v>446683.59215096442</c:v>
                </c:pt>
                <c:pt idx="465">
                  <c:v>457088.18961487547</c:v>
                </c:pt>
                <c:pt idx="466">
                  <c:v>467735.14128719864</c:v>
                </c:pt>
                <c:pt idx="467">
                  <c:v>478630.09232263872</c:v>
                </c:pt>
                <c:pt idx="468">
                  <c:v>489778.81936844654</c:v>
                </c:pt>
                <c:pt idx="469">
                  <c:v>501187.23362727347</c:v>
                </c:pt>
                <c:pt idx="470">
                  <c:v>512861.38399136515</c:v>
                </c:pt>
                <c:pt idx="471">
                  <c:v>524807.46024977288</c:v>
                </c:pt>
                <c:pt idx="472">
                  <c:v>537031.7963702539</c:v>
                </c:pt>
                <c:pt idx="473">
                  <c:v>549540.87385762564</c:v>
                </c:pt>
                <c:pt idx="474">
                  <c:v>562341.32519035018</c:v>
                </c:pt>
                <c:pt idx="475">
                  <c:v>575439.93733715697</c:v>
                </c:pt>
                <c:pt idx="476">
                  <c:v>588843.65535558888</c:v>
                </c:pt>
                <c:pt idx="477">
                  <c:v>602559.58607435878</c:v>
                </c:pt>
                <c:pt idx="478">
                  <c:v>616595.00186148309</c:v>
                </c:pt>
                <c:pt idx="479">
                  <c:v>630957.34448019415</c:v>
                </c:pt>
                <c:pt idx="480">
                  <c:v>645654.22903465747</c:v>
                </c:pt>
                <c:pt idx="481">
                  <c:v>660693.44800759677</c:v>
                </c:pt>
                <c:pt idx="482">
                  <c:v>676082.97539198259</c:v>
                </c:pt>
                <c:pt idx="483">
                  <c:v>691830.97091893724</c:v>
                </c:pt>
                <c:pt idx="484">
                  <c:v>707945.78438413853</c:v>
                </c:pt>
                <c:pt idx="485">
                  <c:v>724435.96007499192</c:v>
                </c:pt>
                <c:pt idx="486">
                  <c:v>741310.24130091805</c:v>
                </c:pt>
                <c:pt idx="487">
                  <c:v>758577.57502918423</c:v>
                </c:pt>
                <c:pt idx="488">
                  <c:v>776247.11662869214</c:v>
                </c:pt>
                <c:pt idx="489">
                  <c:v>794328.23472428333</c:v>
                </c:pt>
                <c:pt idx="490">
                  <c:v>812830.51616410096</c:v>
                </c:pt>
                <c:pt idx="491">
                  <c:v>831763.77110267128</c:v>
                </c:pt>
                <c:pt idx="492">
                  <c:v>851138.03820237669</c:v>
                </c:pt>
                <c:pt idx="493">
                  <c:v>870963.58995608077</c:v>
                </c:pt>
                <c:pt idx="494">
                  <c:v>891250.93813374708</c:v>
                </c:pt>
                <c:pt idx="495">
                  <c:v>912010.83935591124</c:v>
                </c:pt>
                <c:pt idx="496">
                  <c:v>933254.30079699249</c:v>
                </c:pt>
                <c:pt idx="497">
                  <c:v>954992.58602143743</c:v>
                </c:pt>
                <c:pt idx="498">
                  <c:v>977237.22095581202</c:v>
                </c:pt>
                <c:pt idx="499">
                  <c:v>1000000</c:v>
                </c:pt>
                <c:pt idx="500">
                  <c:v>1023292.9922807553</c:v>
                </c:pt>
                <c:pt idx="501">
                  <c:v>1047128.5480509007</c:v>
                </c:pt>
                <c:pt idx="502">
                  <c:v>1071519.3052376076</c:v>
                </c:pt>
                <c:pt idx="503">
                  <c:v>1096478.196143186</c:v>
                </c:pt>
                <c:pt idx="504">
                  <c:v>1122018.4543019643</c:v>
                </c:pt>
                <c:pt idx="505">
                  <c:v>1148153.6214968837</c:v>
                </c:pt>
                <c:pt idx="506">
                  <c:v>1174897.5549395324</c:v>
                </c:pt>
                <c:pt idx="507">
                  <c:v>1202264.4346174158</c:v>
                </c:pt>
                <c:pt idx="508">
                  <c:v>1230268.770812382</c:v>
                </c:pt>
                <c:pt idx="509">
                  <c:v>1258925.4117941677</c:v>
                </c:pt>
                <c:pt idx="510">
                  <c:v>1288249.5516931366</c:v>
                </c:pt>
                <c:pt idx="511">
                  <c:v>1318256.7385564097</c:v>
                </c:pt>
                <c:pt idx="512">
                  <c:v>1348962.8825916562</c:v>
                </c:pt>
                <c:pt idx="513">
                  <c:v>1380384.2646028849</c:v>
                </c:pt>
                <c:pt idx="514">
                  <c:v>1412537.5446227565</c:v>
                </c:pt>
                <c:pt idx="515">
                  <c:v>1445439.7707459298</c:v>
                </c:pt>
                <c:pt idx="516">
                  <c:v>1479108.3881682095</c:v>
                </c:pt>
                <c:pt idx="517">
                  <c:v>1513561.2484362102</c:v>
                </c:pt>
                <c:pt idx="518">
                  <c:v>1548816.6189124861</c:v>
                </c:pt>
                <c:pt idx="519">
                  <c:v>1584893.1924611153</c:v>
                </c:pt>
                <c:pt idx="520">
                  <c:v>1621810.0973589318</c:v>
                </c:pt>
                <c:pt idx="521">
                  <c:v>1659586.9074375622</c:v>
                </c:pt>
                <c:pt idx="522">
                  <c:v>1698243.6524617488</c:v>
                </c:pt>
                <c:pt idx="523">
                  <c:v>1737800.8287493798</c:v>
                </c:pt>
                <c:pt idx="524">
                  <c:v>1778279.4100389241</c:v>
                </c:pt>
                <c:pt idx="525">
                  <c:v>1819700.8586099846</c:v>
                </c:pt>
                <c:pt idx="526">
                  <c:v>1862087.1366628683</c:v>
                </c:pt>
                <c:pt idx="527">
                  <c:v>1905460.7179632513</c:v>
                </c:pt>
                <c:pt idx="528">
                  <c:v>1949844.5997580495</c:v>
                </c:pt>
                <c:pt idx="529">
                  <c:v>1995262.31496888</c:v>
                </c:pt>
                <c:pt idx="530">
                  <c:v>2041737.9446695296</c:v>
                </c:pt>
                <c:pt idx="531">
                  <c:v>2089296.1308540432</c:v>
                </c:pt>
                <c:pt idx="532">
                  <c:v>2137962.0895022359</c:v>
                </c:pt>
                <c:pt idx="533">
                  <c:v>2187761.6239495561</c:v>
                </c:pt>
                <c:pt idx="534">
                  <c:v>2238721.1385683389</c:v>
                </c:pt>
                <c:pt idx="535">
                  <c:v>2290867.6527677765</c:v>
                </c:pt>
                <c:pt idx="536">
                  <c:v>2344228.8153199251</c:v>
                </c:pt>
                <c:pt idx="537">
                  <c:v>2398832.9190194933</c:v>
                </c:pt>
                <c:pt idx="538">
                  <c:v>2454708.915685033</c:v>
                </c:pt>
                <c:pt idx="539">
                  <c:v>2511886.431509587</c:v>
                </c:pt>
                <c:pt idx="540">
                  <c:v>2570395.782768866</c:v>
                </c:pt>
                <c:pt idx="541">
                  <c:v>2630267.9918953842</c:v>
                </c:pt>
              </c:numCache>
            </c:numRef>
          </c:xVal>
          <c:yVal>
            <c:numRef>
              <c:f>CCM_Loop_Modeling_non_isolated!$AR$19:$AR$560</c:f>
              <c:numCache>
                <c:formatCode>General</c:formatCode>
                <c:ptCount val="542"/>
                <c:pt idx="0">
                  <c:v>94.262436389773271</c:v>
                </c:pt>
                <c:pt idx="1">
                  <c:v>94.361340197853622</c:v>
                </c:pt>
                <c:pt idx="2">
                  <c:v>94.462520647397739</c:v>
                </c:pt>
                <c:pt idx="3">
                  <c:v>94.566028844206627</c:v>
                </c:pt>
                <c:pt idx="4">
                  <c:v>94.671916948812324</c:v>
                </c:pt>
                <c:pt idx="5">
                  <c:v>94.780238191574597</c:v>
                </c:pt>
                <c:pt idx="6">
                  <c:v>94.891046887480158</c:v>
                </c:pt>
                <c:pt idx="7">
                  <c:v>95.004398450593698</c:v>
                </c:pt>
                <c:pt idx="8">
                  <c:v>95.120349408107444</c:v>
                </c:pt>
                <c:pt idx="9">
                  <c:v>95.238957413930649</c:v>
                </c:pt>
                <c:pt idx="10">
                  <c:v>95.360281261757379</c:v>
                </c:pt>
                <c:pt idx="11">
                  <c:v>95.484380897544625</c:v>
                </c:pt>
                <c:pt idx="12">
                  <c:v>95.61131743133032</c:v>
                </c:pt>
                <c:pt idx="13">
                  <c:v>95.74115314831262</c:v>
                </c:pt>
                <c:pt idx="14">
                  <c:v>95.873951519109625</c:v>
                </c:pt>
                <c:pt idx="15">
                  <c:v>96.00977720911041</c:v>
                </c:pt>
                <c:pt idx="16">
                  <c:v>96.148696086823364</c:v>
                </c:pt>
                <c:pt idx="17">
                  <c:v>96.290775231121572</c:v>
                </c:pt>
                <c:pt idx="18">
                  <c:v>96.436082937277604</c:v>
                </c:pt>
                <c:pt idx="19">
                  <c:v>96.58468872167343</c:v>
                </c:pt>
                <c:pt idx="20">
                  <c:v>96.736663325064299</c:v>
                </c:pt>
                <c:pt idx="21">
                  <c:v>96.892078714266276</c:v>
                </c:pt>
                <c:pt idx="22">
                  <c:v>97.05100808213038</c:v>
                </c:pt>
                <c:pt idx="23">
                  <c:v>97.213525845658268</c:v>
                </c:pt>
                <c:pt idx="24">
                  <c:v>97.379707642102488</c:v>
                </c:pt>
                <c:pt idx="25">
                  <c:v>97.549630322890181</c:v>
                </c:pt>
                <c:pt idx="26">
                  <c:v>97.723371945194444</c:v>
                </c:pt>
                <c:pt idx="27">
                  <c:v>97.901011760972509</c:v>
                </c:pt>
                <c:pt idx="28">
                  <c:v>98.082630203274789</c:v>
                </c:pt>
                <c:pt idx="29">
                  <c:v>98.26830886962405</c:v>
                </c:pt>
                <c:pt idx="30">
                  <c:v>98.45813050224757</c:v>
                </c:pt>
                <c:pt idx="31">
                  <c:v>98.652178964939296</c:v>
                </c:pt>
                <c:pt idx="32">
                  <c:v>98.850539216312868</c:v>
                </c:pt>
                <c:pt idx="33">
                  <c:v>99.053297279200905</c:v>
                </c:pt>
                <c:pt idx="34">
                  <c:v>99.260540205937772</c:v>
                </c:pt>
                <c:pt idx="35">
                  <c:v>99.472356039257406</c:v>
                </c:pt>
                <c:pt idx="36">
                  <c:v>99.688833768523764</c:v>
                </c:pt>
                <c:pt idx="37">
                  <c:v>99.910063280998244</c:v>
                </c:pt>
                <c:pt idx="38">
                  <c:v>100.136135307842</c:v>
                </c:pt>
                <c:pt idx="39">
                  <c:v>100.36714136453489</c:v>
                </c:pt>
                <c:pt idx="40">
                  <c:v>100.60317368538635</c:v>
                </c:pt>
                <c:pt idx="41">
                  <c:v>100.84432515180119</c:v>
                </c:pt>
                <c:pt idx="42">
                  <c:v>101.09068921395541</c:v>
                </c:pt>
                <c:pt idx="43">
                  <c:v>101.342359805527</c:v>
                </c:pt>
                <c:pt idx="44">
                  <c:v>101.59943125112265</c:v>
                </c:pt>
                <c:pt idx="45">
                  <c:v>101.8619981660304</c:v>
                </c:pt>
                <c:pt idx="46">
                  <c:v>102.13015534792937</c:v>
                </c:pt>
                <c:pt idx="47">
                  <c:v>102.40399766017813</c:v>
                </c:pt>
                <c:pt idx="48">
                  <c:v>102.68361990631084</c:v>
                </c:pt>
                <c:pt idx="49">
                  <c:v>102.96911669536217</c:v>
                </c:pt>
                <c:pt idx="50">
                  <c:v>103.26058229765439</c:v>
                </c:pt>
                <c:pt idx="51">
                  <c:v>103.55811049068092</c:v>
                </c:pt>
                <c:pt idx="52">
                  <c:v>103.86179439473536</c:v>
                </c:pt>
                <c:pt idx="53">
                  <c:v>104.17172629794436</c:v>
                </c:pt>
                <c:pt idx="54">
                  <c:v>104.48799747038537</c:v>
                </c:pt>
                <c:pt idx="55">
                  <c:v>104.81069796698785</c:v>
                </c:pt>
                <c:pt idx="56">
                  <c:v>105.13991641894762</c:v>
                </c:pt>
                <c:pt idx="57">
                  <c:v>105.47573981341364</c:v>
                </c:pt>
                <c:pt idx="58">
                  <c:v>105.81825326124728</c:v>
                </c:pt>
                <c:pt idx="59">
                  <c:v>106.16753975269489</c:v>
                </c:pt>
                <c:pt idx="60">
                  <c:v>106.52367990086984</c:v>
                </c:pt>
                <c:pt idx="61">
                  <c:v>106.88675167299381</c:v>
                </c:pt>
                <c:pt idx="62">
                  <c:v>107.25683010941513</c:v>
                </c:pt>
                <c:pt idx="63">
                  <c:v>107.63398703049509</c:v>
                </c:pt>
                <c:pt idx="64">
                  <c:v>108.01829073153188</c:v>
                </c:pt>
                <c:pt idx="65">
                  <c:v>108.40980566598247</c:v>
                </c:pt>
                <c:pt idx="66">
                  <c:v>108.80859211734419</c:v>
                </c:pt>
                <c:pt idx="67">
                  <c:v>109.21470586015533</c:v>
                </c:pt>
                <c:pt idx="68">
                  <c:v>109.62819781070118</c:v>
                </c:pt>
                <c:pt idx="69">
                  <c:v>110.04911366812416</c:v>
                </c:pt>
                <c:pt idx="70">
                  <c:v>110.47749354677748</c:v>
                </c:pt>
                <c:pt idx="71">
                  <c:v>110.9133716007953</c:v>
                </c:pt>
                <c:pt idx="72">
                  <c:v>111.35677564200419</c:v>
                </c:pt>
                <c:pt idx="73">
                  <c:v>111.80772675245048</c:v>
                </c:pt>
                <c:pt idx="74">
                  <c:v>112.26623889297952</c:v>
                </c:pt>
                <c:pt idx="75">
                  <c:v>112.73231850946803</c:v>
                </c:pt>
                <c:pt idx="76">
                  <c:v>113.20596413847126</c:v>
                </c:pt>
                <c:pt idx="77">
                  <c:v>113.68716601422412</c:v>
                </c:pt>
                <c:pt idx="78">
                  <c:v>114.17590567909208</c:v>
                </c:pt>
                <c:pt idx="79">
                  <c:v>114.67215559974426</c:v>
                </c:pt>
                <c:pt idx="80">
                  <c:v>115.17587879147059</c:v>
                </c:pt>
                <c:pt idx="81">
                  <c:v>115.68702845322267</c:v>
                </c:pt>
                <c:pt idx="82">
                  <c:v>116.20554761609949</c:v>
                </c:pt>
                <c:pt idx="83">
                  <c:v>116.73136880812788</c:v>
                </c:pt>
                <c:pt idx="84">
                  <c:v>117.2644137382958</c:v>
                </c:pt>
                <c:pt idx="85">
                  <c:v>117.8045930028911</c:v>
                </c:pt>
                <c:pt idx="86">
                  <c:v>118.35180581727167</c:v>
                </c:pt>
                <c:pt idx="87">
                  <c:v>118.90593977622382</c:v>
                </c:pt>
                <c:pt idx="88">
                  <c:v>119.46687064608975</c:v>
                </c:pt>
                <c:pt idx="89">
                  <c:v>120.03446219181876</c:v>
                </c:pt>
                <c:pt idx="90">
                  <c:v>120.60856604204041</c:v>
                </c:pt>
                <c:pt idx="91">
                  <c:v>121.18902159516591</c:v>
                </c:pt>
                <c:pt idx="92">
                  <c:v>121.77565596938773</c:v>
                </c:pt>
                <c:pt idx="93">
                  <c:v>122.36828399927062</c:v>
                </c:pt>
                <c:pt idx="94">
                  <c:v>122.96670828140805</c:v>
                </c:pt>
                <c:pt idx="95">
                  <c:v>123.57071927135293</c:v>
                </c:pt>
                <c:pt idx="96">
                  <c:v>124.18009543372746</c:v>
                </c:pt>
                <c:pt idx="97">
                  <c:v>124.79460344706696</c:v>
                </c:pt>
                <c:pt idx="98">
                  <c:v>125.41399846456501</c:v>
                </c:pt>
                <c:pt idx="99">
                  <c:v>126.03802443146384</c:v>
                </c:pt>
                <c:pt idx="100">
                  <c:v>126.66641445937415</c:v>
                </c:pt>
                <c:pt idx="101">
                  <c:v>127.29889125732711</c:v>
                </c:pt>
                <c:pt idx="102">
                  <c:v>127.93516761884869</c:v>
                </c:pt>
                <c:pt idx="103">
                  <c:v>128.57494696382864</c:v>
                </c:pt>
                <c:pt idx="104">
                  <c:v>129.21792393341877</c:v>
                </c:pt>
                <c:pt idx="105">
                  <c:v>129.86378503566837</c:v>
                </c:pt>
                <c:pt idx="106">
                  <c:v>130.51220933907027</c:v>
                </c:pt>
                <c:pt idx="107">
                  <c:v>131.16286921069067</c:v>
                </c:pt>
                <c:pt idx="108">
                  <c:v>131.81543109505793</c:v>
                </c:pt>
                <c:pt idx="109">
                  <c:v>132.46955632954203</c:v>
                </c:pt>
                <c:pt idx="110">
                  <c:v>133.1249019915322</c:v>
                </c:pt>
                <c:pt idx="111">
                  <c:v>133.78112177236042</c:v>
                </c:pt>
                <c:pt idx="112">
                  <c:v>134.437866872602</c:v>
                </c:pt>
                <c:pt idx="113">
                  <c:v>135.09478691313339</c:v>
                </c:pt>
                <c:pt idx="114">
                  <c:v>135.75153085614059</c:v>
                </c:pt>
                <c:pt idx="115">
                  <c:v>136.40774793014904</c:v>
                </c:pt>
                <c:pt idx="116">
                  <c:v>137.0630885531024</c:v>
                </c:pt>
                <c:pt idx="117">
                  <c:v>137.71720524753655</c:v>
                </c:pt>
                <c:pt idx="118">
                  <c:v>138.36975354199095</c:v>
                </c:pt>
                <c:pt idx="119">
                  <c:v>139.02039285296505</c:v>
                </c:pt>
                <c:pt idx="120">
                  <c:v>139.66878734195356</c:v>
                </c:pt>
                <c:pt idx="121">
                  <c:v>140.31460674239293</c:v>
                </c:pt>
                <c:pt idx="122">
                  <c:v>140.95752715168814</c:v>
                </c:pt>
                <c:pt idx="123">
                  <c:v>141.59723178390436</c:v>
                </c:pt>
                <c:pt idx="124">
                  <c:v>142.23341167913145</c:v>
                </c:pt>
                <c:pt idx="125">
                  <c:v>142.86576636601862</c:v>
                </c:pt>
                <c:pt idx="126">
                  <c:v>143.49400447447542</c:v>
                </c:pt>
                <c:pt idx="127">
                  <c:v>144.11784429605061</c:v>
                </c:pt>
                <c:pt idx="128">
                  <c:v>144.73701429004586</c:v>
                </c:pt>
                <c:pt idx="129">
                  <c:v>145.35125353394167</c:v>
                </c:pt>
                <c:pt idx="130">
                  <c:v>145.96031211724357</c:v>
                </c:pt>
                <c:pt idx="131">
                  <c:v>146.56395147837804</c:v>
                </c:pt>
                <c:pt idx="132">
                  <c:v>147.16194468474794</c:v>
                </c:pt>
                <c:pt idx="133">
                  <c:v>147.75407665653975</c:v>
                </c:pt>
                <c:pt idx="134">
                  <c:v>148.34014433529782</c:v>
                </c:pt>
                <c:pt idx="135">
                  <c:v>148.9199567986912</c:v>
                </c:pt>
                <c:pt idx="136">
                  <c:v>149.49333532326014</c:v>
                </c:pt>
                <c:pt idx="137">
                  <c:v>150.06011339724424</c:v>
                </c:pt>
                <c:pt idx="138">
                  <c:v>150.62013668587937</c:v>
                </c:pt>
                <c:pt idx="139">
                  <c:v>151.17326295178643</c:v>
                </c:pt>
                <c:pt idx="140">
                  <c:v>151.71936193325789</c:v>
                </c:pt>
                <c:pt idx="141">
                  <c:v>152.25831518341181</c:v>
                </c:pt>
                <c:pt idx="142">
                  <c:v>152.79001587327542</c:v>
                </c:pt>
                <c:pt idx="143">
                  <c:v>153.31436856194367</c:v>
                </c:pt>
                <c:pt idx="144">
                  <c:v>153.83128893698412</c:v>
                </c:pt>
                <c:pt idx="145">
                  <c:v>154.34070352825563</c:v>
                </c:pt>
                <c:pt idx="146">
                  <c:v>154.84254939828369</c:v>
                </c:pt>
                <c:pt idx="147">
                  <c:v>155.33677381226971</c:v>
                </c:pt>
                <c:pt idx="148">
                  <c:v>155.82333389072875</c:v>
                </c:pt>
                <c:pt idx="149">
                  <c:v>156.30219624764601</c:v>
                </c:pt>
                <c:pt idx="150">
                  <c:v>156.77333661692072</c:v>
                </c:pt>
                <c:pt idx="151">
                  <c:v>157.23673946972144</c:v>
                </c:pt>
                <c:pt idx="152">
                  <c:v>157.69239762523804</c:v>
                </c:pt>
                <c:pt idx="153">
                  <c:v>158.14031185715277</c:v>
                </c:pt>
                <c:pt idx="154">
                  <c:v>158.58049049798561</c:v>
                </c:pt>
                <c:pt idx="155">
                  <c:v>159.01294904331164</c:v>
                </c:pt>
                <c:pt idx="156">
                  <c:v>159.43770975767066</c:v>
                </c:pt>
                <c:pt idx="157">
                  <c:v>159.85480128382835</c:v>
                </c:pt>
                <c:pt idx="158">
                  <c:v>160.26425825687883</c:v>
                </c:pt>
                <c:pt idx="159">
                  <c:v>160.6661209245236</c:v>
                </c:pt>
                <c:pt idx="160">
                  <c:v>161.06043477469558</c:v>
                </c:pt>
                <c:pt idx="161">
                  <c:v>161.447250171561</c:v>
                </c:pt>
                <c:pt idx="162">
                  <c:v>161.82662200077712</c:v>
                </c:pt>
                <c:pt idx="163">
                  <c:v>162.19860932475672</c:v>
                </c:pt>
                <c:pt idx="164">
                  <c:v>162.56327504856191</c:v>
                </c:pt>
                <c:pt idx="165">
                  <c:v>162.92068559692652</c:v>
                </c:pt>
                <c:pt idx="166">
                  <c:v>163.27091060280665</c:v>
                </c:pt>
                <c:pt idx="167">
                  <c:v>163.61402260774892</c:v>
                </c:pt>
                <c:pt idx="168">
                  <c:v>163.95009677427748</c:v>
                </c:pt>
                <c:pt idx="169">
                  <c:v>164.27921061041684</c:v>
                </c:pt>
                <c:pt idx="170">
                  <c:v>164.60144370639023</c:v>
                </c:pt>
                <c:pt idx="171">
                  <c:v>164.91687748346845</c:v>
                </c:pt>
                <c:pt idx="172">
                  <c:v>165.22559495487721</c:v>
                </c:pt>
                <c:pt idx="173">
                  <c:v>165.52768049862661</c:v>
                </c:pt>
                <c:pt idx="174">
                  <c:v>165.82321964207097</c:v>
                </c:pt>
                <c:pt idx="175">
                  <c:v>166.11229885797275</c:v>
                </c:pt>
                <c:pt idx="176">
                  <c:v>166.39500537180805</c:v>
                </c:pt>
                <c:pt idx="177">
                  <c:v>166.67142698002112</c:v>
                </c:pt>
                <c:pt idx="178">
                  <c:v>166.94165187891323</c:v>
                </c:pt>
                <c:pt idx="179">
                  <c:v>167.20576850382986</c:v>
                </c:pt>
                <c:pt idx="180">
                  <c:v>167.46386537829795</c:v>
                </c:pt>
                <c:pt idx="181">
                  <c:v>167.71603097274814</c:v>
                </c:pt>
                <c:pt idx="182">
                  <c:v>167.96235357245629</c:v>
                </c:pt>
                <c:pt idx="183">
                  <c:v>168.20292115432602</c:v>
                </c:pt>
                <c:pt idx="184">
                  <c:v>168.43782127213788</c:v>
                </c:pt>
                <c:pt idx="185">
                  <c:v>168.66714094988529</c:v>
                </c:pt>
                <c:pt idx="186">
                  <c:v>168.890966582826</c:v>
                </c:pt>
                <c:pt idx="187">
                  <c:v>169.10938384587436</c:v>
                </c:pt>
                <c:pt idx="188">
                  <c:v>169.32247760897209</c:v>
                </c:pt>
                <c:pt idx="189">
                  <c:v>169.53033185907739</c:v>
                </c:pt>
                <c:pt idx="190">
                  <c:v>169.73302962842229</c:v>
                </c:pt>
                <c:pt idx="191">
                  <c:v>169.93065292869716</c:v>
                </c:pt>
                <c:pt idx="192">
                  <c:v>170.12328269082971</c:v>
                </c:pt>
                <c:pt idx="193">
                  <c:v>170.31099871003769</c:v>
                </c:pt>
                <c:pt idx="194">
                  <c:v>170.49387959584377</c:v>
                </c:pt>
                <c:pt idx="195">
                  <c:v>170.67200272675302</c:v>
                </c:pt>
                <c:pt idx="196">
                  <c:v>170.84544420930493</c:v>
                </c:pt>
                <c:pt idx="197">
                  <c:v>171.01427884122199</c:v>
                </c:pt>
                <c:pt idx="198">
                  <c:v>171.17858007839015</c:v>
                </c:pt>
                <c:pt idx="199">
                  <c:v>171.33842000541631</c:v>
                </c:pt>
                <c:pt idx="200">
                  <c:v>171.49386930952051</c:v>
                </c:pt>
                <c:pt idx="201">
                  <c:v>171.64499725753072</c:v>
                </c:pt>
                <c:pt idx="202">
                  <c:v>171.79187167575992</c:v>
                </c:pt>
                <c:pt idx="203">
                  <c:v>171.93455893255557</c:v>
                </c:pt>
                <c:pt idx="204">
                  <c:v>172.07312392332165</c:v>
                </c:pt>
                <c:pt idx="205">
                  <c:v>172.20763005782484</c:v>
                </c:pt>
                <c:pt idx="206">
                  <c:v>172.33813924960481</c:v>
                </c:pt>
                <c:pt idx="207">
                  <c:v>172.46471190731924</c:v>
                </c:pt>
                <c:pt idx="208">
                  <c:v>172.58740692786324</c:v>
                </c:pt>
                <c:pt idx="209">
                  <c:v>172.70628169111103</c:v>
                </c:pt>
                <c:pt idx="210">
                  <c:v>172.82139205613734</c:v>
                </c:pt>
                <c:pt idx="211">
                  <c:v>172.93279235878327</c:v>
                </c:pt>
                <c:pt idx="212">
                  <c:v>173.04053541043973</c:v>
                </c:pt>
                <c:pt idx="213">
                  <c:v>173.14467249792855</c:v>
                </c:pt>
                <c:pt idx="214">
                  <c:v>173.24525338436945</c:v>
                </c:pt>
                <c:pt idx="215">
                  <c:v>173.34232631092632</c:v>
                </c:pt>
                <c:pt idx="216">
                  <c:v>173.43593799933461</c:v>
                </c:pt>
                <c:pt idx="217">
                  <c:v>173.5261336551159</c:v>
                </c:pt>
                <c:pt idx="218">
                  <c:v>173.612956971393</c:v>
                </c:pt>
                <c:pt idx="219">
                  <c:v>173.6964501332242</c:v>
                </c:pt>
                <c:pt idx="220">
                  <c:v>173.77665382237936</c:v>
                </c:pt>
                <c:pt idx="221">
                  <c:v>173.85360722248762</c:v>
                </c:pt>
                <c:pt idx="222">
                  <c:v>173.92734802448885</c:v>
                </c:pt>
                <c:pt idx="223">
                  <c:v>173.99791243232801</c:v>
                </c:pt>
                <c:pt idx="224">
                  <c:v>174.06533516883255</c:v>
                </c:pt>
                <c:pt idx="225">
                  <c:v>174.12964948172089</c:v>
                </c:pt>
                <c:pt idx="226">
                  <c:v>174.1908871496901</c:v>
                </c:pt>
                <c:pt idx="227">
                  <c:v>174.2490784885365</c:v>
                </c:pt>
                <c:pt idx="228">
                  <c:v>174.30425235726617</c:v>
                </c:pt>
                <c:pt idx="229">
                  <c:v>174.35643616415476</c:v>
                </c:pt>
                <c:pt idx="230">
                  <c:v>174.40565587271902</c:v>
                </c:pt>
                <c:pt idx="231">
                  <c:v>174.4519360075665</c:v>
                </c:pt>
                <c:pt idx="232">
                  <c:v>174.49529966009041</c:v>
                </c:pt>
                <c:pt idx="233">
                  <c:v>174.53576849398152</c:v>
                </c:pt>
                <c:pt idx="234">
                  <c:v>174.5733627505295</c:v>
                </c:pt>
                <c:pt idx="235">
                  <c:v>174.60810125368869</c:v>
                </c:pt>
                <c:pt idx="236">
                  <c:v>174.64000141488691</c:v>
                </c:pt>
                <c:pt idx="237">
                  <c:v>174.66907923755531</c:v>
                </c:pt>
                <c:pt idx="238">
                  <c:v>174.6953493213619</c:v>
                </c:pt>
                <c:pt idx="239">
                  <c:v>174.71882486613094</c:v>
                </c:pt>
                <c:pt idx="240">
                  <c:v>174.73951767543372</c:v>
                </c:pt>
                <c:pt idx="241">
                  <c:v>174.75743815983694</c:v>
                </c:pt>
                <c:pt idx="242">
                  <c:v>174.77259533979733</c:v>
                </c:pt>
                <c:pt idx="243">
                  <c:v>174.78499684819144</c:v>
                </c:pt>
                <c:pt idx="244">
                  <c:v>174.7946489324726</c:v>
                </c:pt>
                <c:pt idx="245">
                  <c:v>174.80155645644697</c:v>
                </c:pt>
                <c:pt idx="246">
                  <c:v>174.80572290166322</c:v>
                </c:pt>
                <c:pt idx="247">
                  <c:v>174.80715036841042</c:v>
                </c:pt>
                <c:pt idx="248">
                  <c:v>174.80583957632231</c:v>
                </c:pt>
                <c:pt idx="249">
                  <c:v>174.80178986458381</c:v>
                </c:pt>
                <c:pt idx="250">
                  <c:v>174.79499919174117</c:v>
                </c:pt>
                <c:pt idx="251">
                  <c:v>174.78546413511506</c:v>
                </c:pt>
                <c:pt idx="252">
                  <c:v>174.77317988981923</c:v>
                </c:pt>
                <c:pt idx="253">
                  <c:v>174.75814026738718</c:v>
                </c:pt>
                <c:pt idx="254">
                  <c:v>174.74033769401291</c:v>
                </c:pt>
                <c:pt idx="255">
                  <c:v>174.7197632084096</c:v>
                </c:pt>
                <c:pt idx="256">
                  <c:v>174.69640645929584</c:v>
                </c:pt>
                <c:pt idx="257">
                  <c:v>174.67025570251633</c:v>
                </c:pt>
                <c:pt idx="258">
                  <c:v>174.64129779780811</c:v>
                </c:pt>
                <c:pt idx="259">
                  <c:v>174.60951820522456</c:v>
                </c:pt>
                <c:pt idx="260">
                  <c:v>174.57490098122904</c:v>
                </c:pt>
                <c:pt idx="261">
                  <c:v>174.53742877447507</c:v>
                </c:pt>
                <c:pt idx="262">
                  <c:v>174.49708282128839</c:v>
                </c:pt>
                <c:pt idx="263">
                  <c:v>174.45384294086972</c:v>
                </c:pt>
                <c:pt idx="264">
                  <c:v>174.40768753023951</c:v>
                </c:pt>
                <c:pt idx="265">
                  <c:v>174.35859355894598</c:v>
                </c:pt>
                <c:pt idx="266">
                  <c:v>174.30653656356202</c:v>
                </c:pt>
                <c:pt idx="267">
                  <c:v>174.25149064199712</c:v>
                </c:pt>
                <c:pt idx="268">
                  <c:v>174.19342844765399</c:v>
                </c:pt>
                <c:pt idx="269">
                  <c:v>174.1323211834613</c:v>
                </c:pt>
                <c:pt idx="270">
                  <c:v>174.068138595817</c:v>
                </c:pt>
                <c:pt idx="271">
                  <c:v>174.0008489684792</c:v>
                </c:pt>
                <c:pt idx="272">
                  <c:v>173.93041911644502</c:v>
                </c:pt>
                <c:pt idx="273">
                  <c:v>173.85681437986054</c:v>
                </c:pt>
                <c:pt idx="274">
                  <c:v>173.77999861800842</c:v>
                </c:pt>
                <c:pt idx="275">
                  <c:v>173.69993420342306</c:v>
                </c:pt>
                <c:pt idx="276">
                  <c:v>173.61658201618798</c:v>
                </c:pt>
                <c:pt idx="277">
                  <c:v>173.52990143847228</c:v>
                </c:pt>
                <c:pt idx="278">
                  <c:v>173.4398503493691</c:v>
                </c:pt>
                <c:pt idx="279">
                  <c:v>173.3463851201019</c:v>
                </c:pt>
                <c:pt idx="280">
                  <c:v>173.24946060967</c:v>
                </c:pt>
                <c:pt idx="281">
                  <c:v>173.14903016100999</c:v>
                </c:pt>
                <c:pt idx="282">
                  <c:v>173.0450455977533</c:v>
                </c:pt>
                <c:pt idx="283">
                  <c:v>172.93745722166813</c:v>
                </c:pt>
                <c:pt idx="284">
                  <c:v>172.8262138108777</c:v>
                </c:pt>
                <c:pt idx="285">
                  <c:v>172.71126261895392</c:v>
                </c:pt>
                <c:pt idx="286">
                  <c:v>172.59254937499156</c:v>
                </c:pt>
                <c:pt idx="287">
                  <c:v>172.47001828477627</c:v>
                </c:pt>
                <c:pt idx="288">
                  <c:v>172.34361203316379</c:v>
                </c:pt>
                <c:pt idx="289">
                  <c:v>172.21327178779899</c:v>
                </c:pt>
                <c:pt idx="290">
                  <c:v>172.07893720430781</c:v>
                </c:pt>
                <c:pt idx="291">
                  <c:v>171.94054643310625</c:v>
                </c:pt>
                <c:pt idx="292">
                  <c:v>171.79803612797602</c:v>
                </c:pt>
                <c:pt idx="293">
                  <c:v>171.6513414565687</c:v>
                </c:pt>
                <c:pt idx="294">
                  <c:v>171.5003961130065</c:v>
                </c:pt>
                <c:pt idx="295">
                  <c:v>171.34513233275834</c:v>
                </c:pt>
                <c:pt idx="296">
                  <c:v>171.18548090998215</c:v>
                </c:pt>
                <c:pt idx="297">
                  <c:v>171.02137121752881</c:v>
                </c:pt>
                <c:pt idx="298">
                  <c:v>170.85273122982059</c:v>
                </c:pt>
                <c:pt idx="299">
                  <c:v>170.67948754882198</c:v>
                </c:pt>
                <c:pt idx="300">
                  <c:v>170.50156543333523</c:v>
                </c:pt>
                <c:pt idx="301">
                  <c:v>170.31888883186244</c:v>
                </c:pt>
                <c:pt idx="302">
                  <c:v>170.13138041928835</c:v>
                </c:pt>
                <c:pt idx="303">
                  <c:v>169.93896163764811</c:v>
                </c:pt>
                <c:pt idx="304">
                  <c:v>169.741552741258</c:v>
                </c:pt>
                <c:pt idx="305">
                  <c:v>169.5390728464952</c:v>
                </c:pt>
                <c:pt idx="306">
                  <c:v>169.33143998652793</c:v>
                </c:pt>
                <c:pt idx="307">
                  <c:v>169.11857117130515</c:v>
                </c:pt>
                <c:pt idx="308">
                  <c:v>168.90038245312678</c:v>
                </c:pt>
                <c:pt idx="309">
                  <c:v>168.67678899812731</c:v>
                </c:pt>
                <c:pt idx="310">
                  <c:v>168.44770516401192</c:v>
                </c:pt>
                <c:pt idx="311">
                  <c:v>168.21304458439735</c:v>
                </c:pt>
                <c:pt idx="312">
                  <c:v>167.97272026011365</c:v>
                </c:pt>
                <c:pt idx="313">
                  <c:v>167.72664465783393</c:v>
                </c:pt>
                <c:pt idx="314">
                  <c:v>167.47472981640053</c:v>
                </c:pt>
                <c:pt idx="315">
                  <c:v>167.21688746122496</c:v>
                </c:pt>
                <c:pt idx="316">
                  <c:v>166.95302912713578</c:v>
                </c:pt>
                <c:pt idx="317">
                  <c:v>166.68306629005366</c:v>
                </c:pt>
                <c:pt idx="318">
                  <c:v>166.4069105078681</c:v>
                </c:pt>
                <c:pt idx="319">
                  <c:v>166.12447357088485</c:v>
                </c:pt>
                <c:pt idx="320">
                  <c:v>165.83566766220673</c:v>
                </c:pt>
                <c:pt idx="321">
                  <c:v>165.54040552840002</c:v>
                </c:pt>
                <c:pt idx="322">
                  <c:v>165.23860066077953</c:v>
                </c:pt>
                <c:pt idx="323">
                  <c:v>164.93016748763108</c:v>
                </c:pt>
                <c:pt idx="324">
                  <c:v>164.61502157766247</c:v>
                </c:pt>
                <c:pt idx="325">
                  <c:v>164.29307985494805</c:v>
                </c:pt>
                <c:pt idx="326">
                  <c:v>163.96426082559773</c:v>
                </c:pt>
                <c:pt idx="327">
                  <c:v>163.62848481633472</c:v>
                </c:pt>
                <c:pt idx="328">
                  <c:v>163.28567422513447</c:v>
                </c:pt>
                <c:pt idx="329">
                  <c:v>162.93575378400462</c:v>
                </c:pt>
                <c:pt idx="330">
                  <c:v>162.57865083394572</c:v>
                </c:pt>
                <c:pt idx="331">
                  <c:v>162.21429561204786</c:v>
                </c:pt>
                <c:pt idx="332">
                  <c:v>161.84262155061353</c:v>
                </c:pt>
                <c:pt idx="333">
                  <c:v>161.46356558811084</c:v>
                </c:pt>
                <c:pt idx="334">
                  <c:v>161.07706849166493</c:v>
                </c:pt>
                <c:pt idx="335">
                  <c:v>160.6830751906999</c:v>
                </c:pt>
                <c:pt idx="336">
                  <c:v>160.28153512123481</c:v>
                </c:pt>
                <c:pt idx="337">
                  <c:v>159.87240258021231</c:v>
                </c:pt>
                <c:pt idx="338">
                  <c:v>159.45563708911988</c:v>
                </c:pt>
                <c:pt idx="339">
                  <c:v>159.03120376602885</c:v>
                </c:pt>
                <c:pt idx="340">
                  <c:v>158.5990737050256</c:v>
                </c:pt>
                <c:pt idx="341">
                  <c:v>158.15922436187077</c:v>
                </c:pt>
                <c:pt idx="342">
                  <c:v>157.71163994456327</c:v>
                </c:pt>
                <c:pt idx="343">
                  <c:v>157.25631180731742</c:v>
                </c:pt>
                <c:pt idx="344">
                  <c:v>156.79323884631305</c:v>
                </c:pt>
                <c:pt idx="345">
                  <c:v>156.32242789539168</c:v>
                </c:pt>
                <c:pt idx="346">
                  <c:v>155.84389411972091</c:v>
                </c:pt>
                <c:pt idx="347">
                  <c:v>155.35766140527124</c:v>
                </c:pt>
                <c:pt idx="348">
                  <c:v>154.86376274178997</c:v>
                </c:pt>
                <c:pt idx="349">
                  <c:v>154.36224059679824</c:v>
                </c:pt>
                <c:pt idx="350">
                  <c:v>153.85314727798965</c:v>
                </c:pt>
                <c:pt idx="351">
                  <c:v>153.33654528126638</c:v>
                </c:pt>
                <c:pt idx="352">
                  <c:v>152.81250762153095</c:v>
                </c:pt>
                <c:pt idx="353">
                  <c:v>152.28111814324205</c:v>
                </c:pt>
                <c:pt idx="354">
                  <c:v>151.74247180765599</c:v>
                </c:pt>
                <c:pt idx="355">
                  <c:v>151.19667495362117</c:v>
                </c:pt>
                <c:pt idx="356">
                  <c:v>150.64384552875183</c:v>
                </c:pt>
                <c:pt idx="357">
                  <c:v>150.08411328781031</c:v>
                </c:pt>
                <c:pt idx="358">
                  <c:v>149.5176199551552</c:v>
                </c:pt>
                <c:pt idx="359">
                  <c:v>148.9445193481809</c:v>
                </c:pt>
                <c:pt idx="360">
                  <c:v>148.36497745878432</c:v>
                </c:pt>
                <c:pt idx="361">
                  <c:v>147.77917249003394</c:v>
                </c:pt>
                <c:pt idx="362">
                  <c:v>147.18729484541765</c:v>
                </c:pt>
                <c:pt idx="363">
                  <c:v>146.58954706826961</c:v>
                </c:pt>
                <c:pt idx="364">
                  <c:v>145.98614372925718</c:v>
                </c:pt>
                <c:pt idx="365">
                  <c:v>145.37731126013162</c:v>
                </c:pt>
                <c:pt idx="366">
                  <c:v>144.76328773229824</c:v>
                </c:pt>
                <c:pt idx="367">
                  <c:v>144.14432257917184</c:v>
                </c:pt>
                <c:pt idx="368">
                  <c:v>143.52067626170964</c:v>
                </c:pt>
                <c:pt idx="369">
                  <c:v>142.8926198769862</c:v>
                </c:pt>
                <c:pt idx="370">
                  <c:v>142.26043471016396</c:v>
                </c:pt>
                <c:pt idx="371">
                  <c:v>141.62441173072901</c:v>
                </c:pt>
                <c:pt idx="372">
                  <c:v>140.98485103438537</c:v>
                </c:pt>
                <c:pt idx="373">
                  <c:v>140.34206123253773</c:v>
                </c:pt>
                <c:pt idx="374">
                  <c:v>139.69635879182388</c:v>
                </c:pt>
                <c:pt idx="375">
                  <c:v>139.04806732667407</c:v>
                </c:pt>
                <c:pt idx="376">
                  <c:v>138.39751684839177</c:v>
                </c:pt>
                <c:pt idx="377">
                  <c:v>137.74504297471123</c:v>
                </c:pt>
                <c:pt idx="378">
                  <c:v>137.09098610424584</c:v>
                </c:pt>
                <c:pt idx="379">
                  <c:v>136.43569056063154</c:v>
                </c:pt>
                <c:pt idx="380">
                  <c:v>135.77950371152096</c:v>
                </c:pt>
                <c:pt idx="381">
                  <c:v>135.12277506788828</c:v>
                </c:pt>
                <c:pt idx="382">
                  <c:v>134.4658553693217</c:v>
                </c:pt>
                <c:pt idx="383">
                  <c:v>133.80909566116102</c:v>
                </c:pt>
                <c:pt idx="384">
                  <c:v>133.15284636942863</c:v>
                </c:pt>
                <c:pt idx="385">
                  <c:v>132.49745637952896</c:v>
                </c:pt>
                <c:pt idx="386">
                  <c:v>131.84327212464603</c:v>
                </c:pt>
                <c:pt idx="387">
                  <c:v>131.19063668965663</c:v>
                </c:pt>
                <c:pt idx="388">
                  <c:v>130.53988893618393</c:v>
                </c:pt>
                <c:pt idx="389">
                  <c:v>129.89136265417349</c:v>
                </c:pt>
                <c:pt idx="390">
                  <c:v>129.24538574506343</c:v>
                </c:pt>
                <c:pt idx="391">
                  <c:v>128.60227944124748</c:v>
                </c:pt>
                <c:pt idx="392">
                  <c:v>127.96235756613025</c:v>
                </c:pt>
                <c:pt idx="393">
                  <c:v>127.32592583860696</c:v>
                </c:pt>
                <c:pt idx="394">
                  <c:v>126.69328122532843</c:v>
                </c:pt>
                <c:pt idx="395">
                  <c:v>126.06471134358883</c:v>
                </c:pt>
                <c:pt idx="396">
                  <c:v>125.44049391715656</c:v>
                </c:pt>
                <c:pt idx="397">
                  <c:v>124.82089628683921</c:v>
                </c:pt>
                <c:pt idx="398">
                  <c:v>124.20617497702449</c:v>
                </c:pt>
                <c:pt idx="399">
                  <c:v>123.59657531893531</c:v>
                </c:pt>
                <c:pt idx="400">
                  <c:v>122.99233113081796</c:v>
                </c:pt>
                <c:pt idx="401">
                  <c:v>122.39366445479327</c:v>
                </c:pt>
                <c:pt idx="402">
                  <c:v>121.8007853496553</c:v>
                </c:pt>
                <c:pt idx="403">
                  <c:v>121.21389173845441</c:v>
                </c:pt>
                <c:pt idx="404">
                  <c:v>120.63316930934005</c:v>
                </c:pt>
                <c:pt idx="405">
                  <c:v>120.05879146776185</c:v>
                </c:pt>
                <c:pt idx="406">
                  <c:v>119.49091933783666</c:v>
                </c:pt>
                <c:pt idx="407">
                  <c:v>118.92970181041734</c:v>
                </c:pt>
                <c:pt idx="408">
                  <c:v>118.37527563517938</c:v>
                </c:pt>
                <c:pt idx="409">
                  <c:v>117.82776555385817</c:v>
                </c:pt>
                <c:pt idx="410">
                  <c:v>117.28728447164214</c:v>
                </c:pt>
                <c:pt idx="411">
                  <c:v>116.75393366362138</c:v>
                </c:pt>
                <c:pt idx="412">
                  <c:v>116.22780301313868</c:v>
                </c:pt>
                <c:pt idx="413">
                  <c:v>115.70897127886838</c:v>
                </c:pt>
                <c:pt idx="414">
                  <c:v>115.19750638745636</c:v>
                </c:pt>
                <c:pt idx="415">
                  <c:v>114.69346574859981</c:v>
                </c:pt>
                <c:pt idx="416">
                  <c:v>114.1968965895076</c:v>
                </c:pt>
                <c:pt idx="417">
                  <c:v>113.70783630577948</c:v>
                </c:pt>
                <c:pt idx="418">
                  <c:v>113.22631282584835</c:v>
                </c:pt>
                <c:pt idx="419">
                  <c:v>112.75234498626</c:v>
                </c:pt>
                <c:pt idx="420">
                  <c:v>112.28594291520373</c:v>
                </c:pt>
                <c:pt idx="421">
                  <c:v>111.82710842186474</c:v>
                </c:pt>
                <c:pt idx="422">
                  <c:v>111.37583538932098</c:v>
                </c:pt>
                <c:pt idx="423">
                  <c:v>110.93211016887696</c:v>
                </c:pt>
                <c:pt idx="424">
                  <c:v>110.49591197389589</c:v>
                </c:pt>
                <c:pt idx="425">
                  <c:v>110.06721327135321</c:v>
                </c:pt>
                <c:pt idx="426">
                  <c:v>109.64598016950688</c:v>
                </c:pt>
                <c:pt idx="427">
                  <c:v>109.2321728002438</c:v>
                </c:pt>
                <c:pt idx="428">
                  <c:v>108.8257456948175</c:v>
                </c:pt>
                <c:pt idx="429">
                  <c:v>108.42664815184541</c:v>
                </c:pt>
                <c:pt idx="430">
                  <c:v>108.03482459659142</c:v>
                </c:pt>
                <c:pt idx="431">
                  <c:v>107.6502149306835</c:v>
                </c:pt>
                <c:pt idx="432">
                  <c:v>107.27275487156417</c:v>
                </c:pt>
                <c:pt idx="433">
                  <c:v>106.90237628108268</c:v>
                </c:pt>
                <c:pt idx="434">
                  <c:v>106.53900748276499</c:v>
                </c:pt>
                <c:pt idx="435">
                  <c:v>106.18257356739377</c:v>
                </c:pt>
                <c:pt idx="436">
                  <c:v>105.83299668663615</c:v>
                </c:pt>
                <c:pt idx="437">
                  <c:v>105.49019633454459</c:v>
                </c:pt>
                <c:pt idx="438">
                  <c:v>105.15408961683744</c:v>
                </c:pt>
                <c:pt idx="439">
                  <c:v>104.82459150793733</c:v>
                </c:pt>
                <c:pt idx="440">
                  <c:v>104.50161509581702</c:v>
                </c:pt>
                <c:pt idx="441">
                  <c:v>104.18507181475175</c:v>
                </c:pt>
                <c:pt idx="442">
                  <c:v>103.87487166613633</c:v>
                </c:pt>
                <c:pt idx="443">
                  <c:v>103.57092342756766</c:v>
                </c:pt>
                <c:pt idx="444">
                  <c:v>103.27313485042498</c:v>
                </c:pt>
                <c:pt idx="445">
                  <c:v>102.98141284622672</c:v>
                </c:pt>
                <c:pt idx="446">
                  <c:v>102.69566366205409</c:v>
                </c:pt>
                <c:pt idx="447">
                  <c:v>102.41579304536815</c:v>
                </c:pt>
                <c:pt idx="448">
                  <c:v>102.14170639855567</c:v>
                </c:pt>
                <c:pt idx="449">
                  <c:v>101.87330892355651</c:v>
                </c:pt>
                <c:pt idx="450">
                  <c:v>101.61050575693717</c:v>
                </c:pt>
                <c:pt idx="451">
                  <c:v>101.35320209577904</c:v>
                </c:pt>
                <c:pt idx="452">
                  <c:v>101.10130331475571</c:v>
                </c:pt>
                <c:pt idx="453">
                  <c:v>100.85471507477494</c:v>
                </c:pt>
                <c:pt idx="454">
                  <c:v>100.61334342356123</c:v>
                </c:pt>
                <c:pt idx="455">
                  <c:v>100.3770948885479</c:v>
                </c:pt>
                <c:pt idx="456">
                  <c:v>100.14587656245109</c:v>
                </c:pt>
                <c:pt idx="457">
                  <c:v>99.919596181881914</c:v>
                </c:pt>
                <c:pt idx="458">
                  <c:v>99.698162199354087</c:v>
                </c:pt>
                <c:pt idx="459">
                  <c:v>99.48148384903304</c:v>
                </c:pt>
                <c:pt idx="460">
                  <c:v>99.269471206561093</c:v>
                </c:pt>
                <c:pt idx="461">
                  <c:v>99.062035243287312</c:v>
                </c:pt>
                <c:pt idx="462">
                  <c:v>98.859087875217455</c:v>
                </c:pt>
                <c:pt idx="463">
                  <c:v>98.660542006989189</c:v>
                </c:pt>
                <c:pt idx="464">
                  <c:v>98.466311571167722</c:v>
                </c:pt>
                <c:pt idx="465">
                  <c:v>98.276311563143281</c:v>
                </c:pt>
                <c:pt idx="466">
                  <c:v>98.090458071902844</c:v>
                </c:pt>
                <c:pt idx="467">
                  <c:v>97.908668306935382</c:v>
                </c:pt>
                <c:pt idx="468">
                  <c:v>97.730860621519227</c:v>
                </c:pt>
                <c:pt idx="469">
                  <c:v>97.556954532628268</c:v>
                </c:pt>
                <c:pt idx="470">
                  <c:v>97.386870737683083</c:v>
                </c:pt>
                <c:pt idx="471">
                  <c:v>97.220531128361557</c:v>
                </c:pt>
                <c:pt idx="472">
                  <c:v>97.057858801673916</c:v>
                </c:pt>
                <c:pt idx="473">
                  <c:v>96.898778068494892</c:v>
                </c:pt>
                <c:pt idx="474">
                  <c:v>96.743214459736961</c:v>
                </c:pt>
                <c:pt idx="475">
                  <c:v>96.591094730339123</c:v>
                </c:pt>
                <c:pt idx="476">
                  <c:v>96.442346861234086</c:v>
                </c:pt>
                <c:pt idx="477">
                  <c:v>96.296900059450294</c:v>
                </c:pt>
                <c:pt idx="478">
                  <c:v>96.154684756494404</c:v>
                </c:pt>
                <c:pt idx="479">
                  <c:v>96.015632605151978</c:v>
                </c:pt>
                <c:pt idx="480">
                  <c:v>95.879676474836501</c:v>
                </c:pt>
                <c:pt idx="481">
                  <c:v>95.746750445608839</c:v>
                </c:pt>
                <c:pt idx="482">
                  <c:v>95.616789800981081</c:v>
                </c:pt>
                <c:pt idx="483">
                  <c:v>95.489731019613146</c:v>
                </c:pt>
                <c:pt idx="484">
                  <c:v>95.365511766002356</c:v>
                </c:pt>
                <c:pt idx="485">
                  <c:v>95.244070880261049</c:v>
                </c:pt>
                <c:pt idx="486">
                  <c:v>95.125348367069947</c:v>
                </c:pt>
                <c:pt idx="487">
                  <c:v>95.009285383890187</c:v>
                </c:pt>
                <c:pt idx="488">
                  <c:v>94.895824228512041</c:v>
                </c:pt>
                <c:pt idx="489">
                  <c:v>94.784908326010537</c:v>
                </c:pt>
                <c:pt idx="490">
                  <c:v>94.676482215177231</c:v>
                </c:pt>
                <c:pt idx="491">
                  <c:v>94.570491534488781</c:v>
                </c:pt>
                <c:pt idx="492">
                  <c:v>94.466883007671896</c:v>
                </c:pt>
                <c:pt idx="493">
                  <c:v>94.365604428918175</c:v>
                </c:pt>
                <c:pt idx="494">
                  <c:v>94.266604647798644</c:v>
                </c:pt>
                <c:pt idx="495">
                  <c:v>94.169833553925798</c:v>
                </c:pt>
                <c:pt idx="496">
                  <c:v>94.075242061404737</c:v>
                </c:pt>
                <c:pt idx="497">
                  <c:v>93.982782093114594</c:v>
                </c:pt>
                <c:pt idx="498">
                  <c:v>93.892406564856515</c:v>
                </c:pt>
                <c:pt idx="499">
                  <c:v>93.80406936940237</c:v>
                </c:pt>
                <c:pt idx="500">
                  <c:v>93.71772536047574</c:v>
                </c:pt>
                <c:pt idx="501">
                  <c:v>93.633330336694044</c:v>
                </c:pt>
                <c:pt idx="502">
                  <c:v>93.550841025498272</c:v>
                </c:pt>
                <c:pt idx="503">
                  <c:v>93.470215067094685</c:v>
                </c:pt>
                <c:pt idx="504">
                  <c:v>93.391410998431269</c:v>
                </c:pt>
                <c:pt idx="505">
                  <c:v>93.314388237228542</c:v>
                </c:pt>
                <c:pt idx="506">
                  <c:v>93.239107066084401</c:v>
                </c:pt>
                <c:pt idx="507">
                  <c:v>93.165528616669036</c:v>
                </c:pt>
                <c:pt idx="508">
                  <c:v>93.093614854025702</c:v>
                </c:pt>
                <c:pt idx="509">
                  <c:v>93.023328560991771</c:v>
                </c:pt>
                <c:pt idx="510">
                  <c:v>92.95463332275186</c:v>
                </c:pt>
                <c:pt idx="511">
                  <c:v>92.887493511534871</c:v>
                </c:pt>
                <c:pt idx="512">
                  <c:v>92.82187427146539</c:v>
                </c:pt>
                <c:pt idx="513">
                  <c:v>92.757741503577591</c:v>
                </c:pt>
                <c:pt idx="514">
                  <c:v>92.695061851001114</c:v>
                </c:pt>
                <c:pt idx="515">
                  <c:v>92.633802684324792</c:v>
                </c:pt>
                <c:pt idx="516">
                  <c:v>92.573932087145238</c:v>
                </c:pt>
                <c:pt idx="517">
                  <c:v>92.515418841805698</c:v>
                </c:pt>
                <c:pt idx="518">
                  <c:v>92.458232415329576</c:v>
                </c:pt>
                <c:pt idx="519">
                  <c:v>92.402342945553031</c:v>
                </c:pt>
                <c:pt idx="520">
                  <c:v>92.347721227459942</c:v>
                </c:pt>
                <c:pt idx="521">
                  <c:v>92.294338699721806</c:v>
                </c:pt>
                <c:pt idx="522">
                  <c:v>92.242167431445424</c:v>
                </c:pt>
                <c:pt idx="523">
                  <c:v>92.191180109129533</c:v>
                </c:pt>
                <c:pt idx="524">
                  <c:v>92.141350023831706</c:v>
                </c:pt>
                <c:pt idx="525">
                  <c:v>92.092651058547176</c:v>
                </c:pt>
                <c:pt idx="526">
                  <c:v>92.045057675799299</c:v>
                </c:pt>
                <c:pt idx="527">
                  <c:v>91.998544905441747</c:v>
                </c:pt>
                <c:pt idx="528">
                  <c:v>91.953088332673019</c:v>
                </c:pt>
                <c:pt idx="529">
                  <c:v>91.908664086261922</c:v>
                </c:pt>
                <c:pt idx="530">
                  <c:v>91.865248826983816</c:v>
                </c:pt>
                <c:pt idx="531">
                  <c:v>91.822819736266396</c:v>
                </c:pt>
                <c:pt idx="532">
                  <c:v>91.781354505043907</c:v>
                </c:pt>
                <c:pt idx="533">
                  <c:v>91.740831322817968</c:v>
                </c:pt>
                <c:pt idx="534">
                  <c:v>91.701228866924225</c:v>
                </c:pt>
                <c:pt idx="535">
                  <c:v>91.662526292001886</c:v>
                </c:pt>
                <c:pt idx="536">
                  <c:v>91.624703219665363</c:v>
                </c:pt>
                <c:pt idx="537">
                  <c:v>91.587739728375112</c:v>
                </c:pt>
                <c:pt idx="538">
                  <c:v>91.551616343505898</c:v>
                </c:pt>
                <c:pt idx="539">
                  <c:v>91.516314027610093</c:v>
                </c:pt>
                <c:pt idx="540">
                  <c:v>91.481814170873633</c:v>
                </c:pt>
                <c:pt idx="541">
                  <c:v>91.448098581762125</c:v>
                </c:pt>
              </c:numCache>
            </c:numRef>
          </c:yVal>
          <c:smooth val="1"/>
          <c:extLst>
            <c:ext xmlns:c16="http://schemas.microsoft.com/office/drawing/2014/chart" uri="{C3380CC4-5D6E-409C-BE32-E72D297353CC}">
              <c16:uniqueId val="{00000001-4F4B-43C9-BE46-3F56EC7D1C25}"/>
            </c:ext>
          </c:extLst>
        </c:ser>
        <c:dLbls>
          <c:showLegendKey val="0"/>
          <c:showVal val="0"/>
          <c:showCatName val="0"/>
          <c:showSerName val="0"/>
          <c:showPercent val="0"/>
          <c:showBubbleSize val="0"/>
        </c:dLbls>
        <c:axId val="384260736"/>
        <c:axId val="384259200"/>
      </c:scatterChart>
      <c:valAx>
        <c:axId val="384242816"/>
        <c:scaling>
          <c:logBase val="10"/>
          <c:orientation val="minMax"/>
          <c:max val="2200000"/>
          <c:min val="10"/>
        </c:scaling>
        <c:delete val="0"/>
        <c:axPos val="b"/>
        <c:minorGridlines/>
        <c:title>
          <c:tx>
            <c:rich>
              <a:bodyPr/>
              <a:lstStyle/>
              <a:p>
                <a:pPr>
                  <a:defRPr/>
                </a:pPr>
                <a:r>
                  <a:rPr lang="en-US"/>
                  <a:t>Frequency</a:t>
                </a:r>
                <a:r>
                  <a:rPr lang="en-US" baseline="0"/>
                  <a:t> (Hz)</a:t>
                </a:r>
                <a:endParaRPr lang="en-US"/>
              </a:p>
            </c:rich>
          </c:tx>
          <c:overlay val="0"/>
        </c:title>
        <c:numFmt formatCode="0" sourceLinked="0"/>
        <c:majorTickMark val="out"/>
        <c:minorTickMark val="none"/>
        <c:tickLblPos val="low"/>
        <c:crossAx val="384244736"/>
        <c:crosses val="autoZero"/>
        <c:crossBetween val="midCat"/>
      </c:valAx>
      <c:valAx>
        <c:axId val="384244736"/>
        <c:scaling>
          <c:orientation val="minMax"/>
          <c:max val="40"/>
          <c:min val="-40"/>
        </c:scaling>
        <c:delete val="0"/>
        <c:axPos val="l"/>
        <c:majorGridlines/>
        <c:minorGridlines/>
        <c:title>
          <c:tx>
            <c:rich>
              <a:bodyPr rot="-5400000" vert="horz"/>
              <a:lstStyle/>
              <a:p>
                <a:pPr>
                  <a:defRPr/>
                </a:pPr>
                <a:r>
                  <a:rPr lang="en-US"/>
                  <a:t>Gain</a:t>
                </a:r>
                <a:r>
                  <a:rPr lang="en-US" baseline="0"/>
                  <a:t> (dB)</a:t>
                </a:r>
                <a:endParaRPr lang="en-US"/>
              </a:p>
            </c:rich>
          </c:tx>
          <c:overlay val="0"/>
        </c:title>
        <c:numFmt formatCode="General" sourceLinked="0"/>
        <c:majorTickMark val="out"/>
        <c:minorTickMark val="none"/>
        <c:tickLblPos val="nextTo"/>
        <c:crossAx val="384242816"/>
        <c:crosses val="autoZero"/>
        <c:crossBetween val="midCat"/>
        <c:majorUnit val="20"/>
        <c:minorUnit val="10"/>
      </c:valAx>
      <c:valAx>
        <c:axId val="384259200"/>
        <c:scaling>
          <c:orientation val="minMax"/>
          <c:max val="180"/>
          <c:min val="-180"/>
        </c:scaling>
        <c:delete val="0"/>
        <c:axPos val="r"/>
        <c:numFmt formatCode="General" sourceLinked="1"/>
        <c:majorTickMark val="out"/>
        <c:minorTickMark val="none"/>
        <c:tickLblPos val="nextTo"/>
        <c:crossAx val="384260736"/>
        <c:crosses val="max"/>
        <c:crossBetween val="midCat"/>
        <c:majorUnit val="90"/>
        <c:minorUnit val="45"/>
      </c:valAx>
      <c:valAx>
        <c:axId val="384260736"/>
        <c:scaling>
          <c:logBase val="10"/>
          <c:orientation val="minMax"/>
        </c:scaling>
        <c:delete val="1"/>
        <c:axPos val="b"/>
        <c:numFmt formatCode="0.00" sourceLinked="1"/>
        <c:majorTickMark val="out"/>
        <c:minorTickMark val="none"/>
        <c:tickLblPos val="nextTo"/>
        <c:crossAx val="384259200"/>
        <c:crosses val="autoZero"/>
        <c:crossBetween val="midCat"/>
      </c:valAx>
    </c:plotArea>
    <c:legend>
      <c:legendPos val="r"/>
      <c:layout>
        <c:manualLayout>
          <c:xMode val="edge"/>
          <c:yMode val="edge"/>
          <c:x val="0.79880558209512509"/>
          <c:y val="0.14321997959862004"/>
          <c:w val="0.13485048155591431"/>
          <c:h val="0.10528624969913696"/>
        </c:manualLayout>
      </c:layout>
      <c:overlay val="1"/>
      <c:spPr>
        <a:solidFill>
          <a:schemeClr val="bg1"/>
        </a:solidFill>
      </c:spPr>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baseline="0"/>
              <a:t>Control Loop Transfer Function</a:t>
            </a:r>
          </a:p>
        </c:rich>
      </c:tx>
      <c:overlay val="0"/>
    </c:title>
    <c:autoTitleDeleted val="0"/>
    <c:plotArea>
      <c:layout/>
      <c:scatterChart>
        <c:scatterStyle val="smoothMarker"/>
        <c:varyColors val="0"/>
        <c:ser>
          <c:idx val="0"/>
          <c:order val="0"/>
          <c:tx>
            <c:v>Gain (dB)</c:v>
          </c:tx>
          <c:spPr>
            <a:ln w="38100">
              <a:solidFill>
                <a:srgbClr val="FF0000"/>
              </a:solidFill>
            </a:ln>
          </c:spPr>
          <c:marker>
            <c:symbol val="none"/>
          </c:marker>
          <c:xVal>
            <c:numRef>
              <c:f>CCM_Loop_Modeling_non_isolated!$O$19:$O$560</c:f>
              <c:numCache>
                <c:formatCode>0.00</c:formatCode>
                <c:ptCount val="542"/>
                <c:pt idx="0">
                  <c:v>10.232929922807543</c:v>
                </c:pt>
                <c:pt idx="1">
                  <c:v>10.471285480509</c:v>
                </c:pt>
                <c:pt idx="2">
                  <c:v>10.715193052376069</c:v>
                </c:pt>
                <c:pt idx="3">
                  <c:v>10.964781961431854</c:v>
                </c:pt>
                <c:pt idx="4">
                  <c:v>11.220184543019636</c:v>
                </c:pt>
                <c:pt idx="5">
                  <c:v>11.481536214968834</c:v>
                </c:pt>
                <c:pt idx="6">
                  <c:v>11.748975549395301</c:v>
                </c:pt>
                <c:pt idx="7">
                  <c:v>12.022644346174133</c:v>
                </c:pt>
                <c:pt idx="8">
                  <c:v>12.302687708123818</c:v>
                </c:pt>
                <c:pt idx="9">
                  <c:v>12.58925411794168</c:v>
                </c:pt>
                <c:pt idx="10">
                  <c:v>12.882495516931346</c:v>
                </c:pt>
                <c:pt idx="11">
                  <c:v>13.182567385564075</c:v>
                </c:pt>
                <c:pt idx="12">
                  <c:v>13.489628825916535</c:v>
                </c:pt>
                <c:pt idx="13">
                  <c:v>13.803842646028857</c:v>
                </c:pt>
                <c:pt idx="14">
                  <c:v>14.125375446227544</c:v>
                </c:pt>
                <c:pt idx="15">
                  <c:v>14.454397707459275</c:v>
                </c:pt>
                <c:pt idx="16">
                  <c:v>14.791083881682074</c:v>
                </c:pt>
                <c:pt idx="17">
                  <c:v>15.135612484362087</c:v>
                </c:pt>
                <c:pt idx="18">
                  <c:v>15.488166189124817</c:v>
                </c:pt>
                <c:pt idx="19">
                  <c:v>15.848931924611136</c:v>
                </c:pt>
                <c:pt idx="20">
                  <c:v>16.218100973589298</c:v>
                </c:pt>
                <c:pt idx="21">
                  <c:v>16.595869074375614</c:v>
                </c:pt>
                <c:pt idx="22">
                  <c:v>16.982436524617448</c:v>
                </c:pt>
                <c:pt idx="23">
                  <c:v>17.378008287493756</c:v>
                </c:pt>
                <c:pt idx="24">
                  <c:v>17.782794100389236</c:v>
                </c:pt>
                <c:pt idx="25">
                  <c:v>18.197008586099841</c:v>
                </c:pt>
                <c:pt idx="26">
                  <c:v>18.62087136662868</c:v>
                </c:pt>
                <c:pt idx="27">
                  <c:v>19.054607179632477</c:v>
                </c:pt>
                <c:pt idx="28">
                  <c:v>19.498445997580465</c:v>
                </c:pt>
                <c:pt idx="29">
                  <c:v>19.952623149688804</c:v>
                </c:pt>
                <c:pt idx="30">
                  <c:v>20.4173794466953</c:v>
                </c:pt>
                <c:pt idx="31">
                  <c:v>20.8929613085404</c:v>
                </c:pt>
                <c:pt idx="32">
                  <c:v>21.379620895022335</c:v>
                </c:pt>
                <c:pt idx="33">
                  <c:v>21.877616239495538</c:v>
                </c:pt>
                <c:pt idx="34">
                  <c:v>22.387211385683404</c:v>
                </c:pt>
                <c:pt idx="35">
                  <c:v>22.908676527677727</c:v>
                </c:pt>
                <c:pt idx="36">
                  <c:v>23.442288153199236</c:v>
                </c:pt>
                <c:pt idx="37">
                  <c:v>23.988329190194907</c:v>
                </c:pt>
                <c:pt idx="38">
                  <c:v>24.547089156850316</c:v>
                </c:pt>
                <c:pt idx="39">
                  <c:v>25.118864315095799</c:v>
                </c:pt>
                <c:pt idx="40">
                  <c:v>25.703957827688647</c:v>
                </c:pt>
                <c:pt idx="41">
                  <c:v>26.302679918953825</c:v>
                </c:pt>
                <c:pt idx="42">
                  <c:v>26.915348039269158</c:v>
                </c:pt>
                <c:pt idx="43">
                  <c:v>27.542287033381665</c:v>
                </c:pt>
                <c:pt idx="44">
                  <c:v>28.183829312644548</c:v>
                </c:pt>
                <c:pt idx="45">
                  <c:v>28.840315031266066</c:v>
                </c:pt>
                <c:pt idx="46">
                  <c:v>29.512092266663863</c:v>
                </c:pt>
                <c:pt idx="47">
                  <c:v>30.199517204020164</c:v>
                </c:pt>
                <c:pt idx="48">
                  <c:v>30.902954325135919</c:v>
                </c:pt>
                <c:pt idx="49">
                  <c:v>31.622776601683803</c:v>
                </c:pt>
                <c:pt idx="50">
                  <c:v>32.359365692962832</c:v>
                </c:pt>
                <c:pt idx="51">
                  <c:v>33.113112148259127</c:v>
                </c:pt>
                <c:pt idx="52">
                  <c:v>33.884415613920268</c:v>
                </c:pt>
                <c:pt idx="53">
                  <c:v>34.67368504525318</c:v>
                </c:pt>
                <c:pt idx="54">
                  <c:v>35.481338923357555</c:v>
                </c:pt>
                <c:pt idx="55">
                  <c:v>36.307805477010156</c:v>
                </c:pt>
                <c:pt idx="56">
                  <c:v>37.15352290971726</c:v>
                </c:pt>
                <c:pt idx="57">
                  <c:v>38.018939632056139</c:v>
                </c:pt>
                <c:pt idx="58">
                  <c:v>38.904514499428053</c:v>
                </c:pt>
                <c:pt idx="59">
                  <c:v>39.810717055349755</c:v>
                </c:pt>
                <c:pt idx="60">
                  <c:v>40.738027780411279</c:v>
                </c:pt>
                <c:pt idx="61">
                  <c:v>41.686938347033561</c:v>
                </c:pt>
                <c:pt idx="62">
                  <c:v>42.657951880159267</c:v>
                </c:pt>
                <c:pt idx="63">
                  <c:v>43.651583224016633</c:v>
                </c:pt>
                <c:pt idx="64">
                  <c:v>44.668359215096324</c:v>
                </c:pt>
                <c:pt idx="65">
                  <c:v>45.70881896148753</c:v>
                </c:pt>
                <c:pt idx="66">
                  <c:v>46.773514128719818</c:v>
                </c:pt>
                <c:pt idx="67">
                  <c:v>47.863009232263877</c:v>
                </c:pt>
                <c:pt idx="68">
                  <c:v>48.977881936844632</c:v>
                </c:pt>
                <c:pt idx="69">
                  <c:v>50.118723362727238</c:v>
                </c:pt>
                <c:pt idx="70">
                  <c:v>51.28613839913649</c:v>
                </c:pt>
                <c:pt idx="71">
                  <c:v>52.480746024977286</c:v>
                </c:pt>
                <c:pt idx="72">
                  <c:v>53.703179637025293</c:v>
                </c:pt>
                <c:pt idx="73">
                  <c:v>54.95408738576247</c:v>
                </c:pt>
                <c:pt idx="74">
                  <c:v>56.234132519034915</c:v>
                </c:pt>
                <c:pt idx="75">
                  <c:v>57.543993733715695</c:v>
                </c:pt>
                <c:pt idx="76">
                  <c:v>58.884365535558949</c:v>
                </c:pt>
                <c:pt idx="77">
                  <c:v>60.255958607435822</c:v>
                </c:pt>
                <c:pt idx="78">
                  <c:v>61.659500186148257</c:v>
                </c:pt>
                <c:pt idx="79">
                  <c:v>63.095734448019364</c:v>
                </c:pt>
                <c:pt idx="80">
                  <c:v>64.565422903465588</c:v>
                </c:pt>
                <c:pt idx="81">
                  <c:v>66.069344800759623</c:v>
                </c:pt>
                <c:pt idx="82">
                  <c:v>67.60829753919819</c:v>
                </c:pt>
                <c:pt idx="83">
                  <c:v>69.183097091893657</c:v>
                </c:pt>
                <c:pt idx="84">
                  <c:v>70.794578438413865</c:v>
                </c:pt>
                <c:pt idx="85">
                  <c:v>72.443596007499011</c:v>
                </c:pt>
                <c:pt idx="86">
                  <c:v>74.131024130091816</c:v>
                </c:pt>
                <c:pt idx="87">
                  <c:v>75.857757502918361</c:v>
                </c:pt>
                <c:pt idx="88">
                  <c:v>77.624711662869217</c:v>
                </c:pt>
                <c:pt idx="89">
                  <c:v>79.432823472428197</c:v>
                </c:pt>
                <c:pt idx="90">
                  <c:v>81.283051616409963</c:v>
                </c:pt>
                <c:pt idx="91">
                  <c:v>83.176377110267126</c:v>
                </c:pt>
                <c:pt idx="92">
                  <c:v>85.113803820237734</c:v>
                </c:pt>
                <c:pt idx="93">
                  <c:v>87.096358995608071</c:v>
                </c:pt>
                <c:pt idx="94">
                  <c:v>89.125093813374562</c:v>
                </c:pt>
                <c:pt idx="95">
                  <c:v>91.201083935590972</c:v>
                </c:pt>
                <c:pt idx="96">
                  <c:v>93.325430079699174</c:v>
                </c:pt>
                <c:pt idx="97">
                  <c:v>95.499258602143655</c:v>
                </c:pt>
                <c:pt idx="98">
                  <c:v>97.723722095581124</c:v>
                </c:pt>
                <c:pt idx="99">
                  <c:v>100</c:v>
                </c:pt>
                <c:pt idx="100">
                  <c:v>102.32929922807544</c:v>
                </c:pt>
                <c:pt idx="101">
                  <c:v>104.71285480508998</c:v>
                </c:pt>
                <c:pt idx="102">
                  <c:v>107.15193052376065</c:v>
                </c:pt>
                <c:pt idx="103">
                  <c:v>109.64781961431861</c:v>
                </c:pt>
                <c:pt idx="104">
                  <c:v>112.20184543019634</c:v>
                </c:pt>
                <c:pt idx="105">
                  <c:v>114.81536214968835</c:v>
                </c:pt>
                <c:pt idx="106">
                  <c:v>117.48975549395293</c:v>
                </c:pt>
                <c:pt idx="107">
                  <c:v>120.22644346174135</c:v>
                </c:pt>
                <c:pt idx="108">
                  <c:v>123.02687708123821</c:v>
                </c:pt>
                <c:pt idx="109">
                  <c:v>125.89254117941677</c:v>
                </c:pt>
                <c:pt idx="110">
                  <c:v>128.82495516931343</c:v>
                </c:pt>
                <c:pt idx="111">
                  <c:v>131.82567385564084</c:v>
                </c:pt>
                <c:pt idx="112">
                  <c:v>134.89628825916537</c:v>
                </c:pt>
                <c:pt idx="113">
                  <c:v>138.0384264602886</c:v>
                </c:pt>
                <c:pt idx="114">
                  <c:v>141.25375446227542</c:v>
                </c:pt>
                <c:pt idx="115">
                  <c:v>144.54397707459285</c:v>
                </c:pt>
                <c:pt idx="116">
                  <c:v>147.91083881682084</c:v>
                </c:pt>
                <c:pt idx="117">
                  <c:v>151.3561248436209</c:v>
                </c:pt>
                <c:pt idx="118">
                  <c:v>154.8816618912482</c:v>
                </c:pt>
                <c:pt idx="119">
                  <c:v>158.48931924611153</c:v>
                </c:pt>
                <c:pt idx="120">
                  <c:v>162.18100973589304</c:v>
                </c:pt>
                <c:pt idx="121">
                  <c:v>165.95869074375622</c:v>
                </c:pt>
                <c:pt idx="122">
                  <c:v>169.82436524617444</c:v>
                </c:pt>
                <c:pt idx="123">
                  <c:v>173.78008287493768</c:v>
                </c:pt>
                <c:pt idx="124">
                  <c:v>177.82794100389242</c:v>
                </c:pt>
                <c:pt idx="125">
                  <c:v>181.9700858609983</c:v>
                </c:pt>
                <c:pt idx="126">
                  <c:v>186.20871366628685</c:v>
                </c:pt>
                <c:pt idx="127">
                  <c:v>190.54607179632498</c:v>
                </c:pt>
                <c:pt idx="128">
                  <c:v>194.98445997580458</c:v>
                </c:pt>
                <c:pt idx="129">
                  <c:v>199.52623149688802</c:v>
                </c:pt>
                <c:pt idx="130">
                  <c:v>204.17379446695315</c:v>
                </c:pt>
                <c:pt idx="131">
                  <c:v>208.92961308540396</c:v>
                </c:pt>
                <c:pt idx="132">
                  <c:v>213.79620895022339</c:v>
                </c:pt>
                <c:pt idx="133">
                  <c:v>218.77616239495524</c:v>
                </c:pt>
                <c:pt idx="134">
                  <c:v>223.87211385683412</c:v>
                </c:pt>
                <c:pt idx="135">
                  <c:v>229.08676527677744</c:v>
                </c:pt>
                <c:pt idx="136">
                  <c:v>234.42288153199232</c:v>
                </c:pt>
                <c:pt idx="137">
                  <c:v>239.88329190194912</c:v>
                </c:pt>
                <c:pt idx="138">
                  <c:v>245.4708915685033</c:v>
                </c:pt>
                <c:pt idx="139">
                  <c:v>251.18864315095806</c:v>
                </c:pt>
                <c:pt idx="140">
                  <c:v>257.03957827688663</c:v>
                </c:pt>
                <c:pt idx="141">
                  <c:v>263.02679918953817</c:v>
                </c:pt>
                <c:pt idx="142">
                  <c:v>269.15348039269179</c:v>
                </c:pt>
                <c:pt idx="143">
                  <c:v>275.42287033381683</c:v>
                </c:pt>
                <c:pt idx="144">
                  <c:v>281.83829312644554</c:v>
                </c:pt>
                <c:pt idx="145">
                  <c:v>288.40315031266073</c:v>
                </c:pt>
                <c:pt idx="146">
                  <c:v>295.12092266663871</c:v>
                </c:pt>
                <c:pt idx="147">
                  <c:v>301.99517204020168</c:v>
                </c:pt>
                <c:pt idx="148">
                  <c:v>309.02954325135937</c:v>
                </c:pt>
                <c:pt idx="149">
                  <c:v>316.22776601683825</c:v>
                </c:pt>
                <c:pt idx="150">
                  <c:v>323.59365692962825</c:v>
                </c:pt>
                <c:pt idx="151">
                  <c:v>331.13112148259137</c:v>
                </c:pt>
                <c:pt idx="152">
                  <c:v>338.84415613920277</c:v>
                </c:pt>
                <c:pt idx="153">
                  <c:v>346.73685045253183</c:v>
                </c:pt>
                <c:pt idx="154">
                  <c:v>354.81338923357566</c:v>
                </c:pt>
                <c:pt idx="155">
                  <c:v>363.07805477010152</c:v>
                </c:pt>
                <c:pt idx="156">
                  <c:v>371.53522909717265</c:v>
                </c:pt>
                <c:pt idx="157">
                  <c:v>380.18939632056163</c:v>
                </c:pt>
                <c:pt idx="158">
                  <c:v>389.04514499428063</c:v>
                </c:pt>
                <c:pt idx="159">
                  <c:v>398.10717055349761</c:v>
                </c:pt>
                <c:pt idx="160">
                  <c:v>407.38027780411272</c:v>
                </c:pt>
                <c:pt idx="161">
                  <c:v>416.86938347033572</c:v>
                </c:pt>
                <c:pt idx="162">
                  <c:v>426.57951880159294</c:v>
                </c:pt>
                <c:pt idx="163">
                  <c:v>436.51583224016622</c:v>
                </c:pt>
                <c:pt idx="164">
                  <c:v>446.68359215096331</c:v>
                </c:pt>
                <c:pt idx="165">
                  <c:v>457.0881896148756</c:v>
                </c:pt>
                <c:pt idx="166">
                  <c:v>467.7351412871983</c:v>
                </c:pt>
                <c:pt idx="167">
                  <c:v>478.63009232263886</c:v>
                </c:pt>
                <c:pt idx="168">
                  <c:v>489.77881936844625</c:v>
                </c:pt>
                <c:pt idx="169">
                  <c:v>501.18723362727269</c:v>
                </c:pt>
                <c:pt idx="170">
                  <c:v>512.86138399136519</c:v>
                </c:pt>
                <c:pt idx="171">
                  <c:v>524.80746024977248</c:v>
                </c:pt>
                <c:pt idx="172">
                  <c:v>537.03179637025301</c:v>
                </c:pt>
                <c:pt idx="173">
                  <c:v>549.54087385762534</c:v>
                </c:pt>
                <c:pt idx="174">
                  <c:v>562.34132519034927</c:v>
                </c:pt>
                <c:pt idx="175">
                  <c:v>575.43993733715706</c:v>
                </c:pt>
                <c:pt idx="176">
                  <c:v>588.84365535558959</c:v>
                </c:pt>
                <c:pt idx="177">
                  <c:v>602.55958607435832</c:v>
                </c:pt>
                <c:pt idx="178">
                  <c:v>616.59500186148273</c:v>
                </c:pt>
                <c:pt idx="179">
                  <c:v>630.95734448019323</c:v>
                </c:pt>
                <c:pt idx="180">
                  <c:v>645.65422903465594</c:v>
                </c:pt>
                <c:pt idx="181">
                  <c:v>660.69344800759643</c:v>
                </c:pt>
                <c:pt idx="182">
                  <c:v>676.08297539198213</c:v>
                </c:pt>
                <c:pt idx="183">
                  <c:v>691.83097091893671</c:v>
                </c:pt>
                <c:pt idx="184">
                  <c:v>707.94578438413873</c:v>
                </c:pt>
                <c:pt idx="185">
                  <c:v>724.43596007499025</c:v>
                </c:pt>
                <c:pt idx="186">
                  <c:v>741.31024130091828</c:v>
                </c:pt>
                <c:pt idx="187">
                  <c:v>758.57757502918378</c:v>
                </c:pt>
                <c:pt idx="188">
                  <c:v>776.24711662869231</c:v>
                </c:pt>
                <c:pt idx="189">
                  <c:v>794.32823472428208</c:v>
                </c:pt>
                <c:pt idx="190">
                  <c:v>812.83051616409978</c:v>
                </c:pt>
                <c:pt idx="191">
                  <c:v>831.7637711026714</c:v>
                </c:pt>
                <c:pt idx="192">
                  <c:v>851.13803820237763</c:v>
                </c:pt>
                <c:pt idx="193">
                  <c:v>870.96358995608091</c:v>
                </c:pt>
                <c:pt idx="194">
                  <c:v>891.25093813374656</c:v>
                </c:pt>
                <c:pt idx="195">
                  <c:v>912.01083935590987</c:v>
                </c:pt>
                <c:pt idx="196">
                  <c:v>933.25430079699106</c:v>
                </c:pt>
                <c:pt idx="197">
                  <c:v>954.99258602143675</c:v>
                </c:pt>
                <c:pt idx="198">
                  <c:v>977.23722095581138</c:v>
                </c:pt>
                <c:pt idx="199">
                  <c:v>1000</c:v>
                </c:pt>
                <c:pt idx="200">
                  <c:v>1023.2929922807547</c:v>
                </c:pt>
                <c:pt idx="201">
                  <c:v>1047.1285480509</c:v>
                </c:pt>
                <c:pt idx="202">
                  <c:v>1071.5193052376069</c:v>
                </c:pt>
                <c:pt idx="203">
                  <c:v>1096.4781961431863</c:v>
                </c:pt>
                <c:pt idx="204">
                  <c:v>1122.0184543019636</c:v>
                </c:pt>
                <c:pt idx="205">
                  <c:v>1148.1536214968839</c:v>
                </c:pt>
                <c:pt idx="206">
                  <c:v>1174.8975549395295</c:v>
                </c:pt>
                <c:pt idx="207">
                  <c:v>1202.2644346174138</c:v>
                </c:pt>
                <c:pt idx="208">
                  <c:v>1230.2687708123824</c:v>
                </c:pt>
                <c:pt idx="209">
                  <c:v>1258.925411794168</c:v>
                </c:pt>
                <c:pt idx="210">
                  <c:v>1288.2495516931347</c:v>
                </c:pt>
                <c:pt idx="211">
                  <c:v>1318.2567385564089</c:v>
                </c:pt>
                <c:pt idx="212">
                  <c:v>1348.9628825916541</c:v>
                </c:pt>
                <c:pt idx="213">
                  <c:v>1380.3842646028863</c:v>
                </c:pt>
                <c:pt idx="214">
                  <c:v>1412.5375446227545</c:v>
                </c:pt>
                <c:pt idx="215">
                  <c:v>1445.4397707459289</c:v>
                </c:pt>
                <c:pt idx="216">
                  <c:v>1479.1083881682086</c:v>
                </c:pt>
                <c:pt idx="217">
                  <c:v>1513.5612484362093</c:v>
                </c:pt>
                <c:pt idx="218">
                  <c:v>1548.8166189124822</c:v>
                </c:pt>
                <c:pt idx="219">
                  <c:v>1584.8931924611156</c:v>
                </c:pt>
                <c:pt idx="220">
                  <c:v>1621.8100973589308</c:v>
                </c:pt>
                <c:pt idx="221">
                  <c:v>1659.5869074375626</c:v>
                </c:pt>
                <c:pt idx="222">
                  <c:v>1698.2436524617447</c:v>
                </c:pt>
                <c:pt idx="223">
                  <c:v>1737.8008287493772</c:v>
                </c:pt>
                <c:pt idx="224">
                  <c:v>1778.2794100389244</c:v>
                </c:pt>
                <c:pt idx="225">
                  <c:v>1819.7008586099832</c:v>
                </c:pt>
                <c:pt idx="226">
                  <c:v>1862.0871366628687</c:v>
                </c:pt>
                <c:pt idx="227">
                  <c:v>1905.4607179632501</c:v>
                </c:pt>
                <c:pt idx="228">
                  <c:v>1949.8445997580463</c:v>
                </c:pt>
                <c:pt idx="229">
                  <c:v>1995.2623149688804</c:v>
                </c:pt>
                <c:pt idx="230">
                  <c:v>2041.7379446695318</c:v>
                </c:pt>
                <c:pt idx="231">
                  <c:v>2089.2961308540398</c:v>
                </c:pt>
                <c:pt idx="232">
                  <c:v>2137.9620895022344</c:v>
                </c:pt>
                <c:pt idx="233">
                  <c:v>2187.7616239495528</c:v>
                </c:pt>
                <c:pt idx="234">
                  <c:v>2238.7211385683418</c:v>
                </c:pt>
                <c:pt idx="235">
                  <c:v>2290.8676527677749</c:v>
                </c:pt>
                <c:pt idx="236">
                  <c:v>2344.2288153199238</c:v>
                </c:pt>
                <c:pt idx="237">
                  <c:v>2398.8329190194918</c:v>
                </c:pt>
                <c:pt idx="238">
                  <c:v>2454.7089156850338</c:v>
                </c:pt>
                <c:pt idx="239">
                  <c:v>2511.8864315095811</c:v>
                </c:pt>
                <c:pt idx="240">
                  <c:v>2570.3957827688669</c:v>
                </c:pt>
                <c:pt idx="241">
                  <c:v>2630.2679918953822</c:v>
                </c:pt>
                <c:pt idx="242">
                  <c:v>2691.5348039269184</c:v>
                </c:pt>
                <c:pt idx="243">
                  <c:v>2754.228703338169</c:v>
                </c:pt>
                <c:pt idx="244">
                  <c:v>2818.3829312644561</c:v>
                </c:pt>
                <c:pt idx="245">
                  <c:v>2884.0315031266077</c:v>
                </c:pt>
                <c:pt idx="246">
                  <c:v>2951.2092266663876</c:v>
                </c:pt>
                <c:pt idx="247">
                  <c:v>3019.9517204020176</c:v>
                </c:pt>
                <c:pt idx="248">
                  <c:v>3090.295432513592</c:v>
                </c:pt>
                <c:pt idx="249">
                  <c:v>3162.2776601683804</c:v>
                </c:pt>
                <c:pt idx="250">
                  <c:v>3235.9365692962833</c:v>
                </c:pt>
                <c:pt idx="251">
                  <c:v>3311.3112148259115</c:v>
                </c:pt>
                <c:pt idx="252">
                  <c:v>3388.4415613920314</c:v>
                </c:pt>
                <c:pt idx="253">
                  <c:v>3467.3685045253224</c:v>
                </c:pt>
                <c:pt idx="254">
                  <c:v>3548.1338923357539</c:v>
                </c:pt>
                <c:pt idx="255">
                  <c:v>3630.7805477010188</c:v>
                </c:pt>
                <c:pt idx="256">
                  <c:v>3715.352290971724</c:v>
                </c:pt>
                <c:pt idx="257">
                  <c:v>3801.8939632056172</c:v>
                </c:pt>
                <c:pt idx="258">
                  <c:v>3890.451449942811</c:v>
                </c:pt>
                <c:pt idx="259">
                  <c:v>3981.0717055349769</c:v>
                </c:pt>
                <c:pt idx="260">
                  <c:v>4073.8027780411317</c:v>
                </c:pt>
                <c:pt idx="261">
                  <c:v>4168.6938347033583</c:v>
                </c:pt>
                <c:pt idx="262">
                  <c:v>4265.7951880159299</c:v>
                </c:pt>
                <c:pt idx="263">
                  <c:v>4365.1583224016631</c:v>
                </c:pt>
                <c:pt idx="264">
                  <c:v>4466.8359215096343</c:v>
                </c:pt>
                <c:pt idx="265">
                  <c:v>4570.8818961487532</c:v>
                </c:pt>
                <c:pt idx="266">
                  <c:v>4677.3514128719844</c:v>
                </c:pt>
                <c:pt idx="267">
                  <c:v>4786.3009232263848</c:v>
                </c:pt>
                <c:pt idx="268">
                  <c:v>4897.7881936844633</c:v>
                </c:pt>
                <c:pt idx="269">
                  <c:v>5011.8723362727324</c:v>
                </c:pt>
                <c:pt idx="270">
                  <c:v>5128.6138399136489</c:v>
                </c:pt>
                <c:pt idx="271">
                  <c:v>5248.0746024977261</c:v>
                </c:pt>
                <c:pt idx="272">
                  <c:v>5370.3179637025269</c:v>
                </c:pt>
                <c:pt idx="273">
                  <c:v>5495.4087385762541</c:v>
                </c:pt>
                <c:pt idx="274">
                  <c:v>5623.4132519034993</c:v>
                </c:pt>
                <c:pt idx="275">
                  <c:v>5754.399373371567</c:v>
                </c:pt>
                <c:pt idx="276">
                  <c:v>5888.4365535558973</c:v>
                </c:pt>
                <c:pt idx="277">
                  <c:v>6025.595860743585</c:v>
                </c:pt>
                <c:pt idx="278">
                  <c:v>6165.9500186148289</c:v>
                </c:pt>
                <c:pt idx="279">
                  <c:v>6309.5734448019384</c:v>
                </c:pt>
                <c:pt idx="280">
                  <c:v>6456.5422903465615</c:v>
                </c:pt>
                <c:pt idx="281">
                  <c:v>6606.9344800759654</c:v>
                </c:pt>
                <c:pt idx="282">
                  <c:v>6760.8297539198229</c:v>
                </c:pt>
                <c:pt idx="283">
                  <c:v>6918.3097091893687</c:v>
                </c:pt>
                <c:pt idx="284">
                  <c:v>7079.4578438413828</c:v>
                </c:pt>
                <c:pt idx="285">
                  <c:v>7244.3596007499036</c:v>
                </c:pt>
                <c:pt idx="286">
                  <c:v>7413.1024130091773</c:v>
                </c:pt>
                <c:pt idx="287">
                  <c:v>7585.7757502918394</c:v>
                </c:pt>
                <c:pt idx="288">
                  <c:v>7762.4711662869322</c:v>
                </c:pt>
                <c:pt idx="289">
                  <c:v>7943.2823472428154</c:v>
                </c:pt>
                <c:pt idx="290">
                  <c:v>8128.3051616410066</c:v>
                </c:pt>
                <c:pt idx="291">
                  <c:v>8317.6377110267094</c:v>
                </c:pt>
                <c:pt idx="292">
                  <c:v>8511.3803820237772</c:v>
                </c:pt>
                <c:pt idx="293">
                  <c:v>8709.6358995608189</c:v>
                </c:pt>
                <c:pt idx="294">
                  <c:v>8912.5093813374679</c:v>
                </c:pt>
                <c:pt idx="295">
                  <c:v>9120.1083935591087</c:v>
                </c:pt>
                <c:pt idx="296">
                  <c:v>9332.5430079699217</c:v>
                </c:pt>
                <c:pt idx="297">
                  <c:v>9549.9258602143691</c:v>
                </c:pt>
                <c:pt idx="298">
                  <c:v>9772.3722095581161</c:v>
                </c:pt>
                <c:pt idx="299">
                  <c:v>10000</c:v>
                </c:pt>
                <c:pt idx="300">
                  <c:v>10232.929922807549</c:v>
                </c:pt>
                <c:pt idx="301">
                  <c:v>10471.285480509003</c:v>
                </c:pt>
                <c:pt idx="302">
                  <c:v>10715.193052376071</c:v>
                </c:pt>
                <c:pt idx="303">
                  <c:v>10964.781961431856</c:v>
                </c:pt>
                <c:pt idx="304">
                  <c:v>11220.184543019639</c:v>
                </c:pt>
                <c:pt idx="305">
                  <c:v>11481.536214968832</c:v>
                </c:pt>
                <c:pt idx="306">
                  <c:v>11748.975549395318</c:v>
                </c:pt>
                <c:pt idx="307">
                  <c:v>12022.644346174151</c:v>
                </c:pt>
                <c:pt idx="308">
                  <c:v>12302.687708123816</c:v>
                </c:pt>
                <c:pt idx="309">
                  <c:v>12589.254117941671</c:v>
                </c:pt>
                <c:pt idx="310">
                  <c:v>12882.49551693136</c:v>
                </c:pt>
                <c:pt idx="311">
                  <c:v>13182.567385564091</c:v>
                </c:pt>
                <c:pt idx="312">
                  <c:v>13489.628825916556</c:v>
                </c:pt>
                <c:pt idx="313">
                  <c:v>13803.842646028841</c:v>
                </c:pt>
                <c:pt idx="314">
                  <c:v>14125.375446227561</c:v>
                </c:pt>
                <c:pt idx="315">
                  <c:v>14454.397707459291</c:v>
                </c:pt>
                <c:pt idx="316">
                  <c:v>14791.083881682089</c:v>
                </c:pt>
                <c:pt idx="317">
                  <c:v>15135.612484362096</c:v>
                </c:pt>
                <c:pt idx="318">
                  <c:v>15488.166189124853</c:v>
                </c:pt>
                <c:pt idx="319">
                  <c:v>15848.931924611146</c:v>
                </c:pt>
                <c:pt idx="320">
                  <c:v>16218.100973589309</c:v>
                </c:pt>
                <c:pt idx="321">
                  <c:v>16595.869074375616</c:v>
                </c:pt>
                <c:pt idx="322">
                  <c:v>16982.436524617482</c:v>
                </c:pt>
                <c:pt idx="323">
                  <c:v>17378.008287493791</c:v>
                </c:pt>
                <c:pt idx="324">
                  <c:v>17782.794100389234</c:v>
                </c:pt>
                <c:pt idx="325">
                  <c:v>18197.008586099837</c:v>
                </c:pt>
                <c:pt idx="326">
                  <c:v>18620.871366628675</c:v>
                </c:pt>
                <c:pt idx="327">
                  <c:v>19054.607179632505</c:v>
                </c:pt>
                <c:pt idx="328">
                  <c:v>19498.445997580486</c:v>
                </c:pt>
                <c:pt idx="329">
                  <c:v>19952.623149688792</c:v>
                </c:pt>
                <c:pt idx="330">
                  <c:v>20417.379446695286</c:v>
                </c:pt>
                <c:pt idx="331">
                  <c:v>20892.961308540423</c:v>
                </c:pt>
                <c:pt idx="332">
                  <c:v>21379.620895022348</c:v>
                </c:pt>
                <c:pt idx="333">
                  <c:v>21877.61623949555</c:v>
                </c:pt>
                <c:pt idx="334">
                  <c:v>22387.211385683382</c:v>
                </c:pt>
                <c:pt idx="335">
                  <c:v>22908.676527677751</c:v>
                </c:pt>
                <c:pt idx="336">
                  <c:v>23442.288153199243</c:v>
                </c:pt>
                <c:pt idx="337">
                  <c:v>23988.329190194923</c:v>
                </c:pt>
                <c:pt idx="338">
                  <c:v>24547.089156850321</c:v>
                </c:pt>
                <c:pt idx="339">
                  <c:v>25118.86431509586</c:v>
                </c:pt>
                <c:pt idx="340">
                  <c:v>25703.95782768865</c:v>
                </c:pt>
                <c:pt idx="341">
                  <c:v>26302.679918953829</c:v>
                </c:pt>
                <c:pt idx="342">
                  <c:v>26915.348039269167</c:v>
                </c:pt>
                <c:pt idx="343">
                  <c:v>27542.287033381719</c:v>
                </c:pt>
                <c:pt idx="344">
                  <c:v>28183.829312644593</c:v>
                </c:pt>
                <c:pt idx="345">
                  <c:v>28840.315031266062</c:v>
                </c:pt>
                <c:pt idx="346">
                  <c:v>29512.092266663854</c:v>
                </c:pt>
                <c:pt idx="347">
                  <c:v>30199.517204020212</c:v>
                </c:pt>
                <c:pt idx="348">
                  <c:v>30902.954325135954</c:v>
                </c:pt>
                <c:pt idx="349">
                  <c:v>31622.77660168384</c:v>
                </c:pt>
                <c:pt idx="350">
                  <c:v>32359.365692962871</c:v>
                </c:pt>
                <c:pt idx="351">
                  <c:v>33113.11214825909</c:v>
                </c:pt>
                <c:pt idx="352">
                  <c:v>33884.41561392029</c:v>
                </c:pt>
                <c:pt idx="353">
                  <c:v>34673.685045253202</c:v>
                </c:pt>
                <c:pt idx="354">
                  <c:v>35481.33892335758</c:v>
                </c:pt>
                <c:pt idx="355">
                  <c:v>36307.805477010232</c:v>
                </c:pt>
                <c:pt idx="356">
                  <c:v>37153.522909717351</c:v>
                </c:pt>
                <c:pt idx="357">
                  <c:v>38018.939632056143</c:v>
                </c:pt>
                <c:pt idx="358">
                  <c:v>38904.514499428085</c:v>
                </c:pt>
                <c:pt idx="359">
                  <c:v>39810.717055349742</c:v>
                </c:pt>
                <c:pt idx="360">
                  <c:v>40738.027780411358</c:v>
                </c:pt>
                <c:pt idx="361">
                  <c:v>41686.938347033625</c:v>
                </c:pt>
                <c:pt idx="362">
                  <c:v>42657.951880159271</c:v>
                </c:pt>
                <c:pt idx="363">
                  <c:v>43651.583224016598</c:v>
                </c:pt>
                <c:pt idx="364">
                  <c:v>44668.359215096389</c:v>
                </c:pt>
                <c:pt idx="365">
                  <c:v>45708.818961487581</c:v>
                </c:pt>
                <c:pt idx="366">
                  <c:v>46773.514128719893</c:v>
                </c:pt>
                <c:pt idx="367">
                  <c:v>47863.009232263823</c:v>
                </c:pt>
                <c:pt idx="368">
                  <c:v>48977.881936844598</c:v>
                </c:pt>
                <c:pt idx="369">
                  <c:v>50118.723362727294</c:v>
                </c:pt>
                <c:pt idx="370">
                  <c:v>51286.138399136544</c:v>
                </c:pt>
                <c:pt idx="371">
                  <c:v>52480.746024977314</c:v>
                </c:pt>
                <c:pt idx="372">
                  <c:v>53703.179637025423</c:v>
                </c:pt>
                <c:pt idx="373">
                  <c:v>54954.087385762505</c:v>
                </c:pt>
                <c:pt idx="374">
                  <c:v>56234.132519034953</c:v>
                </c:pt>
                <c:pt idx="375">
                  <c:v>57543.993733715732</c:v>
                </c:pt>
                <c:pt idx="376">
                  <c:v>58884.365535558936</c:v>
                </c:pt>
                <c:pt idx="377">
                  <c:v>60255.95860743591</c:v>
                </c:pt>
                <c:pt idx="378">
                  <c:v>61659.500186148245</c:v>
                </c:pt>
                <c:pt idx="379">
                  <c:v>63095.734448019342</c:v>
                </c:pt>
                <c:pt idx="380">
                  <c:v>64565.422903465682</c:v>
                </c:pt>
                <c:pt idx="381">
                  <c:v>66069.344800759733</c:v>
                </c:pt>
                <c:pt idx="382">
                  <c:v>67608.297539198305</c:v>
                </c:pt>
                <c:pt idx="383">
                  <c:v>69183.097091893651</c:v>
                </c:pt>
                <c:pt idx="384">
                  <c:v>70794.578438413781</c:v>
                </c:pt>
                <c:pt idx="385">
                  <c:v>72443.596007499116</c:v>
                </c:pt>
                <c:pt idx="386">
                  <c:v>74131.024130091857</c:v>
                </c:pt>
                <c:pt idx="387">
                  <c:v>75857.757502918481</c:v>
                </c:pt>
                <c:pt idx="388">
                  <c:v>77624.711662869129</c:v>
                </c:pt>
                <c:pt idx="389">
                  <c:v>79432.823472428237</c:v>
                </c:pt>
                <c:pt idx="390">
                  <c:v>81283.051616410012</c:v>
                </c:pt>
                <c:pt idx="391">
                  <c:v>83176.377110267174</c:v>
                </c:pt>
                <c:pt idx="392">
                  <c:v>85113.803820237721</c:v>
                </c:pt>
                <c:pt idx="393">
                  <c:v>87096.358995608127</c:v>
                </c:pt>
                <c:pt idx="394">
                  <c:v>89125.093813374609</c:v>
                </c:pt>
                <c:pt idx="395">
                  <c:v>91201.083935591028</c:v>
                </c:pt>
                <c:pt idx="396">
                  <c:v>93325.430079699145</c:v>
                </c:pt>
                <c:pt idx="397">
                  <c:v>95499.258602143804</c:v>
                </c:pt>
                <c:pt idx="398">
                  <c:v>97723.722095581266</c:v>
                </c:pt>
                <c:pt idx="399">
                  <c:v>100000</c:v>
                </c:pt>
                <c:pt idx="400">
                  <c:v>102329.29922807543</c:v>
                </c:pt>
                <c:pt idx="401">
                  <c:v>104712.85480508996</c:v>
                </c:pt>
                <c:pt idx="402">
                  <c:v>107151.93052376082</c:v>
                </c:pt>
                <c:pt idx="403">
                  <c:v>109647.81961431868</c:v>
                </c:pt>
                <c:pt idx="404">
                  <c:v>112201.84543019651</c:v>
                </c:pt>
                <c:pt idx="405">
                  <c:v>114815.36214968823</c:v>
                </c:pt>
                <c:pt idx="406">
                  <c:v>117489.75549395311</c:v>
                </c:pt>
                <c:pt idx="407">
                  <c:v>120226.44346174144</c:v>
                </c:pt>
                <c:pt idx="408">
                  <c:v>123026.87708123829</c:v>
                </c:pt>
                <c:pt idx="409">
                  <c:v>125892.54117941685</c:v>
                </c:pt>
                <c:pt idx="410">
                  <c:v>128824.95516931375</c:v>
                </c:pt>
                <c:pt idx="411">
                  <c:v>131825.67385564081</c:v>
                </c:pt>
                <c:pt idx="412">
                  <c:v>134896.28825916545</c:v>
                </c:pt>
                <c:pt idx="413">
                  <c:v>138038.42646028858</c:v>
                </c:pt>
                <c:pt idx="414">
                  <c:v>141253.75446227577</c:v>
                </c:pt>
                <c:pt idx="415">
                  <c:v>144543.97707459307</c:v>
                </c:pt>
                <c:pt idx="416">
                  <c:v>147910.83881682079</c:v>
                </c:pt>
                <c:pt idx="417">
                  <c:v>151356.12484362084</c:v>
                </c:pt>
                <c:pt idx="418">
                  <c:v>154881.66189124843</c:v>
                </c:pt>
                <c:pt idx="419">
                  <c:v>158489.31924611164</c:v>
                </c:pt>
                <c:pt idx="420">
                  <c:v>162181.00973589328</c:v>
                </c:pt>
                <c:pt idx="421">
                  <c:v>165958.69074375604</c:v>
                </c:pt>
                <c:pt idx="422">
                  <c:v>169824.36524617471</c:v>
                </c:pt>
                <c:pt idx="423">
                  <c:v>173780.0828749378</c:v>
                </c:pt>
                <c:pt idx="424">
                  <c:v>177827.94100389251</c:v>
                </c:pt>
                <c:pt idx="425">
                  <c:v>181970.08586099857</c:v>
                </c:pt>
                <c:pt idx="426">
                  <c:v>186208.71366628664</c:v>
                </c:pt>
                <c:pt idx="427">
                  <c:v>190546.07179632492</c:v>
                </c:pt>
                <c:pt idx="428">
                  <c:v>194984.45997580473</c:v>
                </c:pt>
                <c:pt idx="429">
                  <c:v>199526.23149688813</c:v>
                </c:pt>
                <c:pt idx="430">
                  <c:v>204173.79446695308</c:v>
                </c:pt>
                <c:pt idx="431">
                  <c:v>208929.61308540447</c:v>
                </c:pt>
                <c:pt idx="432">
                  <c:v>213796.20895022334</c:v>
                </c:pt>
                <c:pt idx="433">
                  <c:v>218776.16239495538</c:v>
                </c:pt>
                <c:pt idx="434">
                  <c:v>223872.11385683404</c:v>
                </c:pt>
                <c:pt idx="435">
                  <c:v>229086.76527677779</c:v>
                </c:pt>
                <c:pt idx="436">
                  <c:v>234422.88153199267</c:v>
                </c:pt>
                <c:pt idx="437">
                  <c:v>239883.29190194907</c:v>
                </c:pt>
                <c:pt idx="438">
                  <c:v>245470.89156850305</c:v>
                </c:pt>
                <c:pt idx="439">
                  <c:v>251188.64315095844</c:v>
                </c:pt>
                <c:pt idx="440">
                  <c:v>257039.57827688678</c:v>
                </c:pt>
                <c:pt idx="441">
                  <c:v>263026.79918953858</c:v>
                </c:pt>
                <c:pt idx="442">
                  <c:v>269153.48039269145</c:v>
                </c:pt>
                <c:pt idx="443">
                  <c:v>275422.87033381703</c:v>
                </c:pt>
                <c:pt idx="444">
                  <c:v>281838.29312644573</c:v>
                </c:pt>
                <c:pt idx="445">
                  <c:v>288403.1503126609</c:v>
                </c:pt>
                <c:pt idx="446">
                  <c:v>295120.92266663886</c:v>
                </c:pt>
                <c:pt idx="447">
                  <c:v>301995.17204020242</c:v>
                </c:pt>
                <c:pt idx="448">
                  <c:v>309029.54325135931</c:v>
                </c:pt>
                <c:pt idx="449">
                  <c:v>316227.7660168382</c:v>
                </c:pt>
                <c:pt idx="450">
                  <c:v>323593.65692962846</c:v>
                </c:pt>
                <c:pt idx="451">
                  <c:v>331131.12148259126</c:v>
                </c:pt>
                <c:pt idx="452">
                  <c:v>338844.15613920329</c:v>
                </c:pt>
                <c:pt idx="453">
                  <c:v>346736.85045253241</c:v>
                </c:pt>
                <c:pt idx="454">
                  <c:v>354813.38923357555</c:v>
                </c:pt>
                <c:pt idx="455">
                  <c:v>363078.05477010203</c:v>
                </c:pt>
                <c:pt idx="456">
                  <c:v>371535.2290971732</c:v>
                </c:pt>
                <c:pt idx="457">
                  <c:v>380189.39632056188</c:v>
                </c:pt>
                <c:pt idx="458">
                  <c:v>389045.14499428123</c:v>
                </c:pt>
                <c:pt idx="459">
                  <c:v>398107.17055349716</c:v>
                </c:pt>
                <c:pt idx="460">
                  <c:v>407380.27780411334</c:v>
                </c:pt>
                <c:pt idx="461">
                  <c:v>416869.38347033598</c:v>
                </c:pt>
                <c:pt idx="462">
                  <c:v>426579.51880159322</c:v>
                </c:pt>
                <c:pt idx="463">
                  <c:v>436515.83224016649</c:v>
                </c:pt>
                <c:pt idx="464">
                  <c:v>446683.59215096442</c:v>
                </c:pt>
                <c:pt idx="465">
                  <c:v>457088.18961487547</c:v>
                </c:pt>
                <c:pt idx="466">
                  <c:v>467735.14128719864</c:v>
                </c:pt>
                <c:pt idx="467">
                  <c:v>478630.09232263872</c:v>
                </c:pt>
                <c:pt idx="468">
                  <c:v>489778.81936844654</c:v>
                </c:pt>
                <c:pt idx="469">
                  <c:v>501187.23362727347</c:v>
                </c:pt>
                <c:pt idx="470">
                  <c:v>512861.38399136515</c:v>
                </c:pt>
                <c:pt idx="471">
                  <c:v>524807.46024977288</c:v>
                </c:pt>
                <c:pt idx="472">
                  <c:v>537031.7963702539</c:v>
                </c:pt>
                <c:pt idx="473">
                  <c:v>549540.87385762564</c:v>
                </c:pt>
                <c:pt idx="474">
                  <c:v>562341.32519035018</c:v>
                </c:pt>
                <c:pt idx="475">
                  <c:v>575439.93733715697</c:v>
                </c:pt>
                <c:pt idx="476">
                  <c:v>588843.65535558888</c:v>
                </c:pt>
                <c:pt idx="477">
                  <c:v>602559.58607435878</c:v>
                </c:pt>
                <c:pt idx="478">
                  <c:v>616595.00186148309</c:v>
                </c:pt>
                <c:pt idx="479">
                  <c:v>630957.34448019415</c:v>
                </c:pt>
                <c:pt idx="480">
                  <c:v>645654.22903465747</c:v>
                </c:pt>
                <c:pt idx="481">
                  <c:v>660693.44800759677</c:v>
                </c:pt>
                <c:pt idx="482">
                  <c:v>676082.97539198259</c:v>
                </c:pt>
                <c:pt idx="483">
                  <c:v>691830.97091893724</c:v>
                </c:pt>
                <c:pt idx="484">
                  <c:v>707945.78438413853</c:v>
                </c:pt>
                <c:pt idx="485">
                  <c:v>724435.96007499192</c:v>
                </c:pt>
                <c:pt idx="486">
                  <c:v>741310.24130091805</c:v>
                </c:pt>
                <c:pt idx="487">
                  <c:v>758577.57502918423</c:v>
                </c:pt>
                <c:pt idx="488">
                  <c:v>776247.11662869214</c:v>
                </c:pt>
                <c:pt idx="489">
                  <c:v>794328.23472428333</c:v>
                </c:pt>
                <c:pt idx="490">
                  <c:v>812830.51616410096</c:v>
                </c:pt>
                <c:pt idx="491">
                  <c:v>831763.77110267128</c:v>
                </c:pt>
                <c:pt idx="492">
                  <c:v>851138.03820237669</c:v>
                </c:pt>
                <c:pt idx="493">
                  <c:v>870963.58995608077</c:v>
                </c:pt>
                <c:pt idx="494">
                  <c:v>891250.93813374708</c:v>
                </c:pt>
                <c:pt idx="495">
                  <c:v>912010.83935591124</c:v>
                </c:pt>
                <c:pt idx="496">
                  <c:v>933254.30079699249</c:v>
                </c:pt>
                <c:pt idx="497">
                  <c:v>954992.58602143743</c:v>
                </c:pt>
                <c:pt idx="498">
                  <c:v>977237.22095581202</c:v>
                </c:pt>
                <c:pt idx="499">
                  <c:v>1000000</c:v>
                </c:pt>
                <c:pt idx="500">
                  <c:v>1023292.9922807553</c:v>
                </c:pt>
                <c:pt idx="501">
                  <c:v>1047128.5480509007</c:v>
                </c:pt>
                <c:pt idx="502">
                  <c:v>1071519.3052376076</c:v>
                </c:pt>
                <c:pt idx="503">
                  <c:v>1096478.196143186</c:v>
                </c:pt>
                <c:pt idx="504">
                  <c:v>1122018.4543019643</c:v>
                </c:pt>
                <c:pt idx="505">
                  <c:v>1148153.6214968837</c:v>
                </c:pt>
                <c:pt idx="506">
                  <c:v>1174897.5549395324</c:v>
                </c:pt>
                <c:pt idx="507">
                  <c:v>1202264.4346174158</c:v>
                </c:pt>
                <c:pt idx="508">
                  <c:v>1230268.770812382</c:v>
                </c:pt>
                <c:pt idx="509">
                  <c:v>1258925.4117941677</c:v>
                </c:pt>
                <c:pt idx="510">
                  <c:v>1288249.5516931366</c:v>
                </c:pt>
                <c:pt idx="511">
                  <c:v>1318256.7385564097</c:v>
                </c:pt>
                <c:pt idx="512">
                  <c:v>1348962.8825916562</c:v>
                </c:pt>
                <c:pt idx="513">
                  <c:v>1380384.2646028849</c:v>
                </c:pt>
                <c:pt idx="514">
                  <c:v>1412537.5446227565</c:v>
                </c:pt>
                <c:pt idx="515">
                  <c:v>1445439.7707459298</c:v>
                </c:pt>
                <c:pt idx="516">
                  <c:v>1479108.3881682095</c:v>
                </c:pt>
                <c:pt idx="517">
                  <c:v>1513561.2484362102</c:v>
                </c:pt>
                <c:pt idx="518">
                  <c:v>1548816.6189124861</c:v>
                </c:pt>
                <c:pt idx="519">
                  <c:v>1584893.1924611153</c:v>
                </c:pt>
                <c:pt idx="520">
                  <c:v>1621810.0973589318</c:v>
                </c:pt>
                <c:pt idx="521">
                  <c:v>1659586.9074375622</c:v>
                </c:pt>
                <c:pt idx="522">
                  <c:v>1698243.6524617488</c:v>
                </c:pt>
                <c:pt idx="523">
                  <c:v>1737800.8287493798</c:v>
                </c:pt>
                <c:pt idx="524">
                  <c:v>1778279.4100389241</c:v>
                </c:pt>
                <c:pt idx="525">
                  <c:v>1819700.8586099846</c:v>
                </c:pt>
                <c:pt idx="526">
                  <c:v>1862087.1366628683</c:v>
                </c:pt>
                <c:pt idx="527">
                  <c:v>1905460.7179632513</c:v>
                </c:pt>
                <c:pt idx="528">
                  <c:v>1949844.5997580495</c:v>
                </c:pt>
                <c:pt idx="529">
                  <c:v>1995262.31496888</c:v>
                </c:pt>
                <c:pt idx="530">
                  <c:v>2041737.9446695296</c:v>
                </c:pt>
                <c:pt idx="531">
                  <c:v>2089296.1308540432</c:v>
                </c:pt>
                <c:pt idx="532">
                  <c:v>2137962.0895022359</c:v>
                </c:pt>
                <c:pt idx="533">
                  <c:v>2187761.6239495561</c:v>
                </c:pt>
                <c:pt idx="534">
                  <c:v>2238721.1385683389</c:v>
                </c:pt>
                <c:pt idx="535">
                  <c:v>2290867.6527677765</c:v>
                </c:pt>
                <c:pt idx="536">
                  <c:v>2344228.8153199251</c:v>
                </c:pt>
                <c:pt idx="537">
                  <c:v>2398832.9190194933</c:v>
                </c:pt>
                <c:pt idx="538">
                  <c:v>2454708.915685033</c:v>
                </c:pt>
                <c:pt idx="539">
                  <c:v>2511886.431509587</c:v>
                </c:pt>
                <c:pt idx="540">
                  <c:v>2570395.782768866</c:v>
                </c:pt>
                <c:pt idx="541">
                  <c:v>2630267.9918953842</c:v>
                </c:pt>
              </c:numCache>
            </c:numRef>
          </c:xVal>
          <c:yVal>
            <c:numRef>
              <c:f>CCM_Loop_Modeling_non_isolated!$AT$19:$AT$560</c:f>
              <c:numCache>
                <c:formatCode>0.000</c:formatCode>
                <c:ptCount val="542"/>
                <c:pt idx="0">
                  <c:v>70.199080905018363</c:v>
                </c:pt>
                <c:pt idx="1">
                  <c:v>69.983293874685344</c:v>
                </c:pt>
                <c:pt idx="2">
                  <c:v>69.766832829139872</c:v>
                </c:pt>
                <c:pt idx="3">
                  <c:v>69.549672132904206</c:v>
                </c:pt>
                <c:pt idx="4">
                  <c:v>69.331785450156701</c:v>
                </c:pt>
                <c:pt idx="5">
                  <c:v>69.113145749951755</c:v>
                </c:pt>
                <c:pt idx="6">
                  <c:v>68.893725314062607</c:v>
                </c:pt>
                <c:pt idx="7">
                  <c:v>68.673495747655522</c:v>
                </c:pt>
                <c:pt idx="8">
                  <c:v>68.452427993006538</c:v>
                </c:pt>
                <c:pt idx="9">
                  <c:v>68.23049234647273</c:v>
                </c:pt>
                <c:pt idx="10">
                  <c:v>68.0076584789349</c:v>
                </c:pt>
                <c:pt idx="11">
                  <c:v>67.783895459924707</c:v>
                </c:pt>
                <c:pt idx="12">
                  <c:v>67.559171785647891</c:v>
                </c:pt>
                <c:pt idx="13">
                  <c:v>67.333455411111188</c:v>
                </c:pt>
                <c:pt idx="14">
                  <c:v>67.106713786551808</c:v>
                </c:pt>
                <c:pt idx="15">
                  <c:v>66.878913898360722</c:v>
                </c:pt>
                <c:pt idx="16">
                  <c:v>66.650022314676548</c:v>
                </c:pt>
                <c:pt idx="17">
                  <c:v>66.420005235813221</c:v>
                </c:pt>
                <c:pt idx="18">
                  <c:v>66.188828549664734</c:v>
                </c:pt>
                <c:pt idx="19">
                  <c:v>65.956457892208988</c:v>
                </c:pt>
                <c:pt idx="20">
                  <c:v>65.722858713208126</c:v>
                </c:pt>
                <c:pt idx="21">
                  <c:v>65.487996347172015</c:v>
                </c:pt>
                <c:pt idx="22">
                  <c:v>65.251836089623055</c:v>
                </c:pt>
                <c:pt idx="23">
                  <c:v>65.014343278659624</c:v>
                </c:pt>
                <c:pt idx="24">
                  <c:v>64.775483381782095</c:v>
                </c:pt>
                <c:pt idx="25">
                  <c:v>64.535222087898177</c:v>
                </c:pt>
                <c:pt idx="26">
                  <c:v>64.293525404383047</c:v>
                </c:pt>
                <c:pt idx="27">
                  <c:v>64.050359759017368</c:v>
                </c:pt>
                <c:pt idx="28">
                  <c:v>63.805692106581489</c:v>
                </c:pt>
                <c:pt idx="29">
                  <c:v>63.559490039825981</c:v>
                </c:pt>
                <c:pt idx="30">
                  <c:v>63.31172190448968</c:v>
                </c:pt>
                <c:pt idx="31">
                  <c:v>63.062356917978988</c:v>
                </c:pt>
                <c:pt idx="32">
                  <c:v>62.81136529127032</c:v>
                </c:pt>
                <c:pt idx="33">
                  <c:v>62.558718353541508</c:v>
                </c:pt>
                <c:pt idx="34">
                  <c:v>62.304388678987522</c:v>
                </c:pt>
                <c:pt idx="35">
                  <c:v>62.048350215225419</c:v>
                </c:pt>
                <c:pt idx="36">
                  <c:v>61.790578412645935</c:v>
                </c:pt>
                <c:pt idx="37">
                  <c:v>61.531050354029617</c:v>
                </c:pt>
                <c:pt idx="38">
                  <c:v>61.269744883703787</c:v>
                </c:pt>
                <c:pt idx="39">
                  <c:v>61.006642735488953</c:v>
                </c:pt>
                <c:pt idx="40">
                  <c:v>60.741726658655359</c:v>
                </c:pt>
                <c:pt idx="41">
                  <c:v>60.474981541096369</c:v>
                </c:pt>
                <c:pt idx="42">
                  <c:v>60.206394528911517</c:v>
                </c:pt>
                <c:pt idx="43">
                  <c:v>59.935955141596679</c:v>
                </c:pt>
                <c:pt idx="44">
                  <c:v>59.663655382041597</c:v>
                </c:pt>
                <c:pt idx="45">
                  <c:v>59.389489840557339</c:v>
                </c:pt>
                <c:pt idx="46">
                  <c:v>59.113455792178499</c:v>
                </c:pt>
                <c:pt idx="47">
                  <c:v>58.835553286525844</c:v>
                </c:pt>
                <c:pt idx="48">
                  <c:v>58.555785229553749</c:v>
                </c:pt>
                <c:pt idx="49">
                  <c:v>58.27415745656603</c:v>
                </c:pt>
                <c:pt idx="50">
                  <c:v>57.990678795939459</c:v>
                </c:pt>
                <c:pt idx="51">
                  <c:v>57.705361123065884</c:v>
                </c:pt>
                <c:pt idx="52">
                  <c:v>57.41821940409384</c:v>
                </c:pt>
                <c:pt idx="53">
                  <c:v>57.129271729131908</c:v>
                </c:pt>
                <c:pt idx="54">
                  <c:v>56.8385393346557</c:v>
                </c:pt>
                <c:pt idx="55">
                  <c:v>56.546046614944522</c:v>
                </c:pt>
                <c:pt idx="56">
                  <c:v>56.251821122460861</c:v>
                </c:pt>
                <c:pt idx="57">
                  <c:v>55.955893557164814</c:v>
                </c:pt>
                <c:pt idx="58">
                  <c:v>55.658297744844525</c:v>
                </c:pt>
                <c:pt idx="59">
                  <c:v>55.359070604616427</c:v>
                </c:pt>
                <c:pt idx="60">
                  <c:v>55.05825210582735</c:v>
                </c:pt>
                <c:pt idx="61">
                  <c:v>54.755885214658761</c:v>
                </c:pt>
                <c:pt idx="62">
                  <c:v>54.452015830793776</c:v>
                </c:pt>
                <c:pt idx="63">
                  <c:v>54.146692714564907</c:v>
                </c:pt>
                <c:pt idx="64">
                  <c:v>53.839967405046011</c:v>
                </c:pt>
                <c:pt idx="65">
                  <c:v>53.531894129590789</c:v>
                </c:pt>
                <c:pt idx="66">
                  <c:v>53.222529705348677</c:v>
                </c:pt>
                <c:pt idx="67">
                  <c:v>52.911933433312925</c:v>
                </c:pt>
                <c:pt idx="68">
                  <c:v>52.600166985463808</c:v>
                </c:pt>
                <c:pt idx="69">
                  <c:v>52.287294285579044</c:v>
                </c:pt>
                <c:pt idx="70">
                  <c:v>51.973381384274646</c:v>
                </c:pt>
                <c:pt idx="71">
                  <c:v>51.658496328834296</c:v>
                </c:pt>
                <c:pt idx="72">
                  <c:v>51.342709028364901</c:v>
                </c:pt>
                <c:pt idx="73">
                  <c:v>51.026091114795385</c:v>
                </c:pt>
                <c:pt idx="74">
                  <c:v>50.708715800209987</c:v>
                </c:pt>
                <c:pt idx="75">
                  <c:v>50.390657730977075</c:v>
                </c:pt>
                <c:pt idx="76">
                  <c:v>50.071992839103395</c:v>
                </c:pt>
                <c:pt idx="77">
                  <c:v>49.752798191211454</c:v>
                </c:pt>
                <c:pt idx="78">
                  <c:v>49.433151835505342</c:v>
                </c:pt>
                <c:pt idx="79">
                  <c:v>49.113132647056794</c:v>
                </c:pt>
                <c:pt idx="80">
                  <c:v>48.792820171718709</c:v>
                </c:pt>
                <c:pt idx="81">
                  <c:v>48.472294468941669</c:v>
                </c:pt>
                <c:pt idx="82">
                  <c:v>48.151635953750585</c:v>
                </c:pt>
                <c:pt idx="83">
                  <c:v>47.830925238117274</c:v>
                </c:pt>
                <c:pt idx="84">
                  <c:v>47.510242971953957</c:v>
                </c:pt>
                <c:pt idx="85">
                  <c:v>47.189669683943976</c:v>
                </c:pt>
                <c:pt idx="86">
                  <c:v>46.869285622419881</c:v>
                </c:pt>
                <c:pt idx="87">
                  <c:v>46.549170596509164</c:v>
                </c:pt>
                <c:pt idx="88">
                  <c:v>46.229403817769025</c:v>
                </c:pt>
                <c:pt idx="89">
                  <c:v>45.910063742549511</c:v>
                </c:pt>
                <c:pt idx="90">
                  <c:v>45.591227915341726</c:v>
                </c:pt>
                <c:pt idx="91">
                  <c:v>45.272972813389714</c:v>
                </c:pt>
                <c:pt idx="92">
                  <c:v>44.95537369287311</c:v>
                </c:pt>
                <c:pt idx="93">
                  <c:v>44.638504436994509</c:v>
                </c:pt>
                <c:pt idx="94">
                  <c:v>44.322437406337762</c:v>
                </c:pt>
                <c:pt idx="95">
                  <c:v>44.007243291897524</c:v>
                </c:pt>
                <c:pt idx="96">
                  <c:v>43.692990971208125</c:v>
                </c:pt>
                <c:pt idx="97">
                  <c:v>43.379747368036632</c:v>
                </c:pt>
                <c:pt idx="98">
                  <c:v>43.067577316128194</c:v>
                </c:pt>
                <c:pt idx="99">
                  <c:v>42.756543427521905</c:v>
                </c:pt>
                <c:pt idx="100">
                  <c:v>42.446705965974054</c:v>
                </c:pt>
                <c:pt idx="101">
                  <c:v>42.138122726041701</c:v>
                </c:pt>
                <c:pt idx="102">
                  <c:v>41.830848918390473</c:v>
                </c:pt>
                <c:pt idx="103">
                  <c:v>41.524937061891265</c:v>
                </c:pt>
                <c:pt idx="104">
                  <c:v>41.220436883065823</c:v>
                </c:pt>
                <c:pt idx="105">
                  <c:v>40.917395223428642</c:v>
                </c:pt>
                <c:pt idx="106">
                  <c:v>40.615855955249074</c:v>
                </c:pt>
                <c:pt idx="107">
                  <c:v>40.315859906226528</c:v>
                </c:pt>
                <c:pt idx="108">
                  <c:v>40.017444793535176</c:v>
                </c:pt>
                <c:pt idx="109">
                  <c:v>39.720645167641628</c:v>
                </c:pt>
                <c:pt idx="110">
                  <c:v>39.42549236624815</c:v>
                </c:pt>
                <c:pt idx="111">
                  <c:v>39.13201447864737</c:v>
                </c:pt>
                <c:pt idx="112">
                  <c:v>38.840236320706488</c:v>
                </c:pt>
                <c:pt idx="113">
                  <c:v>38.55017942062328</c:v>
                </c:pt>
                <c:pt idx="114">
                  <c:v>38.261862015516826</c:v>
                </c:pt>
                <c:pt idx="115">
                  <c:v>37.975299058833201</c:v>
                </c:pt>
                <c:pt idx="116">
                  <c:v>37.690502238461825</c:v>
                </c:pt>
                <c:pt idx="117">
                  <c:v>37.407480005374182</c:v>
                </c:pt>
                <c:pt idx="118">
                  <c:v>37.126237612510749</c:v>
                </c:pt>
                <c:pt idx="119">
                  <c:v>36.846777163563395</c:v>
                </c:pt>
                <c:pt idx="120">
                  <c:v>36.569097671219716</c:v>
                </c:pt>
                <c:pt idx="121">
                  <c:v>36.293195124364928</c:v>
                </c:pt>
                <c:pt idx="122">
                  <c:v>36.019062563668463</c:v>
                </c:pt>
                <c:pt idx="123">
                  <c:v>35.746690164923841</c:v>
                </c:pt>
                <c:pt idx="124">
                  <c:v>35.476065329456368</c:v>
                </c:pt>
                <c:pt idx="125">
                  <c:v>35.207172780871979</c:v>
                </c:pt>
                <c:pt idx="126">
                  <c:v>34.939994667382884</c:v>
                </c:pt>
                <c:pt idx="127">
                  <c:v>34.674510668922679</c:v>
                </c:pt>
                <c:pt idx="128">
                  <c:v>34.410698108245903</c:v>
                </c:pt>
                <c:pt idx="129">
                  <c:v>34.148532065200243</c:v>
                </c:pt>
                <c:pt idx="130">
                  <c:v>33.887985493362187</c:v>
                </c:pt>
                <c:pt idx="131">
                  <c:v>33.629029338237245</c:v>
                </c:pt>
                <c:pt idx="132">
                  <c:v>33.371632656244465</c:v>
                </c:pt>
                <c:pt idx="133">
                  <c:v>33.11576273373187</c:v>
                </c:pt>
                <c:pt idx="134">
                  <c:v>32.861385205301232</c:v>
                </c:pt>
                <c:pt idx="135">
                  <c:v>32.608464170760854</c:v>
                </c:pt>
                <c:pt idx="136">
                  <c:v>32.356962310068376</c:v>
                </c:pt>
                <c:pt idx="137">
                  <c:v>32.106840995672826</c:v>
                </c:pt>
                <c:pt idx="138">
                  <c:v>31.858060401718298</c:v>
                </c:pt>
                <c:pt idx="139">
                  <c:v>31.610579609624018</c:v>
                </c:pt>
                <c:pt idx="140">
                  <c:v>31.364356709611869</c:v>
                </c:pt>
                <c:pt idx="141">
                  <c:v>31.119348897808138</c:v>
                </c:pt>
                <c:pt idx="142">
                  <c:v>30.87551256860252</c:v>
                </c:pt>
                <c:pt idx="143">
                  <c:v>30.632803402004427</c:v>
                </c:pt>
                <c:pt idx="144">
                  <c:v>30.391176445788748</c:v>
                </c:pt>
                <c:pt idx="145">
                  <c:v>30.150586192278148</c:v>
                </c:pt>
                <c:pt idx="146">
                  <c:v>29.910986649659247</c:v>
                </c:pt>
                <c:pt idx="147">
                  <c:v>29.672331407776909</c:v>
                </c:pt>
                <c:pt idx="148">
                  <c:v>29.434573698397848</c:v>
                </c:pt>
                <c:pt idx="149">
                  <c:v>29.197666449977326</c:v>
                </c:pt>
                <c:pt idx="150">
                  <c:v>28.96156233699994</c:v>
                </c:pt>
                <c:pt idx="151">
                  <c:v>28.7262138240038</c:v>
                </c:pt>
                <c:pt idx="152">
                  <c:v>28.491573204430676</c:v>
                </c:pt>
                <c:pt idx="153">
                  <c:v>28.257592634472232</c:v>
                </c:pt>
                <c:pt idx="154">
                  <c:v>28.024224162111064</c:v>
                </c:pt>
                <c:pt idx="155">
                  <c:v>27.791419751580161</c:v>
                </c:pt>
                <c:pt idx="156">
                  <c:v>27.55913130348268</c:v>
                </c:pt>
                <c:pt idx="157">
                  <c:v>27.327310670833999</c:v>
                </c:pt>
                <c:pt idx="158">
                  <c:v>27.095909671305844</c:v>
                </c:pt>
                <c:pt idx="159">
                  <c:v>26.864880095962658</c:v>
                </c:pt>
                <c:pt idx="160">
                  <c:v>26.63417371479391</c:v>
                </c:pt>
                <c:pt idx="161">
                  <c:v>26.403742279358831</c:v>
                </c:pt>
                <c:pt idx="162">
                  <c:v>26.173537522860958</c:v>
                </c:pt>
                <c:pt idx="163">
                  <c:v>25.943511157986528</c:v>
                </c:pt>
                <c:pt idx="164">
                  <c:v>25.71361487283793</c:v>
                </c:pt>
                <c:pt idx="165">
                  <c:v>25.483800325302536</c:v>
                </c:pt>
                <c:pt idx="166">
                  <c:v>25.254019136199538</c:v>
                </c:pt>
                <c:pt idx="167">
                  <c:v>25.024222881548642</c:v>
                </c:pt>
                <c:pt idx="168">
                  <c:v>24.794363084309392</c:v>
                </c:pt>
                <c:pt idx="169">
                  <c:v>24.564391205935916</c:v>
                </c:pt>
                <c:pt idx="170">
                  <c:v>24.334258638096841</c:v>
                </c:pt>
                <c:pt idx="171">
                  <c:v>24.103916694906481</c:v>
                </c:pt>
                <c:pt idx="172">
                  <c:v>23.873316606013351</c:v>
                </c:pt>
                <c:pt idx="173">
                  <c:v>23.642409510889731</c:v>
                </c:pt>
                <c:pt idx="174">
                  <c:v>23.411146454662219</c:v>
                </c:pt>
                <c:pt idx="175">
                  <c:v>23.179478385820381</c:v>
                </c:pt>
                <c:pt idx="176">
                  <c:v>22.947356156135879</c:v>
                </c:pt>
                <c:pt idx="177">
                  <c:v>22.714730523115129</c:v>
                </c:pt>
                <c:pt idx="178">
                  <c:v>22.481552155306407</c:v>
                </c:pt>
                <c:pt idx="179">
                  <c:v>22.247771640766722</c:v>
                </c:pt>
                <c:pt idx="180">
                  <c:v>22.013339498989566</c:v>
                </c:pt>
                <c:pt idx="181">
                  <c:v>21.778206196575379</c:v>
                </c:pt>
                <c:pt idx="182">
                  <c:v>21.542322166916538</c:v>
                </c:pt>
                <c:pt idx="183">
                  <c:v>21.305637834150449</c:v>
                </c:pt>
                <c:pt idx="184">
                  <c:v>21.068103641612211</c:v>
                </c:pt>
                <c:pt idx="185">
                  <c:v>20.829670084999808</c:v>
                </c:pt>
                <c:pt idx="186">
                  <c:v>20.590287750435703</c:v>
                </c:pt>
                <c:pt idx="187">
                  <c:v>20.349907357585128</c:v>
                </c:pt>
                <c:pt idx="188">
                  <c:v>20.108479807955728</c:v>
                </c:pt>
                <c:pt idx="189">
                  <c:v>19.865956238472357</c:v>
                </c:pt>
                <c:pt idx="190">
                  <c:v>19.622288080381701</c:v>
                </c:pt>
                <c:pt idx="191">
                  <c:v>19.377427123502034</c:v>
                </c:pt>
                <c:pt idx="192">
                  <c:v>19.131325585789327</c:v>
                </c:pt>
                <c:pt idx="193">
                  <c:v>18.883936188145611</c:v>
                </c:pt>
                <c:pt idx="194">
                  <c:v>18.635212234345303</c:v>
                </c:pt>
                <c:pt idx="195">
                  <c:v>18.385107695906967</c:v>
                </c:pt>
                <c:pt idx="196">
                  <c:v>18.133577301681235</c:v>
                </c:pt>
                <c:pt idx="197">
                  <c:v>17.88057663187676</c:v>
                </c:pt>
                <c:pt idx="198">
                  <c:v>17.626062216185296</c:v>
                </c:pt>
                <c:pt idx="199">
                  <c:v>17.369991635617616</c:v>
                </c:pt>
                <c:pt idx="200">
                  <c:v>17.112323627602674</c:v>
                </c:pt>
                <c:pt idx="201">
                  <c:v>16.853018193853227</c:v>
                </c:pt>
                <c:pt idx="202">
                  <c:v>16.592036710446923</c:v>
                </c:pt>
                <c:pt idx="203">
                  <c:v>16.329342039527013</c:v>
                </c:pt>
                <c:pt idx="204">
                  <c:v>16.064898641979156</c:v>
                </c:pt>
                <c:pt idx="205">
                  <c:v>15.798672690405661</c:v>
                </c:pt>
                <c:pt idx="206">
                  <c:v>15.530632181680993</c:v>
                </c:pt>
                <c:pt idx="207">
                  <c:v>15.260747048348303</c:v>
                </c:pt>
                <c:pt idx="208">
                  <c:v>14.98898926809556</c:v>
                </c:pt>
                <c:pt idx="209">
                  <c:v>14.715332970537068</c:v>
                </c:pt>
                <c:pt idx="210">
                  <c:v>14.439754540527108</c:v>
                </c:pt>
                <c:pt idx="211">
                  <c:v>14.162232717231509</c:v>
                </c:pt>
                <c:pt idx="212">
                  <c:v>13.882748688205677</c:v>
                </c:pt>
                <c:pt idx="213">
                  <c:v>13.601286177745987</c:v>
                </c:pt>
                <c:pt idx="214">
                  <c:v>13.31783152882066</c:v>
                </c:pt>
                <c:pt idx="215">
                  <c:v>13.032373777925796</c:v>
                </c:pt>
                <c:pt idx="216">
                  <c:v>12.744904722268185</c:v>
                </c:pt>
                <c:pt idx="217">
                  <c:v>12.455418978734976</c:v>
                </c:pt>
                <c:pt idx="218">
                  <c:v>12.163914034179697</c:v>
                </c:pt>
                <c:pt idx="219">
                  <c:v>11.870390286629656</c:v>
                </c:pt>
                <c:pt idx="220">
                  <c:v>11.574851077099757</c:v>
                </c:pt>
                <c:pt idx="221">
                  <c:v>11.277302711783131</c:v>
                </c:pt>
                <c:pt idx="222">
                  <c:v>10.977754474477168</c:v>
                </c:pt>
                <c:pt idx="223">
                  <c:v>10.676218629193992</c:v>
                </c:pt>
                <c:pt idx="224">
                  <c:v>10.372710412992859</c:v>
                </c:pt>
                <c:pt idx="225">
                  <c:v>10.067248019163486</c:v>
                </c:pt>
                <c:pt idx="226">
                  <c:v>9.7598525709725337</c:v>
                </c:pt>
                <c:pt idx="227">
                  <c:v>9.4505480862705227</c:v>
                </c:pt>
                <c:pt idx="228">
                  <c:v>9.1393614333313753</c:v>
                </c:pt>
                <c:pt idx="229">
                  <c:v>8.8263222783687407</c:v>
                </c:pt>
                <c:pt idx="230">
                  <c:v>8.511463025235626</c:v>
                </c:pt>
                <c:pt idx="231">
                  <c:v>8.1948187478686556</c:v>
                </c:pt>
                <c:pt idx="232">
                  <c:v>7.8764271160847841</c:v>
                </c:pt>
                <c:pt idx="233">
                  <c:v>7.5563283153733281</c:v>
                </c:pt>
                <c:pt idx="234">
                  <c:v>7.2345649613538852</c:v>
                </c:pt>
                <c:pt idx="235">
                  <c:v>6.9111820095862209</c:v>
                </c:pt>
                <c:pt idx="236">
                  <c:v>6.5862266614255072</c:v>
                </c:pt>
                <c:pt idx="237">
                  <c:v>6.2597482666131512</c:v>
                </c:pt>
                <c:pt idx="238">
                  <c:v>5.931798223280258</c:v>
                </c:pt>
                <c:pt idx="239">
                  <c:v>5.6024298760219313</c:v>
                </c:pt>
                <c:pt idx="240">
                  <c:v>5.2716984126691209</c:v>
                </c:pt>
                <c:pt idx="241">
                  <c:v>4.9396607603507183</c:v>
                </c:pt>
                <c:pt idx="242">
                  <c:v>4.6063754813947879</c:v>
                </c:pt>
                <c:pt idx="243">
                  <c:v>4.2719026695697142</c:v>
                </c:pt>
                <c:pt idx="244">
                  <c:v>3.9363038471149521</c:v>
                </c:pt>
                <c:pt idx="245">
                  <c:v>3.5996418629529914</c:v>
                </c:pt>
                <c:pt idx="246">
                  <c:v>3.2619807924163484</c:v>
                </c:pt>
                <c:pt idx="247">
                  <c:v>2.9233858387647715</c:v>
                </c:pt>
                <c:pt idx="248">
                  <c:v>2.5839232367034768</c:v>
                </c:pt>
                <c:pt idx="249">
                  <c:v>2.2436601580562048</c:v>
                </c:pt>
                <c:pt idx="250">
                  <c:v>1.9026646196840082</c:v>
                </c:pt>
                <c:pt idx="251">
                  <c:v>1.5610053936852</c:v>
                </c:pt>
                <c:pt idx="252">
                  <c:v>1.2187519198562449</c:v>
                </c:pt>
                <c:pt idx="253">
                  <c:v>0.87597422033775851</c:v>
                </c:pt>
                <c:pt idx="254">
                  <c:v>0.53274281632761733</c:v>
                </c:pt>
                <c:pt idx="255">
                  <c:v>0.18912864669092797</c:v>
                </c:pt>
                <c:pt idx="256">
                  <c:v>-0.1547970117337252</c:v>
                </c:pt>
                <c:pt idx="257">
                  <c:v>-0.49896262237909489</c:v>
                </c:pt>
                <c:pt idx="258">
                  <c:v>-0.84329646600798214</c:v>
                </c:pt>
                <c:pt idx="259">
                  <c:v>-1.1877267168857908</c:v>
                </c:pt>
                <c:pt idx="260">
                  <c:v>-1.5321815183755745</c:v>
                </c:pt>
                <c:pt idx="261">
                  <c:v>-1.8765890582803868</c:v>
                </c:pt>
                <c:pt idx="262">
                  <c:v>-2.2208776442655549</c:v>
                </c:pt>
                <c:pt idx="263">
                  <c:v>-2.5649757796891297</c:v>
                </c:pt>
                <c:pt idx="264">
                  <c:v>-2.9088122401677889</c:v>
                </c:pt>
                <c:pt idx="265">
                  <c:v>-3.2523161511904237</c:v>
                </c:pt>
                <c:pt idx="266">
                  <c:v>-3.5954170670757875</c:v>
                </c:pt>
                <c:pt idx="267">
                  <c:v>-3.9380450515466259</c:v>
                </c:pt>
                <c:pt idx="268">
                  <c:v>-4.2801307601627343</c:v>
                </c:pt>
                <c:pt idx="269">
                  <c:v>-4.6216055248233241</c:v>
                </c:pt>
                <c:pt idx="270">
                  <c:v>-4.9624014405079961</c:v>
                </c:pt>
                <c:pt idx="271">
                  <c:v>-5.30245145438212</c:v>
                </c:pt>
                <c:pt idx="272">
                  <c:v>-5.6416894573438086</c:v>
                </c:pt>
                <c:pt idx="273">
                  <c:v>-5.980050378039186</c:v>
                </c:pt>
                <c:pt idx="274">
                  <c:v>-6.3174702793160513</c:v>
                </c:pt>
                <c:pt idx="275">
                  <c:v>-6.6538864570283982</c:v>
                </c:pt>
                <c:pt idx="276">
                  <c:v>-6.9892375410468723</c:v>
                </c:pt>
                <c:pt idx="277">
                  <c:v>-7.3234635982655369</c:v>
                </c:pt>
                <c:pt idx="278">
                  <c:v>-7.6565062373396326</c:v>
                </c:pt>
                <c:pt idx="279">
                  <c:v>-7.9883087148242113</c:v>
                </c:pt>
                <c:pt idx="280">
                  <c:v>-8.3188160423270947</c:v>
                </c:pt>
                <c:pt idx="281">
                  <c:v>-8.6479750942336242</c:v>
                </c:pt>
                <c:pt idx="282">
                  <c:v>-8.9757347155063485</c:v>
                </c:pt>
                <c:pt idx="283">
                  <c:v>-9.3020458290157535</c:v>
                </c:pt>
                <c:pt idx="284">
                  <c:v>-9.6268615418140424</c:v>
                </c:pt>
                <c:pt idx="285">
                  <c:v>-9.9501372497288756</c:v>
                </c:pt>
                <c:pt idx="286">
                  <c:v>-10.271830739622011</c:v>
                </c:pt>
                <c:pt idx="287">
                  <c:v>-10.591902288638984</c:v>
                </c:pt>
                <c:pt idx="288">
                  <c:v>-10.910314759760109</c:v>
                </c:pt>
                <c:pt idx="289">
                  <c:v>-11.227033692961928</c:v>
                </c:pt>
                <c:pt idx="290">
                  <c:v>-11.542027391301243</c:v>
                </c:pt>
                <c:pt idx="291">
                  <c:v>-11.855267001251288</c:v>
                </c:pt>
                <c:pt idx="292">
                  <c:v>-12.166726586644881</c:v>
                </c:pt>
                <c:pt idx="293">
                  <c:v>-12.476383195611989</c:v>
                </c:pt>
                <c:pt idx="294">
                  <c:v>-12.784216919947699</c:v>
                </c:pt>
                <c:pt idx="295">
                  <c:v>-13.090210946397175</c:v>
                </c:pt>
                <c:pt idx="296">
                  <c:v>-13.394351599405107</c:v>
                </c:pt>
                <c:pt idx="297">
                  <c:v>-13.696628374950819</c:v>
                </c:pt>
                <c:pt idx="298">
                  <c:v>-13.997033965160259</c:v>
                </c:pt>
                <c:pt idx="299">
                  <c:v>-14.295564273470379</c:v>
                </c:pt>
                <c:pt idx="300">
                  <c:v>-14.592218420205171</c:v>
                </c:pt>
                <c:pt idx="301">
                  <c:v>-14.886998738509007</c:v>
                </c:pt>
                <c:pt idx="302">
                  <c:v>-15.179910760672733</c:v>
                </c:pt>
                <c:pt idx="303">
                  <c:v>-15.470963194974365</c:v>
                </c:pt>
                <c:pt idx="304">
                  <c:v>-15.760167893244567</c:v>
                </c:pt>
                <c:pt idx="305">
                  <c:v>-16.0475398094468</c:v>
                </c:pt>
                <c:pt idx="306">
                  <c:v>-16.333096949645796</c:v>
                </c:pt>
                <c:pt idx="307">
                  <c:v>-16.616860313803645</c:v>
                </c:pt>
                <c:pt idx="308">
                  <c:v>-16.898853829917158</c:v>
                </c:pt>
                <c:pt idx="309">
                  <c:v>-17.179104281060425</c:v>
                </c:pt>
                <c:pt idx="310">
                  <c:v>-17.457641225951946</c:v>
                </c:pt>
                <c:pt idx="311">
                  <c:v>-17.734496913702849</c:v>
                </c:pt>
                <c:pt idx="312">
                  <c:v>-18.009706193435655</c:v>
                </c:pt>
                <c:pt idx="313">
                  <c:v>-18.283306419482635</c:v>
                </c:pt>
                <c:pt idx="314">
                  <c:v>-18.555337352885264</c:v>
                </c:pt>
                <c:pt idx="315">
                  <c:v>-18.825841059917625</c:v>
                </c:pt>
                <c:pt idx="316">
                  <c:v>-19.094861808349457</c:v>
                </c:pt>
                <c:pt idx="317">
                  <c:v>-19.362445962146662</c:v>
                </c:pt>
                <c:pt idx="318">
                  <c:v>-19.628641875284835</c:v>
                </c:pt>
                <c:pt idx="319">
                  <c:v>-19.893499785315726</c:v>
                </c:pt>
                <c:pt idx="320">
                  <c:v>-20.157071707291255</c:v>
                </c:pt>
                <c:pt idx="321">
                  <c:v>-20.419411328601406</c:v>
                </c:pt>
                <c:pt idx="322">
                  <c:v>-20.680573905233569</c:v>
                </c:pt>
                <c:pt idx="323">
                  <c:v>-20.940616159907748</c:v>
                </c:pt>
                <c:pt idx="324">
                  <c:v>-21.199596182483042</c:v>
                </c:pt>
                <c:pt idx="325">
                  <c:v>-21.457573332972082</c:v>
                </c:pt>
                <c:pt idx="326">
                  <c:v>-21.714608147439435</c:v>
                </c:pt>
                <c:pt idx="327">
                  <c:v>-21.970762246998071</c:v>
                </c:pt>
                <c:pt idx="328">
                  <c:v>-22.226098250057088</c:v>
                </c:pt>
                <c:pt idx="329">
                  <c:v>-22.480679687913288</c:v>
                </c:pt>
                <c:pt idx="330">
                  <c:v>-22.734570923722085</c:v>
                </c:pt>
                <c:pt idx="331">
                  <c:v>-22.987837074824387</c:v>
                </c:pt>
                <c:pt idx="332">
                  <c:v>-23.240543938356296</c:v>
                </c:pt>
                <c:pt idx="333">
                  <c:v>-23.492757920014071</c:v>
                </c:pt>
                <c:pt idx="334">
                  <c:v>-23.744545965804569</c:v>
                </c:pt>
                <c:pt idx="335">
                  <c:v>-23.995975496565258</c:v>
                </c:pt>
                <c:pt idx="336">
                  <c:v>-24.247114345001815</c:v>
                </c:pt>
                <c:pt idx="337">
                  <c:v>-24.498030694957013</c:v>
                </c:pt>
                <c:pt idx="338">
                  <c:v>-24.748793022595731</c:v>
                </c:pt>
                <c:pt idx="339">
                  <c:v>-24.999470039165598</c:v>
                </c:pt>
                <c:pt idx="340">
                  <c:v>-25.25013063497612</c:v>
                </c:pt>
                <c:pt idx="341">
                  <c:v>-25.500843824221565</c:v>
                </c:pt>
                <c:pt idx="342">
                  <c:v>-25.75167869026739</c:v>
                </c:pt>
                <c:pt idx="343">
                  <c:v>-26.002704331013007</c:v>
                </c:pt>
                <c:pt idx="344">
                  <c:v>-26.253989803947082</c:v>
                </c:pt>
                <c:pt idx="345">
                  <c:v>-26.505604070516661</c:v>
                </c:pt>
                <c:pt idx="346">
                  <c:v>-26.75761593944393</c:v>
                </c:pt>
                <c:pt idx="347">
                  <c:v>-27.01009400863969</c:v>
                </c:pt>
                <c:pt idx="348">
                  <c:v>-27.263106605386135</c:v>
                </c:pt>
                <c:pt idx="349">
                  <c:v>-27.516721724485997</c:v>
                </c:pt>
                <c:pt idx="350">
                  <c:v>-27.771006964108299</c:v>
                </c:pt>
                <c:pt idx="351">
                  <c:v>-28.026029459095273</c:v>
                </c:pt>
                <c:pt idx="352">
                  <c:v>-28.281855811537021</c:v>
                </c:pt>
                <c:pt idx="353">
                  <c:v>-28.538552018462866</c:v>
                </c:pt>
                <c:pt idx="354">
                  <c:v>-28.796183396549637</c:v>
                </c:pt>
                <c:pt idx="355">
                  <c:v>-29.054814503795821</c:v>
                </c:pt>
                <c:pt idx="356">
                  <c:v>-29.314509058167758</c:v>
                </c:pt>
                <c:pt idx="357">
                  <c:v>-29.575329853281261</c:v>
                </c:pt>
                <c:pt idx="358">
                  <c:v>-29.837338671239223</c:v>
                </c:pt>
                <c:pt idx="359">
                  <c:v>-30.100596192810869</c:v>
                </c:pt>
                <c:pt idx="360">
                  <c:v>-30.36516190519643</c:v>
                </c:pt>
                <c:pt idx="361">
                  <c:v>-30.631094007682499</c:v>
                </c:pt>
                <c:pt idx="362">
                  <c:v>-30.898449315558278</c:v>
                </c:pt>
                <c:pt idx="363">
                  <c:v>-31.167283162714856</c:v>
                </c:pt>
                <c:pt idx="364">
                  <c:v>-31.437649303412599</c:v>
                </c:pt>
                <c:pt idx="365">
                  <c:v>-31.709599813749982</c:v>
                </c:pt>
                <c:pt idx="366">
                  <c:v>-31.983184993417609</c:v>
                </c:pt>
                <c:pt idx="367">
                  <c:v>-32.258453268361599</c:v>
                </c:pt>
                <c:pt idx="368">
                  <c:v>-32.535451095020768</c:v>
                </c:pt>
                <c:pt idx="369">
                  <c:v>-32.814222866825588</c:v>
                </c:pt>
                <c:pt idx="370">
                  <c:v>-33.094810823674038</c:v>
                </c:pt>
                <c:pt idx="371">
                  <c:v>-33.377254965108001</c:v>
                </c:pt>
                <c:pt idx="372">
                  <c:v>-33.661592967918608</c:v>
                </c:pt>
                <c:pt idx="373">
                  <c:v>-33.947860108902866</c:v>
                </c:pt>
                <c:pt idx="374">
                  <c:v>-34.236089193479359</c:v>
                </c:pt>
                <c:pt idx="375">
                  <c:v>-34.526310490840515</c:v>
                </c:pt>
                <c:pt idx="376">
                  <c:v>-34.818551676289609</c:v>
                </c:pt>
                <c:pt idx="377">
                  <c:v>-35.112837781360156</c:v>
                </c:pt>
                <c:pt idx="378">
                  <c:v>-35.409191152262494</c:v>
                </c:pt>
                <c:pt idx="379">
                  <c:v>-35.707631417142366</c:v>
                </c:pt>
                <c:pt idx="380">
                  <c:v>-36.008175462560722</c:v>
                </c:pt>
                <c:pt idx="381">
                  <c:v>-36.310837419532916</c:v>
                </c:pt>
                <c:pt idx="382">
                  <c:v>-36.615628659377997</c:v>
                </c:pt>
                <c:pt idx="383">
                  <c:v>-36.922557799545949</c:v>
                </c:pt>
                <c:pt idx="384">
                  <c:v>-37.2316307194993</c:v>
                </c:pt>
                <c:pt idx="385">
                  <c:v>-37.542850586635133</c:v>
                </c:pt>
                <c:pt idx="386">
                  <c:v>-37.856217892143704</c:v>
                </c:pt>
                <c:pt idx="387">
                  <c:v>-38.171730496609271</c:v>
                </c:pt>
                <c:pt idx="388">
                  <c:v>-38.489383685072326</c:v>
                </c:pt>
                <c:pt idx="389">
                  <c:v>-38.809170231192198</c:v>
                </c:pt>
                <c:pt idx="390">
                  <c:v>-39.131080470067218</c:v>
                </c:pt>
                <c:pt idx="391">
                  <c:v>-39.455102379206906</c:v>
                </c:pt>
                <c:pt idx="392">
                  <c:v>-39.781221667078576</c:v>
                </c:pt>
                <c:pt idx="393">
                  <c:v>-40.109421868603626</c:v>
                </c:pt>
                <c:pt idx="394">
                  <c:v>-40.439684446929249</c:v>
                </c:pt>
                <c:pt idx="395">
                  <c:v>-40.771988900764342</c:v>
                </c:pt>
                <c:pt idx="396">
                  <c:v>-41.106312876543001</c:v>
                </c:pt>
                <c:pt idx="397">
                  <c:v>-41.442632284660085</c:v>
                </c:pt>
                <c:pt idx="398">
                  <c:v>-41.780921419016636</c:v>
                </c:pt>
                <c:pt idx="399">
                  <c:v>-42.121153079110549</c:v>
                </c:pt>
                <c:pt idx="400">
                  <c:v>-42.463298693921018</c:v>
                </c:pt>
                <c:pt idx="401">
                  <c:v>-42.807328446851585</c:v>
                </c:pt>
                <c:pt idx="402">
                  <c:v>-43.153211401018972</c:v>
                </c:pt>
                <c:pt idx="403">
                  <c:v>-43.500915624211331</c:v>
                </c:pt>
                <c:pt idx="404">
                  <c:v>-43.850408312871714</c:v>
                </c:pt>
                <c:pt idx="405">
                  <c:v>-44.201655914508223</c:v>
                </c:pt>
                <c:pt idx="406">
                  <c:v>-44.554624247976832</c:v>
                </c:pt>
                <c:pt idx="407">
                  <c:v>-44.909278621130362</c:v>
                </c:pt>
                <c:pt idx="408">
                  <c:v>-45.265583945383618</c:v>
                </c:pt>
                <c:pt idx="409">
                  <c:v>-45.623504846790397</c:v>
                </c:pt>
                <c:pt idx="410">
                  <c:v>-45.983005773285853</c:v>
                </c:pt>
                <c:pt idx="411">
                  <c:v>-46.344051097800197</c:v>
                </c:pt>
                <c:pt idx="412">
                  <c:v>-46.706605216998973</c:v>
                </c:pt>
                <c:pt idx="413">
                  <c:v>-47.070632645458829</c:v>
                </c:pt>
                <c:pt idx="414">
                  <c:v>-47.436098105134732</c:v>
                </c:pt>
                <c:pt idx="415">
                  <c:v>-47.80296661002027</c:v>
                </c:pt>
                <c:pt idx="416">
                  <c:v>-48.171203545948131</c:v>
                </c:pt>
                <c:pt idx="417">
                  <c:v>-48.540774745514696</c:v>
                </c:pt>
                <c:pt idx="418">
                  <c:v>-48.911646558153649</c:v>
                </c:pt>
                <c:pt idx="419">
                  <c:v>-49.283785915414462</c:v>
                </c:pt>
                <c:pt idx="420">
                  <c:v>-49.657160391532912</c:v>
                </c:pt>
                <c:pt idx="421">
                  <c:v>-50.031738259407071</c:v>
                </c:pt>
                <c:pt idx="422">
                  <c:v>-50.407488542116482</c:v>
                </c:pt>
                <c:pt idx="423">
                  <c:v>-50.784381060140959</c:v>
                </c:pt>
                <c:pt idx="424">
                  <c:v>-51.162386474453626</c:v>
                </c:pt>
                <c:pt idx="425">
                  <c:v>-51.541476325675184</c:v>
                </c:pt>
                <c:pt idx="426">
                  <c:v>-51.921623069487609</c:v>
                </c:pt>
                <c:pt idx="427">
                  <c:v>-52.302800108514958</c:v>
                </c:pt>
                <c:pt idx="428">
                  <c:v>-52.684981820881248</c:v>
                </c:pt>
                <c:pt idx="429">
                  <c:v>-53.068143585662597</c:v>
                </c:pt>
                <c:pt idx="430">
                  <c:v>-53.452261805448167</c:v>
                </c:pt>
                <c:pt idx="431">
                  <c:v>-53.837313926226514</c:v>
                </c:pt>
                <c:pt idx="432">
                  <c:v>-54.223278454809403</c:v>
                </c:pt>
                <c:pt idx="433">
                  <c:v>-54.610134974002108</c:v>
                </c:pt>
                <c:pt idx="434">
                  <c:v>-54.997864155723882</c:v>
                </c:pt>
                <c:pt idx="435">
                  <c:v>-55.386447772274671</c:v>
                </c:pt>
                <c:pt idx="436">
                  <c:v>-55.775868705937775</c:v>
                </c:pt>
                <c:pt idx="437">
                  <c:v>-56.166110957099484</c:v>
                </c:pt>
                <c:pt idx="438">
                  <c:v>-56.557159651057063</c:v>
                </c:pt>
                <c:pt idx="439">
                  <c:v>-56.949001043675779</c:v>
                </c:pt>
                <c:pt idx="440">
                  <c:v>-57.34162252605006</c:v>
                </c:pt>
                <c:pt idx="441">
                  <c:v>-57.735012628305441</c:v>
                </c:pt>
                <c:pt idx="442">
                  <c:v>-58.129161022675135</c:v>
                </c:pt>
                <c:pt idx="443">
                  <c:v>-58.52405852596852</c:v>
                </c:pt>
                <c:pt idx="444">
                  <c:v>-58.919697101539143</c:v>
                </c:pt>
                <c:pt idx="445">
                  <c:v>-59.31606986084887</c:v>
                </c:pt>
                <c:pt idx="446">
                  <c:v>-59.71317106471303</c:v>
                </c:pt>
                <c:pt idx="447">
                  <c:v>-60.110996124298524</c:v>
                </c:pt>
                <c:pt idx="448">
                  <c:v>-60.509541601938196</c:v>
                </c:pt>
                <c:pt idx="449">
                  <c:v>-60.908805211807859</c:v>
                </c:pt>
                <c:pt idx="450">
                  <c:v>-61.308785820507865</c:v>
                </c:pt>
                <c:pt idx="451">
                  <c:v>-61.709483447571991</c:v>
                </c:pt>
                <c:pt idx="452">
                  <c:v>-62.110899265920267</c:v>
                </c:pt>
                <c:pt idx="453">
                  <c:v>-62.513035602258299</c:v>
                </c:pt>
                <c:pt idx="454">
                  <c:v>-62.915895937412813</c:v>
                </c:pt>
                <c:pt idx="455">
                  <c:v>-63.319484906585515</c:v>
                </c:pt>
                <c:pt idx="456">
                  <c:v>-63.723808299489413</c:v>
                </c:pt>
                <c:pt idx="457">
                  <c:v>-64.128873060327919</c:v>
                </c:pt>
                <c:pt idx="458">
                  <c:v>-64.53468728755692</c:v>
                </c:pt>
                <c:pt idx="459">
                  <c:v>-64.941260233365782</c:v>
                </c:pt>
                <c:pt idx="460">
                  <c:v>-65.348602302796849</c:v>
                </c:pt>
                <c:pt idx="461">
                  <c:v>-65.756725052412165</c:v>
                </c:pt>
                <c:pt idx="462">
                  <c:v>-66.165641188408514</c:v>
                </c:pt>
                <c:pt idx="463">
                  <c:v>-66.575364564063207</c:v>
                </c:pt>
                <c:pt idx="464">
                  <c:v>-66.985910176389922</c:v>
                </c:pt>
                <c:pt idx="465">
                  <c:v>-67.397294161866412</c:v>
                </c:pt>
                <c:pt idx="466">
                  <c:v>-67.809533791089976</c:v>
                </c:pt>
                <c:pt idx="467">
                  <c:v>-68.222647462201635</c:v>
                </c:pt>
                <c:pt idx="468">
                  <c:v>-68.636654692915471</c:v>
                </c:pt>
                <c:pt idx="469">
                  <c:v>-69.051576110974793</c:v>
                </c:pt>
                <c:pt idx="470">
                  <c:v>-69.467433442852837</c:v>
                </c:pt>
                <c:pt idx="471">
                  <c:v>-69.884249500504438</c:v>
                </c:pt>
                <c:pt idx="472">
                  <c:v>-70.302048165970191</c:v>
                </c:pt>
                <c:pt idx="473">
                  <c:v>-70.720854373627702</c:v>
                </c:pt>
                <c:pt idx="474">
                  <c:v>-71.140694089882118</c:v>
                </c:pt>
                <c:pt idx="475">
                  <c:v>-71.561594290081104</c:v>
                </c:pt>
                <c:pt idx="476">
                  <c:v>-71.98358293244307</c:v>
                </c:pt>
                <c:pt idx="477">
                  <c:v>-72.406688928783666</c:v>
                </c:pt>
                <c:pt idx="478">
                  <c:v>-72.830942111829913</c:v>
                </c:pt>
                <c:pt idx="479">
                  <c:v>-73.256373198917075</c:v>
                </c:pt>
                <c:pt idx="480">
                  <c:v>-73.683013751868799</c:v>
                </c:pt>
                <c:pt idx="481">
                  <c:v>-74.110896132870835</c:v>
                </c:pt>
                <c:pt idx="482">
                  <c:v>-74.540053456163832</c:v>
                </c:pt>
                <c:pt idx="483">
                  <c:v>-74.97051953539372</c:v>
                </c:pt>
                <c:pt idx="484">
                  <c:v>-75.402328826479049</c:v>
                </c:pt>
                <c:pt idx="485">
                  <c:v>-75.835516365874895</c:v>
                </c:pt>
                <c:pt idx="486">
                  <c:v>-76.270117704141654</c:v>
                </c:pt>
                <c:pt idx="487">
                  <c:v>-76.706168834753854</c:v>
                </c:pt>
                <c:pt idx="488">
                  <c:v>-77.143706118114778</c:v>
                </c:pt>
                <c:pt idx="489">
                  <c:v>-77.582766200785969</c:v>
                </c:pt>
                <c:pt idx="490">
                  <c:v>-78.023385929969834</c:v>
                </c:pt>
                <c:pt idx="491">
                  <c:v>-78.465602263335867</c:v>
                </c:pt>
                <c:pt idx="492">
                  <c:v>-78.909452174317437</c:v>
                </c:pt>
                <c:pt idx="493">
                  <c:v>-79.354972553061046</c:v>
                </c:pt>
                <c:pt idx="494">
                  <c:v>-79.802200103256538</c:v>
                </c:pt>
                <c:pt idx="495">
                  <c:v>-80.251171235125298</c:v>
                </c:pt>
                <c:pt idx="496">
                  <c:v>-80.701921954905131</c:v>
                </c:pt>
                <c:pt idx="497">
                  <c:v>-81.154487751212528</c:v>
                </c:pt>
                <c:pt idx="498">
                  <c:v>-81.608903478724187</c:v>
                </c:pt>
                <c:pt idx="499">
                  <c:v>-82.065203239666971</c:v>
                </c:pt>
                <c:pt idx="500">
                  <c:v>-82.523420263657172</c:v>
                </c:pt>
                <c:pt idx="501">
                  <c:v>-82.983586786476394</c:v>
                </c:pt>
                <c:pt idx="502">
                  <c:v>-83.445733928413915</c:v>
                </c:pt>
                <c:pt idx="503">
                  <c:v>-83.909891572845709</c:v>
                </c:pt>
                <c:pt idx="504">
                  <c:v>-84.376088245752328</c:v>
                </c:pt>
                <c:pt idx="505">
                  <c:v>-84.844350996905405</c:v>
                </c:pt>
                <c:pt idx="506">
                  <c:v>-85.314705283471838</c:v>
                </c:pt>
                <c:pt idx="507">
                  <c:v>-85.787174856796469</c:v>
                </c:pt>
                <c:pt idx="508">
                  <c:v>-86.261781653128949</c:v>
                </c:pt>
                <c:pt idx="509">
                  <c:v>-86.738545689052131</c:v>
                </c:pt>
                <c:pt idx="510">
                  <c:v>-87.217484962357247</c:v>
                </c:pt>
                <c:pt idx="511">
                  <c:v>-87.698615359083647</c:v>
                </c:pt>
                <c:pt idx="512">
                  <c:v>-88.181950567410638</c:v>
                </c:pt>
                <c:pt idx="513">
                  <c:v>-88.667501999040383</c:v>
                </c:pt>
                <c:pt idx="514">
                  <c:v>-89.155278718662629</c:v>
                </c:pt>
                <c:pt idx="515">
                  <c:v>-89.645287382027931</c:v>
                </c:pt>
                <c:pt idx="516">
                  <c:v>-90.137532183089419</c:v>
                </c:pt>
                <c:pt idx="517">
                  <c:v>-90.632014810594356</c:v>
                </c:pt>
                <c:pt idx="518">
                  <c:v>-91.128734414427157</c:v>
                </c:pt>
                <c:pt idx="519">
                  <c:v>-91.627687581918153</c:v>
                </c:pt>
                <c:pt idx="520">
                  <c:v>-92.128868324242035</c:v>
                </c:pt>
                <c:pt idx="521">
                  <c:v>-92.63226807293934</c:v>
                </c:pt>
                <c:pt idx="522">
                  <c:v>-93.137875686498163</c:v>
                </c:pt>
                <c:pt idx="523">
                  <c:v>-93.64567746684601</c:v>
                </c:pt>
                <c:pt idx="524">
                  <c:v>-94.155657185508602</c:v>
                </c:pt>
                <c:pt idx="525">
                  <c:v>-94.667796119107464</c:v>
                </c:pt>
                <c:pt idx="526">
                  <c:v>-95.182073093786357</c:v>
                </c:pt>
                <c:pt idx="527">
                  <c:v>-95.698464538082661</c:v>
                </c:pt>
                <c:pt idx="528">
                  <c:v>-96.216944543689095</c:v>
                </c:pt>
                <c:pt idx="529">
                  <c:v>-96.737484933495494</c:v>
                </c:pt>
                <c:pt idx="530">
                  <c:v>-97.26005533624145</c:v>
                </c:pt>
                <c:pt idx="531">
                  <c:v>-97.78462326707708</c:v>
                </c:pt>
                <c:pt idx="532">
                  <c:v>-98.311154213288773</c:v>
                </c:pt>
                <c:pt idx="533">
                  <c:v>-98.839611724428451</c:v>
                </c:pt>
                <c:pt idx="534">
                  <c:v>-99.369957506069198</c:v>
                </c:pt>
                <c:pt idx="535">
                  <c:v>-99.902151516406292</c:v>
                </c:pt>
                <c:pt idx="536">
                  <c:v>-100.43615206492805</c:v>
                </c:pt>
                <c:pt idx="537">
                  <c:v>-100.97191591239604</c:v>
                </c:pt>
                <c:pt idx="538">
                  <c:v>-101.50939837139214</c:v>
                </c:pt>
                <c:pt idx="539">
                  <c:v>-102.04855340672295</c:v>
                </c:pt>
                <c:pt idx="540">
                  <c:v>-102.58933373500466</c:v>
                </c:pt>
                <c:pt idx="541">
                  <c:v>-103.13169092279408</c:v>
                </c:pt>
              </c:numCache>
            </c:numRef>
          </c:yVal>
          <c:smooth val="1"/>
          <c:extLst>
            <c:ext xmlns:c16="http://schemas.microsoft.com/office/drawing/2014/chart" uri="{C3380CC4-5D6E-409C-BE32-E72D297353CC}">
              <c16:uniqueId val="{00000000-83C7-483B-9FAA-73F41D4B5EAC}"/>
            </c:ext>
          </c:extLst>
        </c:ser>
        <c:dLbls>
          <c:showLegendKey val="0"/>
          <c:showVal val="0"/>
          <c:showCatName val="0"/>
          <c:showSerName val="0"/>
          <c:showPercent val="0"/>
          <c:showBubbleSize val="0"/>
        </c:dLbls>
        <c:axId val="377549184"/>
        <c:axId val="377551104"/>
      </c:scatterChart>
      <c:scatterChart>
        <c:scatterStyle val="smoothMarker"/>
        <c:varyColors val="0"/>
        <c:ser>
          <c:idx val="1"/>
          <c:order val="1"/>
          <c:tx>
            <c:v>Phase (deg)</c:v>
          </c:tx>
          <c:spPr>
            <a:ln w="38100">
              <a:solidFill>
                <a:schemeClr val="tx1">
                  <a:lumMod val="95000"/>
                  <a:lumOff val="5000"/>
                </a:schemeClr>
              </a:solidFill>
              <a:prstDash val="sysDash"/>
            </a:ln>
          </c:spPr>
          <c:marker>
            <c:symbol val="none"/>
          </c:marker>
          <c:xVal>
            <c:numRef>
              <c:f>CCM_Loop_Modeling_non_isolated!$O$19:$O$560</c:f>
              <c:numCache>
                <c:formatCode>0.00</c:formatCode>
                <c:ptCount val="542"/>
                <c:pt idx="0">
                  <c:v>10.232929922807543</c:v>
                </c:pt>
                <c:pt idx="1">
                  <c:v>10.471285480509</c:v>
                </c:pt>
                <c:pt idx="2">
                  <c:v>10.715193052376069</c:v>
                </c:pt>
                <c:pt idx="3">
                  <c:v>10.964781961431854</c:v>
                </c:pt>
                <c:pt idx="4">
                  <c:v>11.220184543019636</c:v>
                </c:pt>
                <c:pt idx="5">
                  <c:v>11.481536214968834</c:v>
                </c:pt>
                <c:pt idx="6">
                  <c:v>11.748975549395301</c:v>
                </c:pt>
                <c:pt idx="7">
                  <c:v>12.022644346174133</c:v>
                </c:pt>
                <c:pt idx="8">
                  <c:v>12.302687708123818</c:v>
                </c:pt>
                <c:pt idx="9">
                  <c:v>12.58925411794168</c:v>
                </c:pt>
                <c:pt idx="10">
                  <c:v>12.882495516931346</c:v>
                </c:pt>
                <c:pt idx="11">
                  <c:v>13.182567385564075</c:v>
                </c:pt>
                <c:pt idx="12">
                  <c:v>13.489628825916535</c:v>
                </c:pt>
                <c:pt idx="13">
                  <c:v>13.803842646028857</c:v>
                </c:pt>
                <c:pt idx="14">
                  <c:v>14.125375446227544</c:v>
                </c:pt>
                <c:pt idx="15">
                  <c:v>14.454397707459275</c:v>
                </c:pt>
                <c:pt idx="16">
                  <c:v>14.791083881682074</c:v>
                </c:pt>
                <c:pt idx="17">
                  <c:v>15.135612484362087</c:v>
                </c:pt>
                <c:pt idx="18">
                  <c:v>15.488166189124817</c:v>
                </c:pt>
                <c:pt idx="19">
                  <c:v>15.848931924611136</c:v>
                </c:pt>
                <c:pt idx="20">
                  <c:v>16.218100973589298</c:v>
                </c:pt>
                <c:pt idx="21">
                  <c:v>16.595869074375614</c:v>
                </c:pt>
                <c:pt idx="22">
                  <c:v>16.982436524617448</c:v>
                </c:pt>
                <c:pt idx="23">
                  <c:v>17.378008287493756</c:v>
                </c:pt>
                <c:pt idx="24">
                  <c:v>17.782794100389236</c:v>
                </c:pt>
                <c:pt idx="25">
                  <c:v>18.197008586099841</c:v>
                </c:pt>
                <c:pt idx="26">
                  <c:v>18.62087136662868</c:v>
                </c:pt>
                <c:pt idx="27">
                  <c:v>19.054607179632477</c:v>
                </c:pt>
                <c:pt idx="28">
                  <c:v>19.498445997580465</c:v>
                </c:pt>
                <c:pt idx="29">
                  <c:v>19.952623149688804</c:v>
                </c:pt>
                <c:pt idx="30">
                  <c:v>20.4173794466953</c:v>
                </c:pt>
                <c:pt idx="31">
                  <c:v>20.8929613085404</c:v>
                </c:pt>
                <c:pt idx="32">
                  <c:v>21.379620895022335</c:v>
                </c:pt>
                <c:pt idx="33">
                  <c:v>21.877616239495538</c:v>
                </c:pt>
                <c:pt idx="34">
                  <c:v>22.387211385683404</c:v>
                </c:pt>
                <c:pt idx="35">
                  <c:v>22.908676527677727</c:v>
                </c:pt>
                <c:pt idx="36">
                  <c:v>23.442288153199236</c:v>
                </c:pt>
                <c:pt idx="37">
                  <c:v>23.988329190194907</c:v>
                </c:pt>
                <c:pt idx="38">
                  <c:v>24.547089156850316</c:v>
                </c:pt>
                <c:pt idx="39">
                  <c:v>25.118864315095799</c:v>
                </c:pt>
                <c:pt idx="40">
                  <c:v>25.703957827688647</c:v>
                </c:pt>
                <c:pt idx="41">
                  <c:v>26.302679918953825</c:v>
                </c:pt>
                <c:pt idx="42">
                  <c:v>26.915348039269158</c:v>
                </c:pt>
                <c:pt idx="43">
                  <c:v>27.542287033381665</c:v>
                </c:pt>
                <c:pt idx="44">
                  <c:v>28.183829312644548</c:v>
                </c:pt>
                <c:pt idx="45">
                  <c:v>28.840315031266066</c:v>
                </c:pt>
                <c:pt idx="46">
                  <c:v>29.512092266663863</c:v>
                </c:pt>
                <c:pt idx="47">
                  <c:v>30.199517204020164</c:v>
                </c:pt>
                <c:pt idx="48">
                  <c:v>30.902954325135919</c:v>
                </c:pt>
                <c:pt idx="49">
                  <c:v>31.622776601683803</c:v>
                </c:pt>
                <c:pt idx="50">
                  <c:v>32.359365692962832</c:v>
                </c:pt>
                <c:pt idx="51">
                  <c:v>33.113112148259127</c:v>
                </c:pt>
                <c:pt idx="52">
                  <c:v>33.884415613920268</c:v>
                </c:pt>
                <c:pt idx="53">
                  <c:v>34.67368504525318</c:v>
                </c:pt>
                <c:pt idx="54">
                  <c:v>35.481338923357555</c:v>
                </c:pt>
                <c:pt idx="55">
                  <c:v>36.307805477010156</c:v>
                </c:pt>
                <c:pt idx="56">
                  <c:v>37.15352290971726</c:v>
                </c:pt>
                <c:pt idx="57">
                  <c:v>38.018939632056139</c:v>
                </c:pt>
                <c:pt idx="58">
                  <c:v>38.904514499428053</c:v>
                </c:pt>
                <c:pt idx="59">
                  <c:v>39.810717055349755</c:v>
                </c:pt>
                <c:pt idx="60">
                  <c:v>40.738027780411279</c:v>
                </c:pt>
                <c:pt idx="61">
                  <c:v>41.686938347033561</c:v>
                </c:pt>
                <c:pt idx="62">
                  <c:v>42.657951880159267</c:v>
                </c:pt>
                <c:pt idx="63">
                  <c:v>43.651583224016633</c:v>
                </c:pt>
                <c:pt idx="64">
                  <c:v>44.668359215096324</c:v>
                </c:pt>
                <c:pt idx="65">
                  <c:v>45.70881896148753</c:v>
                </c:pt>
                <c:pt idx="66">
                  <c:v>46.773514128719818</c:v>
                </c:pt>
                <c:pt idx="67">
                  <c:v>47.863009232263877</c:v>
                </c:pt>
                <c:pt idx="68">
                  <c:v>48.977881936844632</c:v>
                </c:pt>
                <c:pt idx="69">
                  <c:v>50.118723362727238</c:v>
                </c:pt>
                <c:pt idx="70">
                  <c:v>51.28613839913649</c:v>
                </c:pt>
                <c:pt idx="71">
                  <c:v>52.480746024977286</c:v>
                </c:pt>
                <c:pt idx="72">
                  <c:v>53.703179637025293</c:v>
                </c:pt>
                <c:pt idx="73">
                  <c:v>54.95408738576247</c:v>
                </c:pt>
                <c:pt idx="74">
                  <c:v>56.234132519034915</c:v>
                </c:pt>
                <c:pt idx="75">
                  <c:v>57.543993733715695</c:v>
                </c:pt>
                <c:pt idx="76">
                  <c:v>58.884365535558949</c:v>
                </c:pt>
                <c:pt idx="77">
                  <c:v>60.255958607435822</c:v>
                </c:pt>
                <c:pt idx="78">
                  <c:v>61.659500186148257</c:v>
                </c:pt>
                <c:pt idx="79">
                  <c:v>63.095734448019364</c:v>
                </c:pt>
                <c:pt idx="80">
                  <c:v>64.565422903465588</c:v>
                </c:pt>
                <c:pt idx="81">
                  <c:v>66.069344800759623</c:v>
                </c:pt>
                <c:pt idx="82">
                  <c:v>67.60829753919819</c:v>
                </c:pt>
                <c:pt idx="83">
                  <c:v>69.183097091893657</c:v>
                </c:pt>
                <c:pt idx="84">
                  <c:v>70.794578438413865</c:v>
                </c:pt>
                <c:pt idx="85">
                  <c:v>72.443596007499011</c:v>
                </c:pt>
                <c:pt idx="86">
                  <c:v>74.131024130091816</c:v>
                </c:pt>
                <c:pt idx="87">
                  <c:v>75.857757502918361</c:v>
                </c:pt>
                <c:pt idx="88">
                  <c:v>77.624711662869217</c:v>
                </c:pt>
                <c:pt idx="89">
                  <c:v>79.432823472428197</c:v>
                </c:pt>
                <c:pt idx="90">
                  <c:v>81.283051616409963</c:v>
                </c:pt>
                <c:pt idx="91">
                  <c:v>83.176377110267126</c:v>
                </c:pt>
                <c:pt idx="92">
                  <c:v>85.113803820237734</c:v>
                </c:pt>
                <c:pt idx="93">
                  <c:v>87.096358995608071</c:v>
                </c:pt>
                <c:pt idx="94">
                  <c:v>89.125093813374562</c:v>
                </c:pt>
                <c:pt idx="95">
                  <c:v>91.201083935590972</c:v>
                </c:pt>
                <c:pt idx="96">
                  <c:v>93.325430079699174</c:v>
                </c:pt>
                <c:pt idx="97">
                  <c:v>95.499258602143655</c:v>
                </c:pt>
                <c:pt idx="98">
                  <c:v>97.723722095581124</c:v>
                </c:pt>
                <c:pt idx="99">
                  <c:v>100</c:v>
                </c:pt>
                <c:pt idx="100">
                  <c:v>102.32929922807544</c:v>
                </c:pt>
                <c:pt idx="101">
                  <c:v>104.71285480508998</c:v>
                </c:pt>
                <c:pt idx="102">
                  <c:v>107.15193052376065</c:v>
                </c:pt>
                <c:pt idx="103">
                  <c:v>109.64781961431861</c:v>
                </c:pt>
                <c:pt idx="104">
                  <c:v>112.20184543019634</c:v>
                </c:pt>
                <c:pt idx="105">
                  <c:v>114.81536214968835</c:v>
                </c:pt>
                <c:pt idx="106">
                  <c:v>117.48975549395293</c:v>
                </c:pt>
                <c:pt idx="107">
                  <c:v>120.22644346174135</c:v>
                </c:pt>
                <c:pt idx="108">
                  <c:v>123.02687708123821</c:v>
                </c:pt>
                <c:pt idx="109">
                  <c:v>125.89254117941677</c:v>
                </c:pt>
                <c:pt idx="110">
                  <c:v>128.82495516931343</c:v>
                </c:pt>
                <c:pt idx="111">
                  <c:v>131.82567385564084</c:v>
                </c:pt>
                <c:pt idx="112">
                  <c:v>134.89628825916537</c:v>
                </c:pt>
                <c:pt idx="113">
                  <c:v>138.0384264602886</c:v>
                </c:pt>
                <c:pt idx="114">
                  <c:v>141.25375446227542</c:v>
                </c:pt>
                <c:pt idx="115">
                  <c:v>144.54397707459285</c:v>
                </c:pt>
                <c:pt idx="116">
                  <c:v>147.91083881682084</c:v>
                </c:pt>
                <c:pt idx="117">
                  <c:v>151.3561248436209</c:v>
                </c:pt>
                <c:pt idx="118">
                  <c:v>154.8816618912482</c:v>
                </c:pt>
                <c:pt idx="119">
                  <c:v>158.48931924611153</c:v>
                </c:pt>
                <c:pt idx="120">
                  <c:v>162.18100973589304</c:v>
                </c:pt>
                <c:pt idx="121">
                  <c:v>165.95869074375622</c:v>
                </c:pt>
                <c:pt idx="122">
                  <c:v>169.82436524617444</c:v>
                </c:pt>
                <c:pt idx="123">
                  <c:v>173.78008287493768</c:v>
                </c:pt>
                <c:pt idx="124">
                  <c:v>177.82794100389242</c:v>
                </c:pt>
                <c:pt idx="125">
                  <c:v>181.9700858609983</c:v>
                </c:pt>
                <c:pt idx="126">
                  <c:v>186.20871366628685</c:v>
                </c:pt>
                <c:pt idx="127">
                  <c:v>190.54607179632498</c:v>
                </c:pt>
                <c:pt idx="128">
                  <c:v>194.98445997580458</c:v>
                </c:pt>
                <c:pt idx="129">
                  <c:v>199.52623149688802</c:v>
                </c:pt>
                <c:pt idx="130">
                  <c:v>204.17379446695315</c:v>
                </c:pt>
                <c:pt idx="131">
                  <c:v>208.92961308540396</c:v>
                </c:pt>
                <c:pt idx="132">
                  <c:v>213.79620895022339</c:v>
                </c:pt>
                <c:pt idx="133">
                  <c:v>218.77616239495524</c:v>
                </c:pt>
                <c:pt idx="134">
                  <c:v>223.87211385683412</c:v>
                </c:pt>
                <c:pt idx="135">
                  <c:v>229.08676527677744</c:v>
                </c:pt>
                <c:pt idx="136">
                  <c:v>234.42288153199232</c:v>
                </c:pt>
                <c:pt idx="137">
                  <c:v>239.88329190194912</c:v>
                </c:pt>
                <c:pt idx="138">
                  <c:v>245.4708915685033</c:v>
                </c:pt>
                <c:pt idx="139">
                  <c:v>251.18864315095806</c:v>
                </c:pt>
                <c:pt idx="140">
                  <c:v>257.03957827688663</c:v>
                </c:pt>
                <c:pt idx="141">
                  <c:v>263.02679918953817</c:v>
                </c:pt>
                <c:pt idx="142">
                  <c:v>269.15348039269179</c:v>
                </c:pt>
                <c:pt idx="143">
                  <c:v>275.42287033381683</c:v>
                </c:pt>
                <c:pt idx="144">
                  <c:v>281.83829312644554</c:v>
                </c:pt>
                <c:pt idx="145">
                  <c:v>288.40315031266073</c:v>
                </c:pt>
                <c:pt idx="146">
                  <c:v>295.12092266663871</c:v>
                </c:pt>
                <c:pt idx="147">
                  <c:v>301.99517204020168</c:v>
                </c:pt>
                <c:pt idx="148">
                  <c:v>309.02954325135937</c:v>
                </c:pt>
                <c:pt idx="149">
                  <c:v>316.22776601683825</c:v>
                </c:pt>
                <c:pt idx="150">
                  <c:v>323.59365692962825</c:v>
                </c:pt>
                <c:pt idx="151">
                  <c:v>331.13112148259137</c:v>
                </c:pt>
                <c:pt idx="152">
                  <c:v>338.84415613920277</c:v>
                </c:pt>
                <c:pt idx="153">
                  <c:v>346.73685045253183</c:v>
                </c:pt>
                <c:pt idx="154">
                  <c:v>354.81338923357566</c:v>
                </c:pt>
                <c:pt idx="155">
                  <c:v>363.07805477010152</c:v>
                </c:pt>
                <c:pt idx="156">
                  <c:v>371.53522909717265</c:v>
                </c:pt>
                <c:pt idx="157">
                  <c:v>380.18939632056163</c:v>
                </c:pt>
                <c:pt idx="158">
                  <c:v>389.04514499428063</c:v>
                </c:pt>
                <c:pt idx="159">
                  <c:v>398.10717055349761</c:v>
                </c:pt>
                <c:pt idx="160">
                  <c:v>407.38027780411272</c:v>
                </c:pt>
                <c:pt idx="161">
                  <c:v>416.86938347033572</c:v>
                </c:pt>
                <c:pt idx="162">
                  <c:v>426.57951880159294</c:v>
                </c:pt>
                <c:pt idx="163">
                  <c:v>436.51583224016622</c:v>
                </c:pt>
                <c:pt idx="164">
                  <c:v>446.68359215096331</c:v>
                </c:pt>
                <c:pt idx="165">
                  <c:v>457.0881896148756</c:v>
                </c:pt>
                <c:pt idx="166">
                  <c:v>467.7351412871983</c:v>
                </c:pt>
                <c:pt idx="167">
                  <c:v>478.63009232263886</c:v>
                </c:pt>
                <c:pt idx="168">
                  <c:v>489.77881936844625</c:v>
                </c:pt>
                <c:pt idx="169">
                  <c:v>501.18723362727269</c:v>
                </c:pt>
                <c:pt idx="170">
                  <c:v>512.86138399136519</c:v>
                </c:pt>
                <c:pt idx="171">
                  <c:v>524.80746024977248</c:v>
                </c:pt>
                <c:pt idx="172">
                  <c:v>537.03179637025301</c:v>
                </c:pt>
                <c:pt idx="173">
                  <c:v>549.54087385762534</c:v>
                </c:pt>
                <c:pt idx="174">
                  <c:v>562.34132519034927</c:v>
                </c:pt>
                <c:pt idx="175">
                  <c:v>575.43993733715706</c:v>
                </c:pt>
                <c:pt idx="176">
                  <c:v>588.84365535558959</c:v>
                </c:pt>
                <c:pt idx="177">
                  <c:v>602.55958607435832</c:v>
                </c:pt>
                <c:pt idx="178">
                  <c:v>616.59500186148273</c:v>
                </c:pt>
                <c:pt idx="179">
                  <c:v>630.95734448019323</c:v>
                </c:pt>
                <c:pt idx="180">
                  <c:v>645.65422903465594</c:v>
                </c:pt>
                <c:pt idx="181">
                  <c:v>660.69344800759643</c:v>
                </c:pt>
                <c:pt idx="182">
                  <c:v>676.08297539198213</c:v>
                </c:pt>
                <c:pt idx="183">
                  <c:v>691.83097091893671</c:v>
                </c:pt>
                <c:pt idx="184">
                  <c:v>707.94578438413873</c:v>
                </c:pt>
                <c:pt idx="185">
                  <c:v>724.43596007499025</c:v>
                </c:pt>
                <c:pt idx="186">
                  <c:v>741.31024130091828</c:v>
                </c:pt>
                <c:pt idx="187">
                  <c:v>758.57757502918378</c:v>
                </c:pt>
                <c:pt idx="188">
                  <c:v>776.24711662869231</c:v>
                </c:pt>
                <c:pt idx="189">
                  <c:v>794.32823472428208</c:v>
                </c:pt>
                <c:pt idx="190">
                  <c:v>812.83051616409978</c:v>
                </c:pt>
                <c:pt idx="191">
                  <c:v>831.7637711026714</c:v>
                </c:pt>
                <c:pt idx="192">
                  <c:v>851.13803820237763</c:v>
                </c:pt>
                <c:pt idx="193">
                  <c:v>870.96358995608091</c:v>
                </c:pt>
                <c:pt idx="194">
                  <c:v>891.25093813374656</c:v>
                </c:pt>
                <c:pt idx="195">
                  <c:v>912.01083935590987</c:v>
                </c:pt>
                <c:pt idx="196">
                  <c:v>933.25430079699106</c:v>
                </c:pt>
                <c:pt idx="197">
                  <c:v>954.99258602143675</c:v>
                </c:pt>
                <c:pt idx="198">
                  <c:v>977.23722095581138</c:v>
                </c:pt>
                <c:pt idx="199">
                  <c:v>1000</c:v>
                </c:pt>
                <c:pt idx="200">
                  <c:v>1023.2929922807547</c:v>
                </c:pt>
                <c:pt idx="201">
                  <c:v>1047.1285480509</c:v>
                </c:pt>
                <c:pt idx="202">
                  <c:v>1071.5193052376069</c:v>
                </c:pt>
                <c:pt idx="203">
                  <c:v>1096.4781961431863</c:v>
                </c:pt>
                <c:pt idx="204">
                  <c:v>1122.0184543019636</c:v>
                </c:pt>
                <c:pt idx="205">
                  <c:v>1148.1536214968839</c:v>
                </c:pt>
                <c:pt idx="206">
                  <c:v>1174.8975549395295</c:v>
                </c:pt>
                <c:pt idx="207">
                  <c:v>1202.2644346174138</c:v>
                </c:pt>
                <c:pt idx="208">
                  <c:v>1230.2687708123824</c:v>
                </c:pt>
                <c:pt idx="209">
                  <c:v>1258.925411794168</c:v>
                </c:pt>
                <c:pt idx="210">
                  <c:v>1288.2495516931347</c:v>
                </c:pt>
                <c:pt idx="211">
                  <c:v>1318.2567385564089</c:v>
                </c:pt>
                <c:pt idx="212">
                  <c:v>1348.9628825916541</c:v>
                </c:pt>
                <c:pt idx="213">
                  <c:v>1380.3842646028863</c:v>
                </c:pt>
                <c:pt idx="214">
                  <c:v>1412.5375446227545</c:v>
                </c:pt>
                <c:pt idx="215">
                  <c:v>1445.4397707459289</c:v>
                </c:pt>
                <c:pt idx="216">
                  <c:v>1479.1083881682086</c:v>
                </c:pt>
                <c:pt idx="217">
                  <c:v>1513.5612484362093</c:v>
                </c:pt>
                <c:pt idx="218">
                  <c:v>1548.8166189124822</c:v>
                </c:pt>
                <c:pt idx="219">
                  <c:v>1584.8931924611156</c:v>
                </c:pt>
                <c:pt idx="220">
                  <c:v>1621.8100973589308</c:v>
                </c:pt>
                <c:pt idx="221">
                  <c:v>1659.5869074375626</c:v>
                </c:pt>
                <c:pt idx="222">
                  <c:v>1698.2436524617447</c:v>
                </c:pt>
                <c:pt idx="223">
                  <c:v>1737.8008287493772</c:v>
                </c:pt>
                <c:pt idx="224">
                  <c:v>1778.2794100389244</c:v>
                </c:pt>
                <c:pt idx="225">
                  <c:v>1819.7008586099832</c:v>
                </c:pt>
                <c:pt idx="226">
                  <c:v>1862.0871366628687</c:v>
                </c:pt>
                <c:pt idx="227">
                  <c:v>1905.4607179632501</c:v>
                </c:pt>
                <c:pt idx="228">
                  <c:v>1949.8445997580463</c:v>
                </c:pt>
                <c:pt idx="229">
                  <c:v>1995.2623149688804</c:v>
                </c:pt>
                <c:pt idx="230">
                  <c:v>2041.7379446695318</c:v>
                </c:pt>
                <c:pt idx="231">
                  <c:v>2089.2961308540398</c:v>
                </c:pt>
                <c:pt idx="232">
                  <c:v>2137.9620895022344</c:v>
                </c:pt>
                <c:pt idx="233">
                  <c:v>2187.7616239495528</c:v>
                </c:pt>
                <c:pt idx="234">
                  <c:v>2238.7211385683418</c:v>
                </c:pt>
                <c:pt idx="235">
                  <c:v>2290.8676527677749</c:v>
                </c:pt>
                <c:pt idx="236">
                  <c:v>2344.2288153199238</c:v>
                </c:pt>
                <c:pt idx="237">
                  <c:v>2398.8329190194918</c:v>
                </c:pt>
                <c:pt idx="238">
                  <c:v>2454.7089156850338</c:v>
                </c:pt>
                <c:pt idx="239">
                  <c:v>2511.8864315095811</c:v>
                </c:pt>
                <c:pt idx="240">
                  <c:v>2570.3957827688669</c:v>
                </c:pt>
                <c:pt idx="241">
                  <c:v>2630.2679918953822</c:v>
                </c:pt>
                <c:pt idx="242">
                  <c:v>2691.5348039269184</c:v>
                </c:pt>
                <c:pt idx="243">
                  <c:v>2754.228703338169</c:v>
                </c:pt>
                <c:pt idx="244">
                  <c:v>2818.3829312644561</c:v>
                </c:pt>
                <c:pt idx="245">
                  <c:v>2884.0315031266077</c:v>
                </c:pt>
                <c:pt idx="246">
                  <c:v>2951.2092266663876</c:v>
                </c:pt>
                <c:pt idx="247">
                  <c:v>3019.9517204020176</c:v>
                </c:pt>
                <c:pt idx="248">
                  <c:v>3090.295432513592</c:v>
                </c:pt>
                <c:pt idx="249">
                  <c:v>3162.2776601683804</c:v>
                </c:pt>
                <c:pt idx="250">
                  <c:v>3235.9365692962833</c:v>
                </c:pt>
                <c:pt idx="251">
                  <c:v>3311.3112148259115</c:v>
                </c:pt>
                <c:pt idx="252">
                  <c:v>3388.4415613920314</c:v>
                </c:pt>
                <c:pt idx="253">
                  <c:v>3467.3685045253224</c:v>
                </c:pt>
                <c:pt idx="254">
                  <c:v>3548.1338923357539</c:v>
                </c:pt>
                <c:pt idx="255">
                  <c:v>3630.7805477010188</c:v>
                </c:pt>
                <c:pt idx="256">
                  <c:v>3715.352290971724</c:v>
                </c:pt>
                <c:pt idx="257">
                  <c:v>3801.8939632056172</c:v>
                </c:pt>
                <c:pt idx="258">
                  <c:v>3890.451449942811</c:v>
                </c:pt>
                <c:pt idx="259">
                  <c:v>3981.0717055349769</c:v>
                </c:pt>
                <c:pt idx="260">
                  <c:v>4073.8027780411317</c:v>
                </c:pt>
                <c:pt idx="261">
                  <c:v>4168.6938347033583</c:v>
                </c:pt>
                <c:pt idx="262">
                  <c:v>4265.7951880159299</c:v>
                </c:pt>
                <c:pt idx="263">
                  <c:v>4365.1583224016631</c:v>
                </c:pt>
                <c:pt idx="264">
                  <c:v>4466.8359215096343</c:v>
                </c:pt>
                <c:pt idx="265">
                  <c:v>4570.8818961487532</c:v>
                </c:pt>
                <c:pt idx="266">
                  <c:v>4677.3514128719844</c:v>
                </c:pt>
                <c:pt idx="267">
                  <c:v>4786.3009232263848</c:v>
                </c:pt>
                <c:pt idx="268">
                  <c:v>4897.7881936844633</c:v>
                </c:pt>
                <c:pt idx="269">
                  <c:v>5011.8723362727324</c:v>
                </c:pt>
                <c:pt idx="270">
                  <c:v>5128.6138399136489</c:v>
                </c:pt>
                <c:pt idx="271">
                  <c:v>5248.0746024977261</c:v>
                </c:pt>
                <c:pt idx="272">
                  <c:v>5370.3179637025269</c:v>
                </c:pt>
                <c:pt idx="273">
                  <c:v>5495.4087385762541</c:v>
                </c:pt>
                <c:pt idx="274">
                  <c:v>5623.4132519034993</c:v>
                </c:pt>
                <c:pt idx="275">
                  <c:v>5754.399373371567</c:v>
                </c:pt>
                <c:pt idx="276">
                  <c:v>5888.4365535558973</c:v>
                </c:pt>
                <c:pt idx="277">
                  <c:v>6025.595860743585</c:v>
                </c:pt>
                <c:pt idx="278">
                  <c:v>6165.9500186148289</c:v>
                </c:pt>
                <c:pt idx="279">
                  <c:v>6309.5734448019384</c:v>
                </c:pt>
                <c:pt idx="280">
                  <c:v>6456.5422903465615</c:v>
                </c:pt>
                <c:pt idx="281">
                  <c:v>6606.9344800759654</c:v>
                </c:pt>
                <c:pt idx="282">
                  <c:v>6760.8297539198229</c:v>
                </c:pt>
                <c:pt idx="283">
                  <c:v>6918.3097091893687</c:v>
                </c:pt>
                <c:pt idx="284">
                  <c:v>7079.4578438413828</c:v>
                </c:pt>
                <c:pt idx="285">
                  <c:v>7244.3596007499036</c:v>
                </c:pt>
                <c:pt idx="286">
                  <c:v>7413.1024130091773</c:v>
                </c:pt>
                <c:pt idx="287">
                  <c:v>7585.7757502918394</c:v>
                </c:pt>
                <c:pt idx="288">
                  <c:v>7762.4711662869322</c:v>
                </c:pt>
                <c:pt idx="289">
                  <c:v>7943.2823472428154</c:v>
                </c:pt>
                <c:pt idx="290">
                  <c:v>8128.3051616410066</c:v>
                </c:pt>
                <c:pt idx="291">
                  <c:v>8317.6377110267094</c:v>
                </c:pt>
                <c:pt idx="292">
                  <c:v>8511.3803820237772</c:v>
                </c:pt>
                <c:pt idx="293">
                  <c:v>8709.6358995608189</c:v>
                </c:pt>
                <c:pt idx="294">
                  <c:v>8912.5093813374679</c:v>
                </c:pt>
                <c:pt idx="295">
                  <c:v>9120.1083935591087</c:v>
                </c:pt>
                <c:pt idx="296">
                  <c:v>9332.5430079699217</c:v>
                </c:pt>
                <c:pt idx="297">
                  <c:v>9549.9258602143691</c:v>
                </c:pt>
                <c:pt idx="298">
                  <c:v>9772.3722095581161</c:v>
                </c:pt>
                <c:pt idx="299">
                  <c:v>10000</c:v>
                </c:pt>
                <c:pt idx="300">
                  <c:v>10232.929922807549</c:v>
                </c:pt>
                <c:pt idx="301">
                  <c:v>10471.285480509003</c:v>
                </c:pt>
                <c:pt idx="302">
                  <c:v>10715.193052376071</c:v>
                </c:pt>
                <c:pt idx="303">
                  <c:v>10964.781961431856</c:v>
                </c:pt>
                <c:pt idx="304">
                  <c:v>11220.184543019639</c:v>
                </c:pt>
                <c:pt idx="305">
                  <c:v>11481.536214968832</c:v>
                </c:pt>
                <c:pt idx="306">
                  <c:v>11748.975549395318</c:v>
                </c:pt>
                <c:pt idx="307">
                  <c:v>12022.644346174151</c:v>
                </c:pt>
                <c:pt idx="308">
                  <c:v>12302.687708123816</c:v>
                </c:pt>
                <c:pt idx="309">
                  <c:v>12589.254117941671</c:v>
                </c:pt>
                <c:pt idx="310">
                  <c:v>12882.49551693136</c:v>
                </c:pt>
                <c:pt idx="311">
                  <c:v>13182.567385564091</c:v>
                </c:pt>
                <c:pt idx="312">
                  <c:v>13489.628825916556</c:v>
                </c:pt>
                <c:pt idx="313">
                  <c:v>13803.842646028841</c:v>
                </c:pt>
                <c:pt idx="314">
                  <c:v>14125.375446227561</c:v>
                </c:pt>
                <c:pt idx="315">
                  <c:v>14454.397707459291</c:v>
                </c:pt>
                <c:pt idx="316">
                  <c:v>14791.083881682089</c:v>
                </c:pt>
                <c:pt idx="317">
                  <c:v>15135.612484362096</c:v>
                </c:pt>
                <c:pt idx="318">
                  <c:v>15488.166189124853</c:v>
                </c:pt>
                <c:pt idx="319">
                  <c:v>15848.931924611146</c:v>
                </c:pt>
                <c:pt idx="320">
                  <c:v>16218.100973589309</c:v>
                </c:pt>
                <c:pt idx="321">
                  <c:v>16595.869074375616</c:v>
                </c:pt>
                <c:pt idx="322">
                  <c:v>16982.436524617482</c:v>
                </c:pt>
                <c:pt idx="323">
                  <c:v>17378.008287493791</c:v>
                </c:pt>
                <c:pt idx="324">
                  <c:v>17782.794100389234</c:v>
                </c:pt>
                <c:pt idx="325">
                  <c:v>18197.008586099837</c:v>
                </c:pt>
                <c:pt idx="326">
                  <c:v>18620.871366628675</c:v>
                </c:pt>
                <c:pt idx="327">
                  <c:v>19054.607179632505</c:v>
                </c:pt>
                <c:pt idx="328">
                  <c:v>19498.445997580486</c:v>
                </c:pt>
                <c:pt idx="329">
                  <c:v>19952.623149688792</c:v>
                </c:pt>
                <c:pt idx="330">
                  <c:v>20417.379446695286</c:v>
                </c:pt>
                <c:pt idx="331">
                  <c:v>20892.961308540423</c:v>
                </c:pt>
                <c:pt idx="332">
                  <c:v>21379.620895022348</c:v>
                </c:pt>
                <c:pt idx="333">
                  <c:v>21877.61623949555</c:v>
                </c:pt>
                <c:pt idx="334">
                  <c:v>22387.211385683382</c:v>
                </c:pt>
                <c:pt idx="335">
                  <c:v>22908.676527677751</c:v>
                </c:pt>
                <c:pt idx="336">
                  <c:v>23442.288153199243</c:v>
                </c:pt>
                <c:pt idx="337">
                  <c:v>23988.329190194923</c:v>
                </c:pt>
                <c:pt idx="338">
                  <c:v>24547.089156850321</c:v>
                </c:pt>
                <c:pt idx="339">
                  <c:v>25118.86431509586</c:v>
                </c:pt>
                <c:pt idx="340">
                  <c:v>25703.95782768865</c:v>
                </c:pt>
                <c:pt idx="341">
                  <c:v>26302.679918953829</c:v>
                </c:pt>
                <c:pt idx="342">
                  <c:v>26915.348039269167</c:v>
                </c:pt>
                <c:pt idx="343">
                  <c:v>27542.287033381719</c:v>
                </c:pt>
                <c:pt idx="344">
                  <c:v>28183.829312644593</c:v>
                </c:pt>
                <c:pt idx="345">
                  <c:v>28840.315031266062</c:v>
                </c:pt>
                <c:pt idx="346">
                  <c:v>29512.092266663854</c:v>
                </c:pt>
                <c:pt idx="347">
                  <c:v>30199.517204020212</c:v>
                </c:pt>
                <c:pt idx="348">
                  <c:v>30902.954325135954</c:v>
                </c:pt>
                <c:pt idx="349">
                  <c:v>31622.77660168384</c:v>
                </c:pt>
                <c:pt idx="350">
                  <c:v>32359.365692962871</c:v>
                </c:pt>
                <c:pt idx="351">
                  <c:v>33113.11214825909</c:v>
                </c:pt>
                <c:pt idx="352">
                  <c:v>33884.41561392029</c:v>
                </c:pt>
                <c:pt idx="353">
                  <c:v>34673.685045253202</c:v>
                </c:pt>
                <c:pt idx="354">
                  <c:v>35481.33892335758</c:v>
                </c:pt>
                <c:pt idx="355">
                  <c:v>36307.805477010232</c:v>
                </c:pt>
                <c:pt idx="356">
                  <c:v>37153.522909717351</c:v>
                </c:pt>
                <c:pt idx="357">
                  <c:v>38018.939632056143</c:v>
                </c:pt>
                <c:pt idx="358">
                  <c:v>38904.514499428085</c:v>
                </c:pt>
                <c:pt idx="359">
                  <c:v>39810.717055349742</c:v>
                </c:pt>
                <c:pt idx="360">
                  <c:v>40738.027780411358</c:v>
                </c:pt>
                <c:pt idx="361">
                  <c:v>41686.938347033625</c:v>
                </c:pt>
                <c:pt idx="362">
                  <c:v>42657.951880159271</c:v>
                </c:pt>
                <c:pt idx="363">
                  <c:v>43651.583224016598</c:v>
                </c:pt>
                <c:pt idx="364">
                  <c:v>44668.359215096389</c:v>
                </c:pt>
                <c:pt idx="365">
                  <c:v>45708.818961487581</c:v>
                </c:pt>
                <c:pt idx="366">
                  <c:v>46773.514128719893</c:v>
                </c:pt>
                <c:pt idx="367">
                  <c:v>47863.009232263823</c:v>
                </c:pt>
                <c:pt idx="368">
                  <c:v>48977.881936844598</c:v>
                </c:pt>
                <c:pt idx="369">
                  <c:v>50118.723362727294</c:v>
                </c:pt>
                <c:pt idx="370">
                  <c:v>51286.138399136544</c:v>
                </c:pt>
                <c:pt idx="371">
                  <c:v>52480.746024977314</c:v>
                </c:pt>
                <c:pt idx="372">
                  <c:v>53703.179637025423</c:v>
                </c:pt>
                <c:pt idx="373">
                  <c:v>54954.087385762505</c:v>
                </c:pt>
                <c:pt idx="374">
                  <c:v>56234.132519034953</c:v>
                </c:pt>
                <c:pt idx="375">
                  <c:v>57543.993733715732</c:v>
                </c:pt>
                <c:pt idx="376">
                  <c:v>58884.365535558936</c:v>
                </c:pt>
                <c:pt idx="377">
                  <c:v>60255.95860743591</c:v>
                </c:pt>
                <c:pt idx="378">
                  <c:v>61659.500186148245</c:v>
                </c:pt>
                <c:pt idx="379">
                  <c:v>63095.734448019342</c:v>
                </c:pt>
                <c:pt idx="380">
                  <c:v>64565.422903465682</c:v>
                </c:pt>
                <c:pt idx="381">
                  <c:v>66069.344800759733</c:v>
                </c:pt>
                <c:pt idx="382">
                  <c:v>67608.297539198305</c:v>
                </c:pt>
                <c:pt idx="383">
                  <c:v>69183.097091893651</c:v>
                </c:pt>
                <c:pt idx="384">
                  <c:v>70794.578438413781</c:v>
                </c:pt>
                <c:pt idx="385">
                  <c:v>72443.596007499116</c:v>
                </c:pt>
                <c:pt idx="386">
                  <c:v>74131.024130091857</c:v>
                </c:pt>
                <c:pt idx="387">
                  <c:v>75857.757502918481</c:v>
                </c:pt>
                <c:pt idx="388">
                  <c:v>77624.711662869129</c:v>
                </c:pt>
                <c:pt idx="389">
                  <c:v>79432.823472428237</c:v>
                </c:pt>
                <c:pt idx="390">
                  <c:v>81283.051616410012</c:v>
                </c:pt>
                <c:pt idx="391">
                  <c:v>83176.377110267174</c:v>
                </c:pt>
                <c:pt idx="392">
                  <c:v>85113.803820237721</c:v>
                </c:pt>
                <c:pt idx="393">
                  <c:v>87096.358995608127</c:v>
                </c:pt>
                <c:pt idx="394">
                  <c:v>89125.093813374609</c:v>
                </c:pt>
                <c:pt idx="395">
                  <c:v>91201.083935591028</c:v>
                </c:pt>
                <c:pt idx="396">
                  <c:v>93325.430079699145</c:v>
                </c:pt>
                <c:pt idx="397">
                  <c:v>95499.258602143804</c:v>
                </c:pt>
                <c:pt idx="398">
                  <c:v>97723.722095581266</c:v>
                </c:pt>
                <c:pt idx="399">
                  <c:v>100000</c:v>
                </c:pt>
                <c:pt idx="400">
                  <c:v>102329.29922807543</c:v>
                </c:pt>
                <c:pt idx="401">
                  <c:v>104712.85480508996</c:v>
                </c:pt>
                <c:pt idx="402">
                  <c:v>107151.93052376082</c:v>
                </c:pt>
                <c:pt idx="403">
                  <c:v>109647.81961431868</c:v>
                </c:pt>
                <c:pt idx="404">
                  <c:v>112201.84543019651</c:v>
                </c:pt>
                <c:pt idx="405">
                  <c:v>114815.36214968823</c:v>
                </c:pt>
                <c:pt idx="406">
                  <c:v>117489.75549395311</c:v>
                </c:pt>
                <c:pt idx="407">
                  <c:v>120226.44346174144</c:v>
                </c:pt>
                <c:pt idx="408">
                  <c:v>123026.87708123829</c:v>
                </c:pt>
                <c:pt idx="409">
                  <c:v>125892.54117941685</c:v>
                </c:pt>
                <c:pt idx="410">
                  <c:v>128824.95516931375</c:v>
                </c:pt>
                <c:pt idx="411">
                  <c:v>131825.67385564081</c:v>
                </c:pt>
                <c:pt idx="412">
                  <c:v>134896.28825916545</c:v>
                </c:pt>
                <c:pt idx="413">
                  <c:v>138038.42646028858</c:v>
                </c:pt>
                <c:pt idx="414">
                  <c:v>141253.75446227577</c:v>
                </c:pt>
                <c:pt idx="415">
                  <c:v>144543.97707459307</c:v>
                </c:pt>
                <c:pt idx="416">
                  <c:v>147910.83881682079</c:v>
                </c:pt>
                <c:pt idx="417">
                  <c:v>151356.12484362084</c:v>
                </c:pt>
                <c:pt idx="418">
                  <c:v>154881.66189124843</c:v>
                </c:pt>
                <c:pt idx="419">
                  <c:v>158489.31924611164</c:v>
                </c:pt>
                <c:pt idx="420">
                  <c:v>162181.00973589328</c:v>
                </c:pt>
                <c:pt idx="421">
                  <c:v>165958.69074375604</c:v>
                </c:pt>
                <c:pt idx="422">
                  <c:v>169824.36524617471</c:v>
                </c:pt>
                <c:pt idx="423">
                  <c:v>173780.0828749378</c:v>
                </c:pt>
                <c:pt idx="424">
                  <c:v>177827.94100389251</c:v>
                </c:pt>
                <c:pt idx="425">
                  <c:v>181970.08586099857</c:v>
                </c:pt>
                <c:pt idx="426">
                  <c:v>186208.71366628664</c:v>
                </c:pt>
                <c:pt idx="427">
                  <c:v>190546.07179632492</c:v>
                </c:pt>
                <c:pt idx="428">
                  <c:v>194984.45997580473</c:v>
                </c:pt>
                <c:pt idx="429">
                  <c:v>199526.23149688813</c:v>
                </c:pt>
                <c:pt idx="430">
                  <c:v>204173.79446695308</c:v>
                </c:pt>
                <c:pt idx="431">
                  <c:v>208929.61308540447</c:v>
                </c:pt>
                <c:pt idx="432">
                  <c:v>213796.20895022334</c:v>
                </c:pt>
                <c:pt idx="433">
                  <c:v>218776.16239495538</c:v>
                </c:pt>
                <c:pt idx="434">
                  <c:v>223872.11385683404</c:v>
                </c:pt>
                <c:pt idx="435">
                  <c:v>229086.76527677779</c:v>
                </c:pt>
                <c:pt idx="436">
                  <c:v>234422.88153199267</c:v>
                </c:pt>
                <c:pt idx="437">
                  <c:v>239883.29190194907</c:v>
                </c:pt>
                <c:pt idx="438">
                  <c:v>245470.89156850305</c:v>
                </c:pt>
                <c:pt idx="439">
                  <c:v>251188.64315095844</c:v>
                </c:pt>
                <c:pt idx="440">
                  <c:v>257039.57827688678</c:v>
                </c:pt>
                <c:pt idx="441">
                  <c:v>263026.79918953858</c:v>
                </c:pt>
                <c:pt idx="442">
                  <c:v>269153.48039269145</c:v>
                </c:pt>
                <c:pt idx="443">
                  <c:v>275422.87033381703</c:v>
                </c:pt>
                <c:pt idx="444">
                  <c:v>281838.29312644573</c:v>
                </c:pt>
                <c:pt idx="445">
                  <c:v>288403.1503126609</c:v>
                </c:pt>
                <c:pt idx="446">
                  <c:v>295120.92266663886</c:v>
                </c:pt>
                <c:pt idx="447">
                  <c:v>301995.17204020242</c:v>
                </c:pt>
                <c:pt idx="448">
                  <c:v>309029.54325135931</c:v>
                </c:pt>
                <c:pt idx="449">
                  <c:v>316227.7660168382</c:v>
                </c:pt>
                <c:pt idx="450">
                  <c:v>323593.65692962846</c:v>
                </c:pt>
                <c:pt idx="451">
                  <c:v>331131.12148259126</c:v>
                </c:pt>
                <c:pt idx="452">
                  <c:v>338844.15613920329</c:v>
                </c:pt>
                <c:pt idx="453">
                  <c:v>346736.85045253241</c:v>
                </c:pt>
                <c:pt idx="454">
                  <c:v>354813.38923357555</c:v>
                </c:pt>
                <c:pt idx="455">
                  <c:v>363078.05477010203</c:v>
                </c:pt>
                <c:pt idx="456">
                  <c:v>371535.2290971732</c:v>
                </c:pt>
                <c:pt idx="457">
                  <c:v>380189.39632056188</c:v>
                </c:pt>
                <c:pt idx="458">
                  <c:v>389045.14499428123</c:v>
                </c:pt>
                <c:pt idx="459">
                  <c:v>398107.17055349716</c:v>
                </c:pt>
                <c:pt idx="460">
                  <c:v>407380.27780411334</c:v>
                </c:pt>
                <c:pt idx="461">
                  <c:v>416869.38347033598</c:v>
                </c:pt>
                <c:pt idx="462">
                  <c:v>426579.51880159322</c:v>
                </c:pt>
                <c:pt idx="463">
                  <c:v>436515.83224016649</c:v>
                </c:pt>
                <c:pt idx="464">
                  <c:v>446683.59215096442</c:v>
                </c:pt>
                <c:pt idx="465">
                  <c:v>457088.18961487547</c:v>
                </c:pt>
                <c:pt idx="466">
                  <c:v>467735.14128719864</c:v>
                </c:pt>
                <c:pt idx="467">
                  <c:v>478630.09232263872</c:v>
                </c:pt>
                <c:pt idx="468">
                  <c:v>489778.81936844654</c:v>
                </c:pt>
                <c:pt idx="469">
                  <c:v>501187.23362727347</c:v>
                </c:pt>
                <c:pt idx="470">
                  <c:v>512861.38399136515</c:v>
                </c:pt>
                <c:pt idx="471">
                  <c:v>524807.46024977288</c:v>
                </c:pt>
                <c:pt idx="472">
                  <c:v>537031.7963702539</c:v>
                </c:pt>
                <c:pt idx="473">
                  <c:v>549540.87385762564</c:v>
                </c:pt>
                <c:pt idx="474">
                  <c:v>562341.32519035018</c:v>
                </c:pt>
                <c:pt idx="475">
                  <c:v>575439.93733715697</c:v>
                </c:pt>
                <c:pt idx="476">
                  <c:v>588843.65535558888</c:v>
                </c:pt>
                <c:pt idx="477">
                  <c:v>602559.58607435878</c:v>
                </c:pt>
                <c:pt idx="478">
                  <c:v>616595.00186148309</c:v>
                </c:pt>
                <c:pt idx="479">
                  <c:v>630957.34448019415</c:v>
                </c:pt>
                <c:pt idx="480">
                  <c:v>645654.22903465747</c:v>
                </c:pt>
                <c:pt idx="481">
                  <c:v>660693.44800759677</c:v>
                </c:pt>
                <c:pt idx="482">
                  <c:v>676082.97539198259</c:v>
                </c:pt>
                <c:pt idx="483">
                  <c:v>691830.97091893724</c:v>
                </c:pt>
                <c:pt idx="484">
                  <c:v>707945.78438413853</c:v>
                </c:pt>
                <c:pt idx="485">
                  <c:v>724435.96007499192</c:v>
                </c:pt>
                <c:pt idx="486">
                  <c:v>741310.24130091805</c:v>
                </c:pt>
                <c:pt idx="487">
                  <c:v>758577.57502918423</c:v>
                </c:pt>
                <c:pt idx="488">
                  <c:v>776247.11662869214</c:v>
                </c:pt>
                <c:pt idx="489">
                  <c:v>794328.23472428333</c:v>
                </c:pt>
                <c:pt idx="490">
                  <c:v>812830.51616410096</c:v>
                </c:pt>
                <c:pt idx="491">
                  <c:v>831763.77110267128</c:v>
                </c:pt>
                <c:pt idx="492">
                  <c:v>851138.03820237669</c:v>
                </c:pt>
                <c:pt idx="493">
                  <c:v>870963.58995608077</c:v>
                </c:pt>
                <c:pt idx="494">
                  <c:v>891250.93813374708</c:v>
                </c:pt>
                <c:pt idx="495">
                  <c:v>912010.83935591124</c:v>
                </c:pt>
                <c:pt idx="496">
                  <c:v>933254.30079699249</c:v>
                </c:pt>
                <c:pt idx="497">
                  <c:v>954992.58602143743</c:v>
                </c:pt>
                <c:pt idx="498">
                  <c:v>977237.22095581202</c:v>
                </c:pt>
                <c:pt idx="499">
                  <c:v>1000000</c:v>
                </c:pt>
                <c:pt idx="500">
                  <c:v>1023292.9922807553</c:v>
                </c:pt>
                <c:pt idx="501">
                  <c:v>1047128.5480509007</c:v>
                </c:pt>
                <c:pt idx="502">
                  <c:v>1071519.3052376076</c:v>
                </c:pt>
                <c:pt idx="503">
                  <c:v>1096478.196143186</c:v>
                </c:pt>
                <c:pt idx="504">
                  <c:v>1122018.4543019643</c:v>
                </c:pt>
                <c:pt idx="505">
                  <c:v>1148153.6214968837</c:v>
                </c:pt>
                <c:pt idx="506">
                  <c:v>1174897.5549395324</c:v>
                </c:pt>
                <c:pt idx="507">
                  <c:v>1202264.4346174158</c:v>
                </c:pt>
                <c:pt idx="508">
                  <c:v>1230268.770812382</c:v>
                </c:pt>
                <c:pt idx="509">
                  <c:v>1258925.4117941677</c:v>
                </c:pt>
                <c:pt idx="510">
                  <c:v>1288249.5516931366</c:v>
                </c:pt>
                <c:pt idx="511">
                  <c:v>1318256.7385564097</c:v>
                </c:pt>
                <c:pt idx="512">
                  <c:v>1348962.8825916562</c:v>
                </c:pt>
                <c:pt idx="513">
                  <c:v>1380384.2646028849</c:v>
                </c:pt>
                <c:pt idx="514">
                  <c:v>1412537.5446227565</c:v>
                </c:pt>
                <c:pt idx="515">
                  <c:v>1445439.7707459298</c:v>
                </c:pt>
                <c:pt idx="516">
                  <c:v>1479108.3881682095</c:v>
                </c:pt>
                <c:pt idx="517">
                  <c:v>1513561.2484362102</c:v>
                </c:pt>
                <c:pt idx="518">
                  <c:v>1548816.6189124861</c:v>
                </c:pt>
                <c:pt idx="519">
                  <c:v>1584893.1924611153</c:v>
                </c:pt>
                <c:pt idx="520">
                  <c:v>1621810.0973589318</c:v>
                </c:pt>
                <c:pt idx="521">
                  <c:v>1659586.9074375622</c:v>
                </c:pt>
                <c:pt idx="522">
                  <c:v>1698243.6524617488</c:v>
                </c:pt>
                <c:pt idx="523">
                  <c:v>1737800.8287493798</c:v>
                </c:pt>
                <c:pt idx="524">
                  <c:v>1778279.4100389241</c:v>
                </c:pt>
                <c:pt idx="525">
                  <c:v>1819700.8586099846</c:v>
                </c:pt>
                <c:pt idx="526">
                  <c:v>1862087.1366628683</c:v>
                </c:pt>
                <c:pt idx="527">
                  <c:v>1905460.7179632513</c:v>
                </c:pt>
                <c:pt idx="528">
                  <c:v>1949844.5997580495</c:v>
                </c:pt>
                <c:pt idx="529">
                  <c:v>1995262.31496888</c:v>
                </c:pt>
                <c:pt idx="530">
                  <c:v>2041737.9446695296</c:v>
                </c:pt>
                <c:pt idx="531">
                  <c:v>2089296.1308540432</c:v>
                </c:pt>
                <c:pt idx="532">
                  <c:v>2137962.0895022359</c:v>
                </c:pt>
                <c:pt idx="533">
                  <c:v>2187761.6239495561</c:v>
                </c:pt>
                <c:pt idx="534">
                  <c:v>2238721.1385683389</c:v>
                </c:pt>
                <c:pt idx="535">
                  <c:v>2290867.6527677765</c:v>
                </c:pt>
                <c:pt idx="536">
                  <c:v>2344228.8153199251</c:v>
                </c:pt>
                <c:pt idx="537">
                  <c:v>2398832.9190194933</c:v>
                </c:pt>
                <c:pt idx="538">
                  <c:v>2454708.915685033</c:v>
                </c:pt>
                <c:pt idx="539">
                  <c:v>2511886.431509587</c:v>
                </c:pt>
                <c:pt idx="540">
                  <c:v>2570395.782768866</c:v>
                </c:pt>
                <c:pt idx="541">
                  <c:v>2630267.9918953842</c:v>
                </c:pt>
              </c:numCache>
            </c:numRef>
          </c:xVal>
          <c:yVal>
            <c:numRef>
              <c:f>CCM_Loop_Modeling_non_isolated!$AU$19:$AU$560</c:f>
              <c:numCache>
                <c:formatCode>General</c:formatCode>
                <c:ptCount val="542"/>
                <c:pt idx="0">
                  <c:v>77.116168549263108</c:v>
                </c:pt>
                <c:pt idx="1">
                  <c:v>76.838147260622776</c:v>
                </c:pt>
                <c:pt idx="2">
                  <c:v>76.555114197987407</c:v>
                </c:pt>
                <c:pt idx="3">
                  <c:v>76.267044419530237</c:v>
                </c:pt>
                <c:pt idx="4">
                  <c:v>75.973917570992597</c:v>
                </c:pt>
                <c:pt idx="5">
                  <c:v>75.675718219632017</c:v>
                </c:pt>
                <c:pt idx="6">
                  <c:v>75.372436198944484</c:v>
                </c:pt>
                <c:pt idx="7">
                  <c:v>75.064066963592495</c:v>
                </c:pt>
                <c:pt idx="8">
                  <c:v>74.75061195385058</c:v>
                </c:pt>
                <c:pt idx="9">
                  <c:v>74.432078968742601</c:v>
                </c:pt>
                <c:pt idx="10">
                  <c:v>74.108482546910892</c:v>
                </c:pt>
                <c:pt idx="11">
                  <c:v>73.779844354103417</c:v>
                </c:pt>
                <c:pt idx="12">
                  <c:v>73.446193576019922</c:v>
                </c:pt>
                <c:pt idx="13">
                  <c:v>73.107567315081084</c:v>
                </c:pt>
                <c:pt idx="14">
                  <c:v>72.764010989536089</c:v>
                </c:pt>
                <c:pt idx="15">
                  <c:v>72.415578733136797</c:v>
                </c:pt>
                <c:pt idx="16">
                  <c:v>72.062333793443884</c:v>
                </c:pt>
                <c:pt idx="17">
                  <c:v>71.704348926650226</c:v>
                </c:pt>
                <c:pt idx="18">
                  <c:v>71.341706786636934</c:v>
                </c:pt>
                <c:pt idx="19">
                  <c:v>70.974500305802962</c:v>
                </c:pt>
                <c:pt idx="20">
                  <c:v>70.602833065051257</c:v>
                </c:pt>
                <c:pt idx="21">
                  <c:v>70.226819650151029</c:v>
                </c:pt>
                <c:pt idx="22">
                  <c:v>69.846585991560943</c:v>
                </c:pt>
                <c:pt idx="23">
                  <c:v>69.4622696846574</c:v>
                </c:pt>
                <c:pt idx="24">
                  <c:v>69.074020287210459</c:v>
                </c:pt>
                <c:pt idx="25">
                  <c:v>68.681999590850452</c:v>
                </c:pt>
                <c:pt idx="26">
                  <c:v>68.286381863209201</c:v>
                </c:pt>
                <c:pt idx="27">
                  <c:v>67.887354057373074</c:v>
                </c:pt>
                <c:pt idx="28">
                  <c:v>67.485115985283826</c:v>
                </c:pt>
                <c:pt idx="29">
                  <c:v>67.079880451745893</c:v>
                </c:pt>
                <c:pt idx="30">
                  <c:v>66.671873345759508</c:v>
                </c:pt>
                <c:pt idx="31">
                  <c:v>66.261333686005045</c:v>
                </c:pt>
                <c:pt idx="32">
                  <c:v>65.848513617443459</c:v>
                </c:pt>
                <c:pt idx="33">
                  <c:v>65.433678356182611</c:v>
                </c:pt>
                <c:pt idx="34">
                  <c:v>65.017106079988451</c:v>
                </c:pt>
                <c:pt idx="35">
                  <c:v>64.599087762092935</c:v>
                </c:pt>
                <c:pt idx="36">
                  <c:v>64.179926946259855</c:v>
                </c:pt>
                <c:pt idx="37">
                  <c:v>63.759939461431379</c:v>
                </c:pt>
                <c:pt idx="38">
                  <c:v>63.339453074666388</c:v>
                </c:pt>
                <c:pt idx="39">
                  <c:v>62.918807081513449</c:v>
                </c:pt>
                <c:pt idx="40">
                  <c:v>62.498351833419825</c:v>
                </c:pt>
                <c:pt idx="41">
                  <c:v>62.078448202266728</c:v>
                </c:pt>
                <c:pt idx="42">
                  <c:v>61.659466982623371</c:v>
                </c:pt>
                <c:pt idx="43">
                  <c:v>61.241788232835908</c:v>
                </c:pt>
                <c:pt idx="44">
                  <c:v>60.825800556591503</c:v>
                </c:pt>
                <c:pt idx="45">
                  <c:v>60.411900327122687</c:v>
                </c:pt>
                <c:pt idx="46">
                  <c:v>60.000490856733585</c:v>
                </c:pt>
                <c:pt idx="47">
                  <c:v>59.591981514826074</c:v>
                </c:pt>
                <c:pt idx="48">
                  <c:v>59.186786798077982</c:v>
                </c:pt>
                <c:pt idx="49">
                  <c:v>58.785325356862515</c:v>
                </c:pt>
                <c:pt idx="50">
                  <c:v>58.388018982395486</c:v>
                </c:pt>
                <c:pt idx="51">
                  <c:v>57.995291559448738</c:v>
                </c:pt>
                <c:pt idx="52">
                  <c:v>57.607567989764043</c:v>
                </c:pt>
                <c:pt idx="53">
                  <c:v>57.225273091532287</c:v>
                </c:pt>
                <c:pt idx="54">
                  <c:v>56.84883048049285</c:v>
                </c:pt>
                <c:pt idx="55">
                  <c:v>56.478661438297145</c:v>
                </c:pt>
                <c:pt idx="56">
                  <c:v>56.115183773844436</c:v>
                </c:pt>
                <c:pt idx="57">
                  <c:v>55.758810683252008</c:v>
                </c:pt>
                <c:pt idx="58">
                  <c:v>55.409949614062057</c:v>
                </c:pt>
                <c:pt idx="59">
                  <c:v>55.069001139105318</c:v>
                </c:pt>
                <c:pt idx="60">
                  <c:v>54.736357845259484</c:v>
                </c:pt>
                <c:pt idx="61">
                  <c:v>54.412403242069274</c:v>
                </c:pt>
                <c:pt idx="62">
                  <c:v>54.097510694884676</c:v>
                </c:pt>
                <c:pt idx="63">
                  <c:v>53.792042386838681</c:v>
                </c:pt>
                <c:pt idx="64">
                  <c:v>53.496348313597338</c:v>
                </c:pt>
                <c:pt idx="65">
                  <c:v>53.210765314422872</c:v>
                </c:pt>
                <c:pt idx="66">
                  <c:v>52.935616142675663</c:v>
                </c:pt>
                <c:pt idx="67">
                  <c:v>52.671208578449459</c:v>
                </c:pt>
                <c:pt idx="68">
                  <c:v>52.41783458563679</c:v>
                </c:pt>
                <c:pt idx="69">
                  <c:v>52.175769515290284</c:v>
                </c:pt>
                <c:pt idx="70">
                  <c:v>51.945271356773098</c:v>
                </c:pt>
                <c:pt idx="71">
                  <c:v>51.726580037818557</c:v>
                </c:pt>
                <c:pt idx="72">
                  <c:v>51.519916774283558</c:v>
                </c:pt>
                <c:pt idx="73">
                  <c:v>51.325483470079497</c:v>
                </c:pt>
                <c:pt idx="74">
                  <c:v>51.143462167511309</c:v>
                </c:pt>
                <c:pt idx="75">
                  <c:v>50.974014548019142</c:v>
                </c:pt>
                <c:pt idx="76">
                  <c:v>50.817281483155604</c:v>
                </c:pt>
                <c:pt idx="77">
                  <c:v>50.673382635490157</c:v>
                </c:pt>
                <c:pt idx="78">
                  <c:v>50.542416109038832</c:v>
                </c:pt>
                <c:pt idx="79">
                  <c:v>50.4244581487741</c:v>
                </c:pt>
                <c:pt idx="80">
                  <c:v>50.319562888754966</c:v>
                </c:pt>
                <c:pt idx="81">
                  <c:v>50.227762148430557</c:v>
                </c:pt>
                <c:pt idx="82">
                  <c:v>50.149065276737517</c:v>
                </c:pt>
                <c:pt idx="83">
                  <c:v>50.083459043677784</c:v>
                </c:pt>
                <c:pt idx="84">
                  <c:v>50.030907579158601</c:v>
                </c:pt>
                <c:pt idx="85">
                  <c:v>49.991352358988109</c:v>
                </c:pt>
                <c:pt idx="86">
                  <c:v>49.964712238035347</c:v>
                </c:pt>
                <c:pt idx="87">
                  <c:v>49.950883530671938</c:v>
                </c:pt>
                <c:pt idx="88">
                  <c:v>49.949740138724003</c:v>
                </c:pt>
                <c:pt idx="89">
                  <c:v>49.961133727256602</c:v>
                </c:pt>
                <c:pt idx="90">
                  <c:v>49.984893948587917</c:v>
                </c:pt>
                <c:pt idx="91">
                  <c:v>50.020828714973696</c:v>
                </c:pt>
                <c:pt idx="92">
                  <c:v>50.068724520429583</c:v>
                </c:pt>
                <c:pt idx="93">
                  <c:v>50.12834681214396</c:v>
                </c:pt>
                <c:pt idx="94">
                  <c:v>50.199440411866888</c:v>
                </c:pt>
                <c:pt idx="95">
                  <c:v>50.281729987584626</c:v>
                </c:pt>
                <c:pt idx="96">
                  <c:v>50.374920575636082</c:v>
                </c:pt>
                <c:pt idx="97">
                  <c:v>50.478698153259458</c:v>
                </c:pt>
                <c:pt idx="98">
                  <c:v>50.592730261322899</c:v>
                </c:pt>
                <c:pt idx="99">
                  <c:v>50.71666667673481</c:v>
                </c:pt>
                <c:pt idx="100">
                  <c:v>50.850140133729504</c:v>
                </c:pt>
                <c:pt idx="101">
                  <c:v>50.992767092875596</c:v>
                </c:pt>
                <c:pt idx="102">
                  <c:v>51.144148556299982</c:v>
                </c:pt>
                <c:pt idx="103">
                  <c:v>51.303870927221375</c:v>
                </c:pt>
                <c:pt idx="104">
                  <c:v>51.471506911483466</c:v>
                </c:pt>
                <c:pt idx="105">
                  <c:v>51.646616458360405</c:v>
                </c:pt>
                <c:pt idx="106">
                  <c:v>51.828747737487397</c:v>
                </c:pt>
                <c:pt idx="107">
                  <c:v>52.017438148361975</c:v>
                </c:pt>
                <c:pt idx="108">
                  <c:v>52.212215358459147</c:v>
                </c:pt>
                <c:pt idx="109">
                  <c:v>52.412598365639901</c:v>
                </c:pt>
                <c:pt idx="110">
                  <c:v>52.618098580186114</c:v>
                </c:pt>
                <c:pt idx="111">
                  <c:v>52.828220921499074</c:v>
                </c:pt>
                <c:pt idx="112">
                  <c:v>53.042464924247497</c:v>
                </c:pt>
                <c:pt idx="113">
                  <c:v>53.260325848546771</c:v>
                </c:pt>
                <c:pt idx="114">
                  <c:v>53.481295788619434</c:v>
                </c:pt>
                <c:pt idx="115">
                  <c:v>53.704864774299196</c:v>
                </c:pt>
                <c:pt idx="116">
                  <c:v>53.930521859735784</c:v>
                </c:pt>
                <c:pt idx="117">
                  <c:v>54.157756193709638</c:v>
                </c:pt>
                <c:pt idx="118">
                  <c:v>54.386058066083514</c:v>
                </c:pt>
                <c:pt idx="119">
                  <c:v>54.614919925109312</c:v>
                </c:pt>
                <c:pt idx="120">
                  <c:v>54.843837360552108</c:v>
                </c:pt>
                <c:pt idx="121">
                  <c:v>55.072310047904729</c:v>
                </c:pt>
                <c:pt idx="122">
                  <c:v>55.299842649320318</c:v>
                </c:pt>
                <c:pt idx="123">
                  <c:v>55.525945667309884</c:v>
                </c:pt>
                <c:pt idx="124">
                  <c:v>55.750136247686555</c:v>
                </c:pt>
                <c:pt idx="125">
                  <c:v>55.971938928731795</c:v>
                </c:pt>
                <c:pt idx="126">
                  <c:v>56.190886334059989</c:v>
                </c:pt>
                <c:pt idx="127">
                  <c:v>56.406519807181411</c:v>
                </c:pt>
                <c:pt idx="128">
                  <c:v>56.618389986301324</c:v>
                </c:pt>
                <c:pt idx="129">
                  <c:v>56.82605731842196</c:v>
                </c:pt>
                <c:pt idx="130">
                  <c:v>57.029092512342459</c:v>
                </c:pt>
                <c:pt idx="131">
                  <c:v>57.227076930669305</c:v>
                </c:pt>
                <c:pt idx="132">
                  <c:v>57.419602921434397</c:v>
                </c:pt>
                <c:pt idx="133">
                  <c:v>57.60627409039455</c:v>
                </c:pt>
                <c:pt idx="134">
                  <c:v>57.786705515511748</c:v>
                </c:pt>
                <c:pt idx="135">
                  <c:v>57.960523905520851</c:v>
                </c:pt>
                <c:pt idx="136">
                  <c:v>58.1273677048504</c:v>
                </c:pt>
                <c:pt idx="137">
                  <c:v>58.286887147480492</c:v>
                </c:pt>
                <c:pt idx="138">
                  <c:v>58.438744262602789</c:v>
                </c:pt>
                <c:pt idx="139">
                  <c:v>58.582612835182402</c:v>
                </c:pt>
                <c:pt idx="140">
                  <c:v>58.718178324710912</c:v>
                </c:pt>
                <c:pt idx="141">
                  <c:v>58.845137745592716</c:v>
                </c:pt>
                <c:pt idx="142">
                  <c:v>58.963199512714191</c:v>
                </c:pt>
                <c:pt idx="143">
                  <c:v>59.072083255813219</c:v>
                </c:pt>
                <c:pt idx="144">
                  <c:v>59.171519606309019</c:v>
                </c:pt>
                <c:pt idx="145">
                  <c:v>59.261249960237748</c:v>
                </c:pt>
                <c:pt idx="146">
                  <c:v>59.341026220923396</c:v>
                </c:pt>
                <c:pt idx="147">
                  <c:v>59.410610524944673</c:v>
                </c:pt>
                <c:pt idx="148">
                  <c:v>59.469774954879703</c:v>
                </c:pt>
                <c:pt idx="149">
                  <c:v>59.518301242205943</c:v>
                </c:pt>
                <c:pt idx="150">
                  <c:v>59.555980463609117</c:v>
                </c:pt>
                <c:pt idx="151">
                  <c:v>59.582612733815061</c:v>
                </c:pt>
                <c:pt idx="152">
                  <c:v>59.598006897912185</c:v>
                </c:pt>
                <c:pt idx="153">
                  <c:v>59.601980225972</c:v>
                </c:pt>
                <c:pt idx="154">
                  <c:v>59.5943581126024</c:v>
                </c:pt>
                <c:pt idx="155">
                  <c:v>59.574973783903758</c:v>
                </c:pt>
                <c:pt idx="156">
                  <c:v>59.543668014116939</c:v>
                </c:pt>
                <c:pt idx="157">
                  <c:v>59.500288854080885</c:v>
                </c:pt>
                <c:pt idx="158">
                  <c:v>59.44469137343193</c:v>
                </c:pt>
                <c:pt idx="159">
                  <c:v>59.376737418314406</c:v>
                </c:pt>
                <c:pt idx="160">
                  <c:v>59.296295386184404</c:v>
                </c:pt>
                <c:pt idx="161">
                  <c:v>59.203240019125317</c:v>
                </c:pt>
                <c:pt idx="162">
                  <c:v>59.097452216928005</c:v>
                </c:pt>
                <c:pt idx="163">
                  <c:v>58.978818871011264</c:v>
                </c:pt>
                <c:pt idx="164">
                  <c:v>58.847232720112906</c:v>
                </c:pt>
                <c:pt idx="165">
                  <c:v>58.702592228508436</c:v>
                </c:pt>
                <c:pt idx="166">
                  <c:v>58.544801487365874</c:v>
                </c:pt>
                <c:pt idx="167">
                  <c:v>58.373770139691707</c:v>
                </c:pt>
                <c:pt idx="168">
                  <c:v>58.189413329168254</c:v>
                </c:pt>
                <c:pt idx="169">
                  <c:v>57.991651673031114</c:v>
                </c:pt>
                <c:pt idx="170">
                  <c:v>57.780411258991847</c:v>
                </c:pt>
                <c:pt idx="171">
                  <c:v>57.555623666055837</c:v>
                </c:pt>
                <c:pt idx="172">
                  <c:v>57.317226008934924</c:v>
                </c:pt>
                <c:pt idx="173">
                  <c:v>57.065161005607848</c:v>
                </c:pt>
                <c:pt idx="174">
                  <c:v>56.799377067422306</c:v>
                </c:pt>
                <c:pt idx="175">
                  <c:v>56.519828410982207</c:v>
                </c:pt>
                <c:pt idx="176">
                  <c:v>56.226475190905354</c:v>
                </c:pt>
                <c:pt idx="177">
                  <c:v>55.919283652372521</c:v>
                </c:pt>
                <c:pt idx="178">
                  <c:v>55.598226302231311</c:v>
                </c:pt>
                <c:pt idx="179">
                  <c:v>55.263282097251228</c:v>
                </c:pt>
                <c:pt idx="180">
                  <c:v>54.914436647954638</c:v>
                </c:pt>
                <c:pt idx="181">
                  <c:v>54.551682436284686</c:v>
                </c:pt>
                <c:pt idx="182">
                  <c:v>54.17501904519623</c:v>
                </c:pt>
                <c:pt idx="183">
                  <c:v>53.784453398088502</c:v>
                </c:pt>
                <c:pt idx="184">
                  <c:v>53.380000005825217</c:v>
                </c:pt>
                <c:pt idx="185">
                  <c:v>52.961681218925257</c:v>
                </c:pt>
                <c:pt idx="186">
                  <c:v>52.529527482343035</c:v>
                </c:pt>
                <c:pt idx="187">
                  <c:v>52.083577590103097</c:v>
                </c:pt>
                <c:pt idx="188">
                  <c:v>51.623878936906038</c:v>
                </c:pt>
                <c:pt idx="189">
                  <c:v>51.150487763692603</c:v>
                </c:pt>
                <c:pt idx="190">
                  <c:v>50.663469394025796</c:v>
                </c:pt>
                <c:pt idx="191">
                  <c:v>50.162898458054208</c:v>
                </c:pt>
                <c:pt idx="192">
                  <c:v>49.648859100735002</c:v>
                </c:pt>
                <c:pt idx="193">
                  <c:v>49.121445170933811</c:v>
                </c:pt>
                <c:pt idx="194">
                  <c:v>48.580760387990608</c:v>
                </c:pt>
                <c:pt idx="195">
                  <c:v>48.026918482334722</c:v>
                </c:pt>
                <c:pt idx="196">
                  <c:v>47.460043306766224</c:v>
                </c:pt>
                <c:pt idx="197">
                  <c:v>46.880268915083583</c:v>
                </c:pt>
                <c:pt idx="198">
                  <c:v>46.287739604846564</c:v>
                </c:pt>
                <c:pt idx="199">
                  <c:v>45.682609921203117</c:v>
                </c:pt>
                <c:pt idx="200">
                  <c:v>45.065044618900529</c:v>
                </c:pt>
                <c:pt idx="201">
                  <c:v>44.435218579831925</c:v>
                </c:pt>
                <c:pt idx="202">
                  <c:v>43.793316683735647</c:v>
                </c:pt>
                <c:pt idx="203">
                  <c:v>43.139533629994837</c:v>
                </c:pt>
                <c:pt idx="204">
                  <c:v>42.474073708830005</c:v>
                </c:pt>
                <c:pt idx="205">
                  <c:v>41.797150520587152</c:v>
                </c:pt>
                <c:pt idx="206">
                  <c:v>41.10898664225514</c:v>
                </c:pt>
                <c:pt idx="207">
                  <c:v>40.40981324081848</c:v>
                </c:pt>
                <c:pt idx="208">
                  <c:v>39.699869633548658</c:v>
                </c:pt>
                <c:pt idx="209">
                  <c:v>38.979402795860338</c:v>
                </c:pt>
                <c:pt idx="210">
                  <c:v>38.248666817896861</c:v>
                </c:pt>
                <c:pt idx="211">
                  <c:v>37.507922311559561</c:v>
                </c:pt>
                <c:pt idx="212">
                  <c:v>36.757435770244314</c:v>
                </c:pt>
                <c:pt idx="213">
                  <c:v>35.997478884094164</c:v>
                </c:pt>
                <c:pt idx="214">
                  <c:v>35.22832781410952</c:v>
                </c:pt>
                <c:pt idx="215">
                  <c:v>34.450262428963441</c:v>
                </c:pt>
                <c:pt idx="216">
                  <c:v>33.663565508846062</c:v>
                </c:pt>
                <c:pt idx="217">
                  <c:v>32.868521921104744</c:v>
                </c:pt>
                <c:pt idx="218">
                  <c:v>32.065417772830472</c:v>
                </c:pt>
                <c:pt idx="219">
                  <c:v>31.254539545887173</c:v>
                </c:pt>
                <c:pt idx="220">
                  <c:v>30.436173220152789</c:v>
                </c:pt>
                <c:pt idx="221">
                  <c:v>29.610603390957493</c:v>
                </c:pt>
                <c:pt idx="222">
                  <c:v>28.778112386851522</c:v>
                </c:pt>
                <c:pt idx="223">
                  <c:v>27.938979393904592</c:v>
                </c:pt>
                <c:pt idx="224">
                  <c:v>27.093479592750388</c:v>
                </c:pt>
                <c:pt idx="225">
                  <c:v>26.241883314511128</c:v>
                </c:pt>
                <c:pt idx="226">
                  <c:v>25.384455221600877</c:v>
                </c:pt>
                <c:pt idx="227">
                  <c:v>24.521453519206368</c:v>
                </c:pt>
                <c:pt idx="228">
                  <c:v>23.653129202960169</c:v>
                </c:pt>
                <c:pt idx="229">
                  <c:v>22.779725347997591</c:v>
                </c:pt>
                <c:pt idx="230">
                  <c:v>21.901476444217661</c:v>
                </c:pt>
                <c:pt idx="231">
                  <c:v>21.01860778211665</c:v>
                </c:pt>
                <c:pt idx="232">
                  <c:v>20.131334893127033</c:v>
                </c:pt>
                <c:pt idx="233">
                  <c:v>19.239863047871431</c:v>
                </c:pt>
                <c:pt idx="234">
                  <c:v>18.344386815250026</c:v>
                </c:pt>
                <c:pt idx="235">
                  <c:v>17.445089684725989</c:v>
                </c:pt>
                <c:pt idx="236">
                  <c:v>16.542143753653505</c:v>
                </c:pt>
                <c:pt idx="237">
                  <c:v>15.63570948095156</c:v>
                </c:pt>
                <c:pt idx="238">
                  <c:v>14.725935507896402</c:v>
                </c:pt>
                <c:pt idx="239">
                  <c:v>13.812958546302971</c:v>
                </c:pt>
                <c:pt idx="240">
                  <c:v>12.896903333873002</c:v>
                </c:pt>
                <c:pt idx="241">
                  <c:v>11.977882656014142</c:v>
                </c:pt>
                <c:pt idx="242">
                  <c:v>11.055997433018556</c:v>
                </c:pt>
                <c:pt idx="243">
                  <c:v>10.131336871067488</c:v>
                </c:pt>
                <c:pt idx="244">
                  <c:v>9.2039786751777601</c:v>
                </c:pt>
                <c:pt idx="245">
                  <c:v>8.2739893218603928</c:v>
                </c:pt>
                <c:pt idx="246">
                  <c:v>7.341424388985855</c:v>
                </c:pt>
                <c:pt idx="247">
                  <c:v>6.4063289400706038</c:v>
                </c:pt>
                <c:pt idx="248">
                  <c:v>5.4687379599967372</c:v>
                </c:pt>
                <c:pt idx="249">
                  <c:v>4.5286768389712986</c:v>
                </c:pt>
                <c:pt idx="250">
                  <c:v>3.5861619013824959</c:v>
                </c:pt>
                <c:pt idx="251">
                  <c:v>2.641200976078415</c:v>
                </c:pt>
                <c:pt idx="252">
                  <c:v>1.693794004486517</c:v>
                </c:pt>
                <c:pt idx="253">
                  <c:v>0.74393368291453954</c:v>
                </c:pt>
                <c:pt idx="254">
                  <c:v>-0.20839386468920992</c:v>
                </c:pt>
                <c:pt idx="255">
                  <c:v>-1.1632083872868881</c:v>
                </c:pt>
                <c:pt idx="256">
                  <c:v>-2.1205347844055362</c:v>
                </c:pt>
                <c:pt idx="257">
                  <c:v>-3.0804023647263485</c:v>
                </c:pt>
                <c:pt idx="258">
                  <c:v>-4.0428440894344329</c:v>
                </c:pt>
                <c:pt idx="259">
                  <c:v>-5.0078958041720174</c:v>
                </c:pt>
                <c:pt idx="260">
                  <c:v>-5.9755954634415351</c:v>
                </c:pt>
                <c:pt idx="261">
                  <c:v>-6.9459823513033543</c:v>
                </c:pt>
                <c:pt idx="262">
                  <c:v>-7.9190963022099439</c:v>
                </c:pt>
                <c:pt idx="263">
                  <c:v>-8.8949769258234515</c:v>
                </c:pt>
                <c:pt idx="264">
                  <c:v>-9.8736628396542763</c:v>
                </c:pt>
                <c:pt idx="265">
                  <c:v>-10.855190913354475</c:v>
                </c:pt>
                <c:pt idx="266">
                  <c:v>-11.839595528498604</c:v>
                </c:pt>
                <c:pt idx="267">
                  <c:v>-12.826907857666967</c:v>
                </c:pt>
                <c:pt idx="268">
                  <c:v>-13.817155166631069</c:v>
                </c:pt>
                <c:pt idx="269">
                  <c:v>-14.810360143422642</c:v>
                </c:pt>
                <c:pt idx="270">
                  <c:v>-15.806540258019927</c:v>
                </c:pt>
                <c:pt idx="271">
                  <c:v>-16.80570715635406</c:v>
                </c:pt>
                <c:pt idx="272">
                  <c:v>-17.807866092249029</c:v>
                </c:pt>
                <c:pt idx="273">
                  <c:v>-18.813015400852937</c:v>
                </c:pt>
                <c:pt idx="274">
                  <c:v>-19.821146016984599</c:v>
                </c:pt>
                <c:pt idx="275">
                  <c:v>-20.832241041703</c:v>
                </c:pt>
                <c:pt idx="276">
                  <c:v>-21.84627536023887</c:v>
                </c:pt>
                <c:pt idx="277">
                  <c:v>-22.863215314234676</c:v>
                </c:pt>
                <c:pt idx="278">
                  <c:v>-23.883018431013731</c:v>
                </c:pt>
                <c:pt idx="279">
                  <c:v>-24.905633212336628</c:v>
                </c:pt>
                <c:pt idx="280">
                  <c:v>-25.93099898480661</c:v>
                </c:pt>
                <c:pt idx="281">
                  <c:v>-26.959045813743682</c:v>
                </c:pt>
                <c:pt idx="282">
                  <c:v>-27.989694481986845</c:v>
                </c:pt>
                <c:pt idx="283">
                  <c:v>-29.02285653466582</c:v>
                </c:pt>
                <c:pt idx="284">
                  <c:v>-30.058434390549092</c:v>
                </c:pt>
                <c:pt idx="285">
                  <c:v>-31.096321520105739</c:v>
                </c:pt>
                <c:pt idx="286">
                  <c:v>-32.136402689915208</c:v>
                </c:pt>
                <c:pt idx="287">
                  <c:v>-33.178554272551509</c:v>
                </c:pt>
                <c:pt idx="288">
                  <c:v>-34.222644620517514</c:v>
                </c:pt>
                <c:pt idx="289">
                  <c:v>-35.26853450228144</c:v>
                </c:pt>
                <c:pt idx="290">
                  <c:v>-36.316077597901042</c:v>
                </c:pt>
                <c:pt idx="291">
                  <c:v>-37.365121051193036</c:v>
                </c:pt>
                <c:pt idx="292">
                  <c:v>-38.415506074870635</c:v>
                </c:pt>
                <c:pt idx="293">
                  <c:v>-39.467068604563075</c:v>
                </c:pt>
                <c:pt idx="294">
                  <c:v>-40.51963999715371</c:v>
                </c:pt>
                <c:pt idx="295">
                  <c:v>-41.573047768438087</c:v>
                </c:pt>
                <c:pt idx="296">
                  <c:v>-42.627116364687424</c:v>
                </c:pt>
                <c:pt idx="297">
                  <c:v>-43.68166796238382</c:v>
                </c:pt>
                <c:pt idx="298">
                  <c:v>-44.736523290078871</c:v>
                </c:pt>
                <c:pt idx="299">
                  <c:v>-45.791502466121919</c:v>
                </c:pt>
                <c:pt idx="300">
                  <c:v>-46.846425845836414</c:v>
                </c:pt>
                <c:pt idx="301">
                  <c:v>-47.90111487163405</c:v>
                </c:pt>
                <c:pt idx="302">
                  <c:v>-48.955392919546789</c:v>
                </c:pt>
                <c:pt idx="303">
                  <c:v>-50.00908613570553</c:v>
                </c:pt>
                <c:pt idx="304">
                  <c:v>-51.062024256415299</c:v>
                </c:pt>
                <c:pt idx="305">
                  <c:v>-52.114041405690074</c:v>
                </c:pt>
                <c:pt idx="306">
                  <c:v>-53.164976864342144</c:v>
                </c:pt>
                <c:pt idx="307">
                  <c:v>-54.214675805060189</c:v>
                </c:pt>
                <c:pt idx="308">
                  <c:v>-55.262989988274313</c:v>
                </c:pt>
                <c:pt idx="309">
                  <c:v>-56.309778414022944</c:v>
                </c:pt>
                <c:pt idx="310">
                  <c:v>-57.35490792550128</c:v>
                </c:pt>
                <c:pt idx="311">
                  <c:v>-58.398253760457273</c:v>
                </c:pt>
                <c:pt idx="312">
                  <c:v>-59.439700047122194</c:v>
                </c:pt>
                <c:pt idx="313">
                  <c:v>-60.47914024187957</c:v>
                </c:pt>
                <c:pt idx="314">
                  <c:v>-61.516477506434406</c:v>
                </c:pt>
                <c:pt idx="315">
                  <c:v>-62.551625022759048</c:v>
                </c:pt>
                <c:pt idx="316">
                  <c:v>-63.584506244638796</c:v>
                </c:pt>
                <c:pt idx="317">
                  <c:v>-64.615055085144377</c:v>
                </c:pt>
                <c:pt idx="318">
                  <c:v>-65.643216039855275</c:v>
                </c:pt>
                <c:pt idx="319">
                  <c:v>-66.668944246124354</c:v>
                </c:pt>
                <c:pt idx="320">
                  <c:v>-67.692205479114065</c:v>
                </c:pt>
                <c:pt idx="321">
                  <c:v>-68.712976085729608</c:v>
                </c:pt>
                <c:pt idx="322">
                  <c:v>-69.731242857949226</c:v>
                </c:pt>
                <c:pt idx="323">
                  <c:v>-70.747002847377743</c:v>
                </c:pt>
                <c:pt idx="324">
                  <c:v>-71.760263123133782</c:v>
                </c:pt>
                <c:pt idx="325">
                  <c:v>-72.771040475439392</c:v>
                </c:pt>
                <c:pt idx="326">
                  <c:v>-73.779361067483009</c:v>
                </c:pt>
                <c:pt idx="327">
                  <c:v>-74.785260038321951</c:v>
                </c:pt>
                <c:pt idx="328">
                  <c:v>-75.788781059705755</c:v>
                </c:pt>
                <c:pt idx="329">
                  <c:v>-76.789975849842506</c:v>
                </c:pt>
                <c:pt idx="330">
                  <c:v>-77.788903647177946</c:v>
                </c:pt>
                <c:pt idx="331">
                  <c:v>-78.785630647353244</c:v>
                </c:pt>
                <c:pt idx="332">
                  <c:v>-79.780229406503778</c:v>
                </c:pt>
                <c:pt idx="333">
                  <c:v>-80.772778214105827</c:v>
                </c:pt>
                <c:pt idx="334">
                  <c:v>-81.763360438562557</c:v>
                </c:pt>
                <c:pt idx="335">
                  <c:v>-82.752063848723722</c:v>
                </c:pt>
                <c:pt idx="336">
                  <c:v>-83.738979914500476</c:v>
                </c:pt>
                <c:pt idx="337">
                  <c:v>-84.724203089736022</c:v>
                </c:pt>
                <c:pt idx="338">
                  <c:v>-85.70783008044782</c:v>
                </c:pt>
                <c:pt idx="339">
                  <c:v>-86.689959101543451</c:v>
                </c:pt>
                <c:pt idx="340">
                  <c:v>-87.670689125093929</c:v>
                </c:pt>
                <c:pt idx="341">
                  <c:v>-88.650119123230581</c:v>
                </c:pt>
                <c:pt idx="342">
                  <c:v>-89.628347308708115</c:v>
                </c:pt>
                <c:pt idx="343">
                  <c:v>-90.605470376201765</c:v>
                </c:pt>
                <c:pt idx="344">
                  <c:v>-91.581582747373602</c:v>
                </c:pt>
                <c:pt idx="345">
                  <c:v>-92.556775822788651</c:v>
                </c:pt>
                <c:pt idx="346">
                  <c:v>-93.53113724374883</c:v>
                </c:pt>
                <c:pt idx="347">
                  <c:v>-94.50475016715319</c:v>
                </c:pt>
                <c:pt idx="348">
                  <c:v>-95.47769255651265</c:v>
                </c:pt>
                <c:pt idx="349">
                  <c:v>-96.450036492275757</c:v>
                </c:pt>
                <c:pt idx="350">
                  <c:v>-97.421847504646962</c:v>
                </c:pt>
                <c:pt idx="351">
                  <c:v>-98.39318393211181</c:v>
                </c:pt>
                <c:pt idx="352">
                  <c:v>-99.364096308891334</c:v>
                </c:pt>
                <c:pt idx="353">
                  <c:v>-100.3346267845657</c:v>
                </c:pt>
                <c:pt idx="354">
                  <c:v>-101.30480857910759</c:v>
                </c:pt>
                <c:pt idx="355">
                  <c:v>-102.27466547653027</c:v>
                </c:pt>
                <c:pt idx="356">
                  <c:v>-103.24421136034086</c:v>
                </c:pt>
                <c:pt idx="357">
                  <c:v>-104.2134497939084</c:v>
                </c:pt>
                <c:pt idx="358">
                  <c:v>-105.18237364877997</c:v>
                </c:pt>
                <c:pt idx="359">
                  <c:v>-106.15096478385412</c:v>
                </c:pt>
                <c:pt idx="360">
                  <c:v>-107.11919377817577</c:v>
                </c:pt>
                <c:pt idx="361">
                  <c:v>-108.08701971992956</c:v>
                </c:pt>
                <c:pt idx="362">
                  <c:v>-109.05439005398627</c:v>
                </c:pt>
                <c:pt idx="363">
                  <c:v>-110.02124049009859</c:v>
                </c:pt>
                <c:pt idx="364">
                  <c:v>-110.9874949735453</c:v>
                </c:pt>
                <c:pt idx="365">
                  <c:v>-111.95306571968059</c:v>
                </c:pt>
                <c:pt idx="366">
                  <c:v>-112.91785331348177</c:v>
                </c:pt>
                <c:pt idx="367">
                  <c:v>-113.88174687476631</c:v>
                </c:pt>
                <c:pt idx="368">
                  <c:v>-114.84462428931997</c:v>
                </c:pt>
                <c:pt idx="369">
                  <c:v>-115.80635250569786</c:v>
                </c:pt>
                <c:pt idx="370">
                  <c:v>-116.76678789697246</c:v>
                </c:pt>
                <c:pt idx="371">
                  <c:v>-117.72577668618867</c:v>
                </c:pt>
                <c:pt idx="372">
                  <c:v>-118.68315543376123</c:v>
                </c:pt>
                <c:pt idx="373">
                  <c:v>-119.63875158452419</c:v>
                </c:pt>
                <c:pt idx="374">
                  <c:v>-120.59238407160993</c:v>
                </c:pt>
                <c:pt idx="375">
                  <c:v>-121.54386397383216</c:v>
                </c:pt>
                <c:pt idx="376">
                  <c:v>-122.49299522273584</c:v>
                </c:pt>
                <c:pt idx="377">
                  <c:v>-123.43957535502537</c:v>
                </c:pt>
                <c:pt idx="378">
                  <c:v>-124.38339630563345</c:v>
                </c:pt>
                <c:pt idx="379">
                  <c:v>-125.32424523631599</c:v>
                </c:pt>
                <c:pt idx="380">
                  <c:v>-126.26190539431035</c:v>
                </c:pt>
                <c:pt idx="381">
                  <c:v>-127.19615699531127</c:v>
                </c:pt>
                <c:pt idx="382">
                  <c:v>-128.12677812480223</c:v>
                </c:pt>
                <c:pt idx="383">
                  <c:v>-129.05354565161866</c:v>
                </c:pt>
                <c:pt idx="384">
                  <c:v>-129.97623614753641</c:v>
                </c:pt>
                <c:pt idx="385">
                  <c:v>-130.89462680665983</c:v>
                </c:pt>
                <c:pt idx="386">
                  <c:v>-131.80849635844717</c:v>
                </c:pt>
                <c:pt idx="387">
                  <c:v>-132.71762596832903</c:v>
                </c:pt>
                <c:pt idx="388">
                  <c:v>-133.62180012007599</c:v>
                </c:pt>
                <c:pt idx="389">
                  <c:v>-134.52080747433243</c:v>
                </c:pt>
                <c:pt idx="390">
                  <c:v>-135.41444169804385</c:v>
                </c:pt>
                <c:pt idx="391">
                  <c:v>-136.30250225989619</c:v>
                </c:pt>
                <c:pt idx="392">
                  <c:v>-137.18479518728623</c:v>
                </c:pt>
                <c:pt idx="393">
                  <c:v>-138.0611337808229</c:v>
                </c:pt>
                <c:pt idx="394">
                  <c:v>-138.93133928283657</c:v>
                </c:pt>
                <c:pt idx="395">
                  <c:v>-139.79524149690394</c:v>
                </c:pt>
                <c:pt idx="396">
                  <c:v>-140.65267935592229</c:v>
                </c:pt>
                <c:pt idx="397">
                  <c:v>-141.50350143680083</c:v>
                </c:pt>
                <c:pt idx="398">
                  <c:v>-142.34756642039304</c:v>
                </c:pt>
                <c:pt idx="399">
                  <c:v>-143.18474349580475</c:v>
                </c:pt>
                <c:pt idx="400">
                  <c:v>-144.0149127087339</c:v>
                </c:pt>
                <c:pt idx="401">
                  <c:v>-144.83796525399535</c:v>
                </c:pt>
                <c:pt idx="402">
                  <c:v>-145.65380371283257</c:v>
                </c:pt>
                <c:pt idx="403">
                  <c:v>-146.46234223606874</c:v>
                </c:pt>
                <c:pt idx="404">
                  <c:v>-147.26350667451527</c:v>
                </c:pt>
                <c:pt idx="405">
                  <c:v>-148.05723465843801</c:v>
                </c:pt>
                <c:pt idx="406">
                  <c:v>-148.84347562816995</c:v>
                </c:pt>
                <c:pt idx="407">
                  <c:v>-149.62219081823892</c:v>
                </c:pt>
                <c:pt idx="408">
                  <c:v>-150.3933531975955</c:v>
                </c:pt>
                <c:pt idx="409">
                  <c:v>-151.15694736871401</c:v>
                </c:pt>
                <c:pt idx="410">
                  <c:v>-151.91296942846623</c:v>
                </c:pt>
                <c:pt idx="411">
                  <c:v>-152.66142679377475</c:v>
                </c:pt>
                <c:pt idx="412">
                  <c:v>-153.40233799510409</c:v>
                </c:pt>
                <c:pt idx="413">
                  <c:v>-154.13573244086942</c:v>
                </c:pt>
                <c:pt idx="414">
                  <c:v>-154.86165015583555</c:v>
                </c:pt>
                <c:pt idx="415">
                  <c:v>-155.58014149652846</c:v>
                </c:pt>
                <c:pt idx="416">
                  <c:v>-156.29126684662165</c:v>
                </c:pt>
                <c:pt idx="417">
                  <c:v>-156.99509629515768</c:v>
                </c:pt>
                <c:pt idx="418">
                  <c:v>-157.69170930035611</c:v>
                </c:pt>
                <c:pt idx="419">
                  <c:v>-158.38119434162834</c:v>
                </c:pt>
                <c:pt idx="420">
                  <c:v>-159.06364856227489</c:v>
                </c:pt>
                <c:pt idx="421">
                  <c:v>-159.7391774051807</c:v>
                </c:pt>
                <c:pt idx="422">
                  <c:v>-160.40789424366463</c:v>
                </c:pt>
                <c:pt idx="423">
                  <c:v>-161.06992000947193</c:v>
                </c:pt>
                <c:pt idx="424">
                  <c:v>-161.72538281971373</c:v>
                </c:pt>
                <c:pt idx="425">
                  <c:v>-162.3744176043995</c:v>
                </c:pt>
                <c:pt idx="426">
                  <c:v>-163.0171657360261</c:v>
                </c:pt>
                <c:pt idx="427">
                  <c:v>-163.65377466251348</c:v>
                </c:pt>
                <c:pt idx="428">
                  <c:v>-164.28439754461911</c:v>
                </c:pt>
                <c:pt idx="429">
                  <c:v>-164.90919289880208</c:v>
                </c:pt>
                <c:pt idx="430">
                  <c:v>-165.52832424633561</c:v>
                </c:pt>
                <c:pt idx="431">
                  <c:v>-166.14195976934462</c:v>
                </c:pt>
                <c:pt idx="432">
                  <c:v>-166.75027197427914</c:v>
                </c:pt>
                <c:pt idx="433">
                  <c:v>-167.35343736322008</c:v>
                </c:pt>
                <c:pt idx="434">
                  <c:v>-167.95163611327186</c:v>
                </c:pt>
                <c:pt idx="435">
                  <c:v>-168.54505176419624</c:v>
                </c:pt>
                <c:pt idx="436">
                  <c:v>-169.13387091432006</c:v>
                </c:pt>
                <c:pt idx="437">
                  <c:v>-169.71828292465622</c:v>
                </c:pt>
                <c:pt idx="438">
                  <c:v>-170.29847963108094</c:v>
                </c:pt>
                <c:pt idx="439">
                  <c:v>-170.8746550643319</c:v>
                </c:pt>
                <c:pt idx="440">
                  <c:v>-171.44700517750678</c:v>
                </c:pt>
                <c:pt idx="441">
                  <c:v>-172.01572758068099</c:v>
                </c:pt>
                <c:pt idx="442">
                  <c:v>-172.58102128219619</c:v>
                </c:pt>
                <c:pt idx="443">
                  <c:v>-173.14308643611218</c:v>
                </c:pt>
                <c:pt idx="444">
                  <c:v>-173.70212409527971</c:v>
                </c:pt>
                <c:pt idx="445">
                  <c:v>-174.25833596942843</c:v>
                </c:pt>
                <c:pt idx="446">
                  <c:v>-174.81192418764536</c:v>
                </c:pt>
                <c:pt idx="447">
                  <c:v>-175.36309106457585</c:v>
                </c:pt>
                <c:pt idx="448">
                  <c:v>-175.9120388696571</c:v>
                </c:pt>
                <c:pt idx="449">
                  <c:v>-176.45896959867468</c:v>
                </c:pt>
                <c:pt idx="450">
                  <c:v>-177.00408474690903</c:v>
                </c:pt>
                <c:pt idx="451">
                  <c:v>-177.54758508313481</c:v>
                </c:pt>
                <c:pt idx="452">
                  <c:v>-178.08967042372322</c:v>
                </c:pt>
                <c:pt idx="453">
                  <c:v>-178.63053940609856</c:v>
                </c:pt>
                <c:pt idx="454">
                  <c:v>-179.17038926079539</c:v>
                </c:pt>
                <c:pt idx="455">
                  <c:v>-179.7094155813792</c:v>
                </c:pt>
                <c:pt idx="456">
                  <c:v>179.75218790850872</c:v>
                </c:pt>
                <c:pt idx="457">
                  <c:v>179.21422959169402</c:v>
                </c:pt>
                <c:pt idx="458">
                  <c:v>178.67652019829885</c:v>
                </c:pt>
                <c:pt idx="459">
                  <c:v>178.1388730515329</c:v>
                </c:pt>
                <c:pt idx="460">
                  <c:v>177.6011043190835</c:v>
                </c:pt>
                <c:pt idx="461">
                  <c:v>177.06303327071461</c:v>
                </c:pt>
                <c:pt idx="462">
                  <c:v>176.52448254263834</c:v>
                </c:pt>
                <c:pt idx="463">
                  <c:v>175.98527840917561</c:v>
                </c:pt>
                <c:pt idx="464">
                  <c:v>175.44525106217253</c:v>
                </c:pt>
                <c:pt idx="465">
                  <c:v>174.9042348985727</c:v>
                </c:pt>
                <c:pt idx="466">
                  <c:v>174.36206881648428</c:v>
                </c:pt>
                <c:pt idx="467">
                  <c:v>173.81859652000153</c:v>
                </c:pt>
                <c:pt idx="468">
                  <c:v>173.27366683296134</c:v>
                </c:pt>
                <c:pt idx="469">
                  <c:v>172.72713402172226</c:v>
                </c:pt>
                <c:pt idx="470">
                  <c:v>172.17885812695891</c:v>
                </c:pt>
                <c:pt idx="471">
                  <c:v>171.62870530435379</c:v>
                </c:pt>
                <c:pt idx="472">
                  <c:v>171.07654817395911</c:v>
                </c:pt>
                <c:pt idx="473">
                  <c:v>170.52226617787133</c:v>
                </c:pt>
                <c:pt idx="474">
                  <c:v>169.9657459457359</c:v>
                </c:pt>
                <c:pt idx="475">
                  <c:v>169.40688166745781</c:v>
                </c:pt>
                <c:pt idx="476">
                  <c:v>168.84557547234226</c:v>
                </c:pt>
                <c:pt idx="477">
                  <c:v>168.28173781374468</c:v>
                </c:pt>
                <c:pt idx="478">
                  <c:v>167.71528785813877</c:v>
                </c:pt>
                <c:pt idx="479">
                  <c:v>167.14615387734963</c:v>
                </c:pt>
                <c:pt idx="480">
                  <c:v>166.5742736425303</c:v>
                </c:pt>
                <c:pt idx="481">
                  <c:v>165.99959481827963</c:v>
                </c:pt>
                <c:pt idx="482">
                  <c:v>165.4220753551291</c:v>
                </c:pt>
                <c:pt idx="483">
                  <c:v>164.84168387845133</c:v>
                </c:pt>
                <c:pt idx="484">
                  <c:v>164.25840007166335</c:v>
                </c:pt>
                <c:pt idx="485">
                  <c:v>163.672215051438</c:v>
                </c:pt>
                <c:pt idx="486">
                  <c:v>163.08313173247018</c:v>
                </c:pt>
                <c:pt idx="487">
                  <c:v>162.49116517919177</c:v>
                </c:pt>
                <c:pt idx="488">
                  <c:v>161.89634294169892</c:v>
                </c:pt>
                <c:pt idx="489">
                  <c:v>161.29870537301946</c:v>
                </c:pt>
                <c:pt idx="490">
                  <c:v>160.69830592475628</c:v>
                </c:pt>
                <c:pt idx="491">
                  <c:v>160.09521141805772</c:v>
                </c:pt>
                <c:pt idx="492">
                  <c:v>159.48950228680505</c:v>
                </c:pt>
                <c:pt idx="493">
                  <c:v>158.88127278988838</c:v>
                </c:pt>
                <c:pt idx="494">
                  <c:v>158.27063118944503</c:v>
                </c:pt>
                <c:pt idx="495">
                  <c:v>157.65769989197452</c:v>
                </c:pt>
                <c:pt idx="496">
                  <c:v>157.04261554932066</c:v>
                </c:pt>
                <c:pt idx="497">
                  <c:v>156.42552911663603</c:v>
                </c:pt>
                <c:pt idx="498">
                  <c:v>155.80660586459888</c:v>
                </c:pt>
                <c:pt idx="499">
                  <c:v>155.18602534335676</c:v>
                </c:pt>
                <c:pt idx="500">
                  <c:v>154.56398129591929</c:v>
                </c:pt>
                <c:pt idx="501">
                  <c:v>153.94068151900788</c:v>
                </c:pt>
                <c:pt idx="502">
                  <c:v>153.31634766971354</c:v>
                </c:pt>
                <c:pt idx="503">
                  <c:v>152.69121501666751</c:v>
                </c:pt>
                <c:pt idx="504">
                  <c:v>152.06553213486171</c:v>
                </c:pt>
                <c:pt idx="505">
                  <c:v>151.43956054367987</c:v>
                </c:pt>
                <c:pt idx="506">
                  <c:v>150.81357428819203</c:v>
                </c:pt>
                <c:pt idx="507">
                  <c:v>150.18785946424484</c:v>
                </c:pt>
                <c:pt idx="508">
                  <c:v>149.56271368841215</c:v>
                </c:pt>
                <c:pt idx="509">
                  <c:v>148.93844551438386</c:v>
                </c:pt>
                <c:pt idx="510">
                  <c:v>148.31537379790879</c:v>
                </c:pt>
                <c:pt idx="511">
                  <c:v>147.69382701292605</c:v>
                </c:pt>
                <c:pt idx="512">
                  <c:v>147.07414252203503</c:v>
                </c:pt>
                <c:pt idx="513">
                  <c:v>146.4566658049431</c:v>
                </c:pt>
                <c:pt idx="514">
                  <c:v>145.84174964898787</c:v>
                </c:pt>
                <c:pt idx="515">
                  <c:v>145.22975330625798</c:v>
                </c:pt>
                <c:pt idx="516">
                  <c:v>144.62104162220606</c:v>
                </c:pt>
                <c:pt idx="517">
                  <c:v>144.01598414097896</c:v>
                </c:pt>
                <c:pt idx="518">
                  <c:v>143.41495419294901</c:v>
                </c:pt>
                <c:pt idx="519">
                  <c:v>142.81832797013391</c:v>
                </c:pt>
                <c:pt idx="520">
                  <c:v>142.22648359532977</c:v>
                </c:pt>
                <c:pt idx="521">
                  <c:v>141.63980019083792</c:v>
                </c:pt>
                <c:pt idx="522">
                  <c:v>141.05865695266445</c:v>
                </c:pt>
                <c:pt idx="523">
                  <c:v>140.48343223598678</c:v>
                </c:pt>
                <c:pt idx="524">
                  <c:v>139.91450265752974</c:v>
                </c:pt>
                <c:pt idx="525">
                  <c:v>139.3522422202841</c:v>
                </c:pt>
                <c:pt idx="526">
                  <c:v>138.79702146570457</c:v>
                </c:pt>
                <c:pt idx="527">
                  <c:v>138.24920665819769</c:v>
                </c:pt>
                <c:pt idx="528">
                  <c:v>137.70915900630828</c:v>
                </c:pt>
                <c:pt idx="529">
                  <c:v>137.17723392457384</c:v>
                </c:pt>
                <c:pt idx="530">
                  <c:v>136.65378033955642</c:v>
                </c:pt>
                <c:pt idx="531">
                  <c:v>136.13914004302973</c:v>
                </c:pt>
                <c:pt idx="532">
                  <c:v>135.63364709479939</c:v>
                </c:pt>
                <c:pt idx="533">
                  <c:v>135.13762727707356</c:v>
                </c:pt>
                <c:pt idx="534">
                  <c:v>134.65139760177544</c:v>
                </c:pt>
                <c:pt idx="535">
                  <c:v>134.1752658716299</c:v>
                </c:pt>
                <c:pt idx="536">
                  <c:v>133.70953029534988</c:v>
                </c:pt>
                <c:pt idx="537">
                  <c:v>133.25447915671111</c:v>
                </c:pt>
                <c:pt idx="538">
                  <c:v>132.8103905368412</c:v>
                </c:pt>
                <c:pt idx="539">
                  <c:v>132.3775320885739</c:v>
                </c:pt>
                <c:pt idx="540">
                  <c:v>131.95616086130457</c:v>
                </c:pt>
                <c:pt idx="541">
                  <c:v>131.5465231743961</c:v>
                </c:pt>
              </c:numCache>
            </c:numRef>
          </c:yVal>
          <c:smooth val="1"/>
          <c:extLst>
            <c:ext xmlns:c16="http://schemas.microsoft.com/office/drawing/2014/chart" uri="{C3380CC4-5D6E-409C-BE32-E72D297353CC}">
              <c16:uniqueId val="{00000001-83C7-483B-9FAA-73F41D4B5EAC}"/>
            </c:ext>
          </c:extLst>
        </c:ser>
        <c:dLbls>
          <c:showLegendKey val="0"/>
          <c:showVal val="0"/>
          <c:showCatName val="0"/>
          <c:showSerName val="0"/>
          <c:showPercent val="0"/>
          <c:showBubbleSize val="0"/>
        </c:dLbls>
        <c:axId val="384296832"/>
        <c:axId val="384295296"/>
      </c:scatterChart>
      <c:valAx>
        <c:axId val="377549184"/>
        <c:scaling>
          <c:logBase val="10"/>
          <c:orientation val="minMax"/>
          <c:max val="2200000"/>
          <c:min val="10"/>
        </c:scaling>
        <c:delete val="0"/>
        <c:axPos val="b"/>
        <c:minorGridlines/>
        <c:title>
          <c:tx>
            <c:rich>
              <a:bodyPr/>
              <a:lstStyle/>
              <a:p>
                <a:pPr>
                  <a:defRPr/>
                </a:pPr>
                <a:r>
                  <a:rPr lang="en-US"/>
                  <a:t>Frequency</a:t>
                </a:r>
                <a:r>
                  <a:rPr lang="en-US" baseline="0"/>
                  <a:t> (Hz)</a:t>
                </a:r>
                <a:endParaRPr lang="en-US"/>
              </a:p>
            </c:rich>
          </c:tx>
          <c:overlay val="0"/>
        </c:title>
        <c:numFmt formatCode="0" sourceLinked="0"/>
        <c:majorTickMark val="out"/>
        <c:minorTickMark val="none"/>
        <c:tickLblPos val="low"/>
        <c:crossAx val="377551104"/>
        <c:crosses val="autoZero"/>
        <c:crossBetween val="midCat"/>
      </c:valAx>
      <c:valAx>
        <c:axId val="377551104"/>
        <c:scaling>
          <c:orientation val="minMax"/>
          <c:max val="40"/>
          <c:min val="-40"/>
        </c:scaling>
        <c:delete val="0"/>
        <c:axPos val="l"/>
        <c:majorGridlines/>
        <c:minorGridlines/>
        <c:title>
          <c:tx>
            <c:rich>
              <a:bodyPr rot="-5400000" vert="horz"/>
              <a:lstStyle/>
              <a:p>
                <a:pPr>
                  <a:defRPr/>
                </a:pPr>
                <a:r>
                  <a:rPr lang="en-US">
                    <a:solidFill>
                      <a:srgbClr val="FF0000"/>
                    </a:solidFill>
                  </a:rPr>
                  <a:t>Gain</a:t>
                </a:r>
                <a:r>
                  <a:rPr lang="en-US" baseline="0">
                    <a:solidFill>
                      <a:srgbClr val="FF0000"/>
                    </a:solidFill>
                  </a:rPr>
                  <a:t> (dB)</a:t>
                </a:r>
                <a:endParaRPr lang="en-US">
                  <a:solidFill>
                    <a:srgbClr val="FF0000"/>
                  </a:solidFill>
                </a:endParaRPr>
              </a:p>
            </c:rich>
          </c:tx>
          <c:overlay val="0"/>
        </c:title>
        <c:numFmt formatCode="General" sourceLinked="0"/>
        <c:majorTickMark val="out"/>
        <c:minorTickMark val="none"/>
        <c:tickLblPos val="nextTo"/>
        <c:txPr>
          <a:bodyPr/>
          <a:lstStyle/>
          <a:p>
            <a:pPr>
              <a:defRPr>
                <a:solidFill>
                  <a:srgbClr val="FF0000"/>
                </a:solidFill>
              </a:defRPr>
            </a:pPr>
            <a:endParaRPr lang="en-US"/>
          </a:p>
        </c:txPr>
        <c:crossAx val="377549184"/>
        <c:crosses val="autoZero"/>
        <c:crossBetween val="midCat"/>
        <c:majorUnit val="20"/>
        <c:minorUnit val="10"/>
      </c:valAx>
      <c:valAx>
        <c:axId val="384295296"/>
        <c:scaling>
          <c:orientation val="minMax"/>
          <c:max val="180"/>
          <c:min val="-180"/>
        </c:scaling>
        <c:delete val="0"/>
        <c:axPos val="r"/>
        <c:numFmt formatCode="General" sourceLinked="1"/>
        <c:majorTickMark val="out"/>
        <c:minorTickMark val="none"/>
        <c:tickLblPos val="nextTo"/>
        <c:txPr>
          <a:bodyPr/>
          <a:lstStyle/>
          <a:p>
            <a:pPr>
              <a:defRPr>
                <a:solidFill>
                  <a:schemeClr val="tx1">
                    <a:lumMod val="95000"/>
                    <a:lumOff val="5000"/>
                  </a:schemeClr>
                </a:solidFill>
              </a:defRPr>
            </a:pPr>
            <a:endParaRPr lang="en-US"/>
          </a:p>
        </c:txPr>
        <c:crossAx val="384296832"/>
        <c:crosses val="max"/>
        <c:crossBetween val="midCat"/>
        <c:majorUnit val="90"/>
        <c:minorUnit val="45"/>
      </c:valAx>
      <c:valAx>
        <c:axId val="384296832"/>
        <c:scaling>
          <c:logBase val="10"/>
          <c:orientation val="minMax"/>
        </c:scaling>
        <c:delete val="1"/>
        <c:axPos val="b"/>
        <c:numFmt formatCode="0.00" sourceLinked="1"/>
        <c:majorTickMark val="out"/>
        <c:minorTickMark val="none"/>
        <c:tickLblPos val="nextTo"/>
        <c:crossAx val="384295296"/>
        <c:crosses val="autoZero"/>
        <c:crossBetween val="midCat"/>
      </c:valAx>
    </c:plotArea>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2400"/>
            </a:pPr>
            <a:r>
              <a:rPr lang="el-GR" sz="2400"/>
              <a:t>η</a:t>
            </a:r>
            <a:endParaRPr lang="en-US" sz="2400"/>
          </a:p>
        </c:rich>
      </c:tx>
      <c:layout>
        <c:manualLayout>
          <c:xMode val="edge"/>
          <c:yMode val="edge"/>
          <c:x val="9.2321838295158831E-2"/>
          <c:y val="6.7069081153588199E-3"/>
        </c:manualLayout>
      </c:layout>
      <c:overlay val="1"/>
    </c:title>
    <c:autoTitleDeleted val="0"/>
    <c:plotArea>
      <c:layout>
        <c:manualLayout>
          <c:layoutTarget val="inner"/>
          <c:xMode val="edge"/>
          <c:yMode val="edge"/>
          <c:x val="9.4343575816580413E-2"/>
          <c:y val="0.12777504924560487"/>
          <c:w val="0.82170691922728745"/>
          <c:h val="0.74982770867653059"/>
        </c:manualLayout>
      </c:layout>
      <c:scatterChart>
        <c:scatterStyle val="smoothMarker"/>
        <c:varyColors val="0"/>
        <c:ser>
          <c:idx val="0"/>
          <c:order val="0"/>
          <c:tx>
            <c:v>Eff</c:v>
          </c:tx>
          <c:spPr>
            <a:ln>
              <a:solidFill>
                <a:srgbClr val="FF0000"/>
              </a:solidFill>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Eff_vs_IOUT!$BZ$7:$BZ$157</c:f>
              <c:numCache>
                <c:formatCode>General</c:formatCode>
                <c:ptCount val="151"/>
                <c:pt idx="0">
                  <c:v>0</c:v>
                </c:pt>
                <c:pt idx="1">
                  <c:v>91.614175393546276</c:v>
                </c:pt>
                <c:pt idx="2">
                  <c:v>91.407098962065774</c:v>
                </c:pt>
                <c:pt idx="3">
                  <c:v>90.919515145869681</c:v>
                </c:pt>
                <c:pt idx="4">
                  <c:v>90.423397156149136</c:v>
                </c:pt>
                <c:pt idx="5">
                  <c:v>89.953568159285354</c:v>
                </c:pt>
                <c:pt idx="6">
                  <c:v>89.51383788982254</c:v>
                </c:pt>
                <c:pt idx="7">
                  <c:v>89.102050447809063</c:v>
                </c:pt>
                <c:pt idx="8">
                  <c:v>88.715036340984568</c:v>
                </c:pt>
                <c:pt idx="9">
                  <c:v>88.349773309631189</c:v>
                </c:pt>
                <c:pt idx="10">
                  <c:v>88.003636100108977</c:v>
                </c:pt>
                <c:pt idx="11">
                  <c:v>87.674404780249176</c:v>
                </c:pt>
                <c:pt idx="12">
                  <c:v>87.360212725648324</c:v>
                </c:pt>
                <c:pt idx="13">
                  <c:v>87.059486569173671</c:v>
                </c:pt>
                <c:pt idx="14">
                  <c:v>86.770892606437656</c:v>
                </c:pt>
                <c:pt idx="15">
                  <c:v>86.493292518481653</c:v>
                </c:pt>
                <c:pt idx="16">
                  <c:v>86.22570779343539</c:v>
                </c:pt>
                <c:pt idx="17">
                  <c:v>85.967291385869004</c:v>
                </c:pt>
                <c:pt idx="18">
                  <c:v>85.717305145836306</c:v>
                </c:pt>
                <c:pt idx="19">
                  <c:v>85.475101773265081</c:v>
                </c:pt>
                <c:pt idx="20">
                  <c:v>85.240110306010791</c:v>
                </c:pt>
                <c:pt idx="21">
                  <c:v>85.01182437093334</c:v>
                </c:pt>
                <c:pt idx="22">
                  <c:v>84.789792604750019</c:v>
                </c:pt>
                <c:pt idx="23">
                  <c:v>84.573610788738691</c:v>
                </c:pt>
                <c:pt idx="24">
                  <c:v>84.362915346055658</c:v>
                </c:pt>
                <c:pt idx="25">
                  <c:v>84.157377929836684</c:v>
                </c:pt>
                <c:pt idx="26">
                  <c:v>83.956700890484115</c:v>
                </c:pt>
                <c:pt idx="27">
                  <c:v>83.760613456380312</c:v>
                </c:pt>
                <c:pt idx="28">
                  <c:v>83.568868497314881</c:v>
                </c:pt>
                <c:pt idx="29">
                  <c:v>83.381239766864809</c:v>
                </c:pt>
                <c:pt idx="30">
                  <c:v>83.197519540819869</c:v>
                </c:pt>
                <c:pt idx="31">
                  <c:v>83.01751658498479</c:v>
                </c:pt>
                <c:pt idx="32">
                  <c:v>82.841054398415537</c:v>
                </c:pt>
                <c:pt idx="33">
                  <c:v>82.667969688184215</c:v>
                </c:pt>
                <c:pt idx="34">
                  <c:v>82.498111039732223</c:v>
                </c:pt>
                <c:pt idx="35">
                  <c:v>82.331337753230457</c:v>
                </c:pt>
                <c:pt idx="36">
                  <c:v>82.167518821471958</c:v>
                </c:pt>
                <c:pt idx="37">
                  <c:v>82.006532028945742</c:v>
                </c:pt>
                <c:pt idx="38">
                  <c:v>81.848263155089441</c:v>
                </c:pt>
                <c:pt idx="39">
                  <c:v>81.692605267450077</c:v>
                </c:pt>
                <c:pt idx="40">
                  <c:v>81.53945809272382</c:v>
                </c:pt>
                <c:pt idx="41">
                  <c:v>81.388727455492301</c:v>
                </c:pt>
                <c:pt idx="42">
                  <c:v>81.240324776002453</c:v>
                </c:pt>
                <c:pt idx="43">
                  <c:v>81.094028148200508</c:v>
                </c:pt>
                <c:pt idx="44">
                  <c:v>80.946195400887547</c:v>
                </c:pt>
                <c:pt idx="45">
                  <c:v>80.795745329504342</c:v>
                </c:pt>
                <c:pt idx="46">
                  <c:v>80.642915089485427</c:v>
                </c:pt>
                <c:pt idx="47">
                  <c:v>80.487921664638691</c:v>
                </c:pt>
                <c:pt idx="48">
                  <c:v>80.330963895846594</c:v>
                </c:pt>
                <c:pt idx="49">
                  <c:v>80.172224270858976</c:v>
                </c:pt>
                <c:pt idx="50">
                  <c:v>80.011870507349187</c:v>
                </c:pt>
                <c:pt idx="51">
                  <c:v>79.850056956547675</c:v>
                </c:pt>
                <c:pt idx="52">
                  <c:v>79.686925850720257</c:v>
                </c:pt>
                <c:pt idx="53">
                  <c:v>79.522608414372527</c:v>
                </c:pt>
                <c:pt idx="54">
                  <c:v>79.357225856221476</c:v>
                </c:pt>
                <c:pt idx="55">
                  <c:v>79.190890256582406</c:v>
                </c:pt>
                <c:pt idx="56">
                  <c:v>79.023705362799717</c:v>
                </c:pt>
                <c:pt idx="57">
                  <c:v>78.85576730363519</c:v>
                </c:pt>
                <c:pt idx="58">
                  <c:v>78.687165232074292</c:v>
                </c:pt>
                <c:pt idx="59">
                  <c:v>78.517981904768135</c:v>
                </c:pt>
                <c:pt idx="60">
                  <c:v>78.34829420526917</c:v>
                </c:pt>
                <c:pt idx="61">
                  <c:v>78.178173617309071</c:v>
                </c:pt>
                <c:pt idx="62">
                  <c:v>78.007686653586205</c:v>
                </c:pt>
                <c:pt idx="63">
                  <c:v>77.836895244856947</c:v>
                </c:pt>
                <c:pt idx="64">
                  <c:v>77.665857093543579</c:v>
                </c:pt>
                <c:pt idx="65">
                  <c:v>77.49462599556901</c:v>
                </c:pt>
                <c:pt idx="66">
                  <c:v>77.323252133691057</c:v>
                </c:pt>
                <c:pt idx="67">
                  <c:v>77.151782345230302</c:v>
                </c:pt>
                <c:pt idx="68">
                  <c:v>76.980260366754266</c:v>
                </c:pt>
                <c:pt idx="69">
                  <c:v>76.808727057991561</c:v>
                </c:pt>
                <c:pt idx="70">
                  <c:v>76.637220606997758</c:v>
                </c:pt>
                <c:pt idx="71">
                  <c:v>76.465776718372311</c:v>
                </c:pt>
                <c:pt idx="72">
                  <c:v>76.294428786131618</c:v>
                </c:pt>
                <c:pt idx="73">
                  <c:v>76.123208052671941</c:v>
                </c:pt>
                <c:pt idx="74">
                  <c:v>75.952143755105254</c:v>
                </c:pt>
                <c:pt idx="75">
                  <c:v>75.781263260117143</c:v>
                </c:pt>
                <c:pt idx="76">
                  <c:v>75.610592188378462</c:v>
                </c:pt>
                <c:pt idx="77">
                  <c:v>75.440154529437777</c:v>
                </c:pt>
                <c:pt idx="78">
                  <c:v>75.269972747928961</c:v>
                </c:pt>
                <c:pt idx="79">
                  <c:v>75.10006788184532</c:v>
                </c:pt>
                <c:pt idx="80">
                  <c:v>74.930459633559678</c:v>
                </c:pt>
                <c:pt idx="81">
                  <c:v>74.761166454202154</c:v>
                </c:pt>
                <c:pt idx="82">
                  <c:v>74.592205621951635</c:v>
                </c:pt>
                <c:pt idx="83">
                  <c:v>74.423593314742106</c:v>
                </c:pt>
                <c:pt idx="84">
                  <c:v>74.255344677840412</c:v>
                </c:pt>
                <c:pt idx="85">
                  <c:v>74.087473886708494</c:v>
                </c:pt>
                <c:pt idx="86">
                  <c:v>73.919994205526706</c:v>
                </c:pt>
                <c:pt idx="87">
                  <c:v>73.752918041719923</c:v>
                </c:pt>
                <c:pt idx="88">
                  <c:v>73.586256996798767</c:v>
                </c:pt>
                <c:pt idx="89">
                  <c:v>73.4200219137999</c:v>
                </c:pt>
                <c:pt idx="90">
                  <c:v>73.25422292158531</c:v>
                </c:pt>
                <c:pt idx="91">
                  <c:v>73.088869476237548</c:v>
                </c:pt>
                <c:pt idx="92">
                  <c:v>72.923970399768436</c:v>
                </c:pt>
                <c:pt idx="93">
                  <c:v>72.759533916339393</c:v>
                </c:pt>
                <c:pt idx="94">
                  <c:v>72.595567686176082</c:v>
                </c:pt>
                <c:pt idx="95">
                  <c:v>72.43207883734442</c:v>
                </c:pt>
                <c:pt idx="96">
                  <c:v>72.269073995541007</c:v>
                </c:pt>
                <c:pt idx="97">
                  <c:v>72.106559312039721</c:v>
                </c:pt>
                <c:pt idx="98">
                  <c:v>71.944540489923625</c:v>
                </c:pt>
                <c:pt idx="99">
                  <c:v>71.78302280872208</c:v>
                </c:pt>
                <c:pt idx="100">
                  <c:v>71.62201114756293</c:v>
                </c:pt>
                <c:pt idx="101">
                  <c:v>71.461510006941225</c:v>
                </c:pt>
                <c:pt idx="102">
                  <c:v>71.301523529198647</c:v>
                </c:pt>
                <c:pt idx="103">
                  <c:v>71.142055517799236</c:v>
                </c:pt>
                <c:pt idx="104">
                  <c:v>70.983109455482804</c:v>
                </c:pt>
                <c:pt idx="105">
                  <c:v>70.824688521368557</c:v>
                </c:pt>
                <c:pt idx="106">
                  <c:v>70.666795607078583</c:v>
                </c:pt>
                <c:pt idx="107">
                  <c:v>70.50943333194418</c:v>
                </c:pt>
                <c:pt idx="108">
                  <c:v>70.352604057353915</c:v>
                </c:pt>
                <c:pt idx="109">
                  <c:v>70.196309900298075</c:v>
                </c:pt>
                <c:pt idx="110">
                  <c:v>70.04055274616023</c:v>
                </c:pt>
                <c:pt idx="111">
                  <c:v>69.885334260802978</c:v>
                </c:pt>
                <c:pt idx="112">
                  <c:v>69.730655901991582</c:v>
                </c:pt>
                <c:pt idx="113">
                  <c:v>69.576518930196343</c:v>
                </c:pt>
                <c:pt idx="114">
                  <c:v>69.422924418811547</c:v>
                </c:pt>
                <c:pt idx="115">
                  <c:v>69.269873263826355</c:v>
                </c:pt>
                <c:pt idx="116">
                  <c:v>69.117366192980384</c:v>
                </c:pt>
                <c:pt idx="117">
                  <c:v>68.965403774434975</c:v>
                </c:pt>
                <c:pt idx="118">
                  <c:v>68.813986424988443</c:v>
                </c:pt>
                <c:pt idx="119">
                  <c:v>68.663114417862189</c:v>
                </c:pt>
                <c:pt idx="120">
                  <c:v>68.512787890082834</c:v>
                </c:pt>
                <c:pt idx="121">
                  <c:v>68.363006849483384</c:v>
                </c:pt>
                <c:pt idx="122">
                  <c:v>68.213771181345365</c:v>
                </c:pt>
                <c:pt idx="123">
                  <c:v>68.065080654702641</c:v>
                </c:pt>
                <c:pt idx="124">
                  <c:v>67.916934928325645</c:v>
                </c:pt>
                <c:pt idx="125">
                  <c:v>67.769333556404035</c:v>
                </c:pt>
                <c:pt idx="126">
                  <c:v>67.622275993944811</c:v>
                </c:pt>
                <c:pt idx="127">
                  <c:v>67.475761601901354</c:v>
                </c:pt>
                <c:pt idx="128">
                  <c:v>67.329789652048206</c:v>
                </c:pt>
                <c:pt idx="129">
                  <c:v>67.184359331615639</c:v>
                </c:pt>
                <c:pt idx="130">
                  <c:v>67.039469747696756</c:v>
                </c:pt>
                <c:pt idx="131">
                  <c:v>66.895119931439567</c:v>
                </c:pt>
                <c:pt idx="132">
                  <c:v>66.751308842035527</c:v>
                </c:pt>
                <c:pt idx="133">
                  <c:v>66.608035370514941</c:v>
                </c:pt>
                <c:pt idx="134">
                  <c:v>66.465298343360246</c:v>
                </c:pt>
                <c:pt idx="135">
                  <c:v>66.323096525945815</c:v>
                </c:pt>
                <c:pt idx="136">
                  <c:v>66.181428625813822</c:v>
                </c:pt>
                <c:pt idx="137">
                  <c:v>66.04029329579464</c:v>
                </c:pt>
                <c:pt idx="138">
                  <c:v>65.899689136979575</c:v>
                </c:pt>
                <c:pt idx="139">
                  <c:v>65.759614701553588</c:v>
                </c:pt>
                <c:pt idx="140">
                  <c:v>65.620068495495048</c:v>
                </c:pt>
                <c:pt idx="141">
                  <c:v>65.481048981149399</c:v>
                </c:pt>
                <c:pt idx="142">
                  <c:v>65.342554579682925</c:v>
                </c:pt>
                <c:pt idx="143">
                  <c:v>65.204583673422491</c:v>
                </c:pt>
                <c:pt idx="144">
                  <c:v>65.067134608087215</c:v>
                </c:pt>
                <c:pt idx="145">
                  <c:v>64.930205694917191</c:v>
                </c:pt>
                <c:pt idx="146">
                  <c:v>64.793795212704254</c:v>
                </c:pt>
                <c:pt idx="147">
                  <c:v>64.657901409729845</c:v>
                </c:pt>
                <c:pt idx="148">
                  <c:v>64.522522505614134</c:v>
                </c:pt>
                <c:pt idx="149">
                  <c:v>64.387656693080999</c:v>
                </c:pt>
                <c:pt idx="150">
                  <c:v>64.25330213964267</c:v>
                </c:pt>
              </c:numCache>
            </c:numRef>
          </c:yVal>
          <c:smooth val="0"/>
          <c:extLst>
            <c:ext xmlns:c16="http://schemas.microsoft.com/office/drawing/2014/chart" uri="{C3380CC4-5D6E-409C-BE32-E72D297353CC}">
              <c16:uniqueId val="{00000000-9977-4FA8-9358-1BE425CE3F05}"/>
            </c:ext>
          </c:extLst>
        </c:ser>
        <c:dLbls>
          <c:showLegendKey val="0"/>
          <c:showVal val="0"/>
          <c:showCatName val="0"/>
          <c:showSerName val="0"/>
          <c:showPercent val="0"/>
          <c:showBubbleSize val="0"/>
        </c:dLbls>
        <c:axId val="583325184"/>
        <c:axId val="583326720"/>
      </c:scatterChart>
      <c:scatterChart>
        <c:scatterStyle val="smoothMarker"/>
        <c:varyColors val="0"/>
        <c:ser>
          <c:idx val="1"/>
          <c:order val="1"/>
          <c:tx>
            <c:v>MOSFET</c:v>
          </c:tx>
          <c:spPr>
            <a:ln>
              <a:solidFill>
                <a:schemeClr val="tx2">
                  <a:lumMod val="75000"/>
                </a:schemeClr>
              </a:solidFill>
              <a:prstDash val="dashDot"/>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Eff_vs_IOUT!$AJ$7:$AJ$157</c:f>
              <c:numCache>
                <c:formatCode>General</c:formatCode>
                <c:ptCount val="151"/>
                <c:pt idx="0">
                  <c:v>0</c:v>
                </c:pt>
                <c:pt idx="1">
                  <c:v>5.4618288037103484E-3</c:v>
                </c:pt>
                <c:pt idx="2">
                  <c:v>1.1205673851048672E-2</c:v>
                </c:pt>
                <c:pt idx="3">
                  <c:v>1.7988018168847937E-2</c:v>
                </c:pt>
                <c:pt idx="4">
                  <c:v>2.5694332592206354E-2</c:v>
                </c:pt>
                <c:pt idx="5">
                  <c:v>3.4231842712920312E-2</c:v>
                </c:pt>
                <c:pt idx="6">
                  <c:v>4.3529207689206671E-2</c:v>
                </c:pt>
                <c:pt idx="7">
                  <c:v>5.3530173424532618E-2</c:v>
                </c:pt>
                <c:pt idx="8">
                  <c:v>6.4189125479875112E-2</c:v>
                </c:pt>
                <c:pt idx="9">
                  <c:v>7.5468186350273664E-2</c:v>
                </c:pt>
                <c:pt idx="10">
                  <c:v>8.7335282504630837E-2</c:v>
                </c:pt>
                <c:pt idx="11">
                  <c:v>9.976281485243374E-2</c:v>
                </c:pt>
                <c:pt idx="12">
                  <c:v>0.11272671494490211</c:v>
                </c:pt>
                <c:pt idx="13">
                  <c:v>0.12620575587129973</c:v>
                </c:pt>
                <c:pt idx="14">
                  <c:v>0.14018103661169484</c:v>
                </c:pt>
                <c:pt idx="15">
                  <c:v>0.15463558786267997</c:v>
                </c:pt>
                <c:pt idx="16">
                  <c:v>0.16955406506269799</c:v>
                </c:pt>
                <c:pt idx="17">
                  <c:v>0.18492250539724489</c:v>
                </c:pt>
                <c:pt idx="18">
                  <c:v>0.20072813266425713</c:v>
                </c:pt>
                <c:pt idx="19">
                  <c:v>0.21695919856198775</c:v>
                </c:pt>
                <c:pt idx="20">
                  <c:v>0.23360485212352272</c:v>
                </c:pt>
                <c:pt idx="21">
                  <c:v>0.25065503120379601</c:v>
                </c:pt>
                <c:pt idx="22">
                  <c:v>0.26810037145991977</c:v>
                </c:pt>
                <c:pt idx="23">
                  <c:v>0.28593212936479107</c:v>
                </c:pt>
                <c:pt idx="24">
                  <c:v>0.3041421165937126</c:v>
                </c:pt>
                <c:pt idx="25">
                  <c:v>0.32272264371426496</c:v>
                </c:pt>
                <c:pt idx="26">
                  <c:v>0.34166647155151741</c:v>
                </c:pt>
                <c:pt idx="27">
                  <c:v>0.36096676893536878</c:v>
                </c:pt>
                <c:pt idx="28">
                  <c:v>0.38061707579320458</c:v>
                </c:pt>
                <c:pt idx="29">
                  <c:v>0.40061127074955311</c:v>
                </c:pt>
                <c:pt idx="30">
                  <c:v>0.42094354254954797</c:v>
                </c:pt>
                <c:pt idx="31">
                  <c:v>0.44160836474534948</c:v>
                </c:pt>
                <c:pt idx="32">
                  <c:v>0.46260047318197239</c:v>
                </c:pt>
                <c:pt idx="33">
                  <c:v>0.48391484589693118</c:v>
                </c:pt>
                <c:pt idx="34">
                  <c:v>0.5055466851110556</c:v>
                </c:pt>
                <c:pt idx="35">
                  <c:v>0.52749140103899428</c:v>
                </c:pt>
                <c:pt idx="36">
                  <c:v>0.54974459728976022</c:v>
                </c:pt>
                <c:pt idx="37">
                  <c:v>0.5723020576621175</c:v>
                </c:pt>
                <c:pt idx="38">
                  <c:v>0.5951597341680952</c:v>
                </c:pt>
                <c:pt idx="39">
                  <c:v>0.61831373614163754</c:v>
                </c:pt>
                <c:pt idx="40">
                  <c:v>0.6417603203092177</c:v>
                </c:pt>
                <c:pt idx="41">
                  <c:v>0.66549588171590757</c:v>
                </c:pt>
                <c:pt idx="42">
                  <c:v>0.68951694541445319</c:v>
                </c:pt>
                <c:pt idx="43">
                  <c:v>0.71385316477143634</c:v>
                </c:pt>
                <c:pt idx="44">
                  <c:v>0.73884537754734958</c:v>
                </c:pt>
                <c:pt idx="45">
                  <c:v>0.76440159032326294</c:v>
                </c:pt>
                <c:pt idx="46">
                  <c:v>0.79052180309917663</c:v>
                </c:pt>
                <c:pt idx="47">
                  <c:v>0.81720601587508968</c:v>
                </c:pt>
                <c:pt idx="48">
                  <c:v>0.84445422865100284</c:v>
                </c:pt>
                <c:pt idx="49">
                  <c:v>0.87226644142691612</c:v>
                </c:pt>
                <c:pt idx="50">
                  <c:v>0.90064265420282941</c:v>
                </c:pt>
                <c:pt idx="51">
                  <c:v>0.92958286697874248</c:v>
                </c:pt>
                <c:pt idx="52">
                  <c:v>0.9590870797546559</c:v>
                </c:pt>
                <c:pt idx="53">
                  <c:v>0.98915529253056922</c:v>
                </c:pt>
                <c:pt idx="54">
                  <c:v>1.019787505306482</c:v>
                </c:pt>
                <c:pt idx="55">
                  <c:v>1.0509837180823955</c:v>
                </c:pt>
                <c:pt idx="56">
                  <c:v>1.0827439308583089</c:v>
                </c:pt>
                <c:pt idx="57">
                  <c:v>1.1150681436342222</c:v>
                </c:pt>
                <c:pt idx="58">
                  <c:v>1.1479563564101356</c:v>
                </c:pt>
                <c:pt idx="59">
                  <c:v>1.1814085691860496</c:v>
                </c:pt>
                <c:pt idx="60">
                  <c:v>1.2154247819619619</c:v>
                </c:pt>
                <c:pt idx="61">
                  <c:v>1.2500049947378746</c:v>
                </c:pt>
                <c:pt idx="62">
                  <c:v>1.2851492075137887</c:v>
                </c:pt>
                <c:pt idx="63">
                  <c:v>1.3208574202897019</c:v>
                </c:pt>
                <c:pt idx="64">
                  <c:v>1.3571296330656155</c:v>
                </c:pt>
                <c:pt idx="65">
                  <c:v>1.3939658458415281</c:v>
                </c:pt>
                <c:pt idx="66">
                  <c:v>1.431366058617441</c:v>
                </c:pt>
                <c:pt idx="67">
                  <c:v>1.4693302713933549</c:v>
                </c:pt>
                <c:pt idx="68">
                  <c:v>1.5078584841692684</c:v>
                </c:pt>
                <c:pt idx="69">
                  <c:v>1.5469506969451807</c:v>
                </c:pt>
                <c:pt idx="70">
                  <c:v>1.5866069097210942</c:v>
                </c:pt>
                <c:pt idx="71">
                  <c:v>1.6268271224970077</c:v>
                </c:pt>
                <c:pt idx="72">
                  <c:v>1.6676113352729212</c:v>
                </c:pt>
                <c:pt idx="73">
                  <c:v>1.7089595480488335</c:v>
                </c:pt>
                <c:pt idx="74">
                  <c:v>1.7508717608247484</c:v>
                </c:pt>
                <c:pt idx="75">
                  <c:v>1.7933479736006606</c:v>
                </c:pt>
                <c:pt idx="76">
                  <c:v>1.8363881863765732</c:v>
                </c:pt>
                <c:pt idx="77">
                  <c:v>1.8799923991524881</c:v>
                </c:pt>
                <c:pt idx="78">
                  <c:v>1.9241606119284</c:v>
                </c:pt>
                <c:pt idx="79">
                  <c:v>1.9688928247043147</c:v>
                </c:pt>
                <c:pt idx="80">
                  <c:v>2.0141890374802265</c:v>
                </c:pt>
                <c:pt idx="81">
                  <c:v>2.0600492502561401</c:v>
                </c:pt>
                <c:pt idx="82">
                  <c:v>2.106473463032053</c:v>
                </c:pt>
                <c:pt idx="83">
                  <c:v>2.153461675807967</c:v>
                </c:pt>
                <c:pt idx="84">
                  <c:v>2.2010138885838799</c:v>
                </c:pt>
                <c:pt idx="85">
                  <c:v>2.2491301013597935</c:v>
                </c:pt>
                <c:pt idx="86">
                  <c:v>2.2978103141357069</c:v>
                </c:pt>
                <c:pt idx="87">
                  <c:v>2.3470545269116205</c:v>
                </c:pt>
                <c:pt idx="88">
                  <c:v>2.3968627396875335</c:v>
                </c:pt>
                <c:pt idx="89">
                  <c:v>2.4472349524634462</c:v>
                </c:pt>
                <c:pt idx="90">
                  <c:v>2.4981711652393601</c:v>
                </c:pt>
                <c:pt idx="91">
                  <c:v>2.5496713780152724</c:v>
                </c:pt>
                <c:pt idx="92">
                  <c:v>2.6017355907911872</c:v>
                </c:pt>
                <c:pt idx="93">
                  <c:v>2.6543638035670987</c:v>
                </c:pt>
                <c:pt idx="94">
                  <c:v>2.7075560163430135</c:v>
                </c:pt>
                <c:pt idx="95">
                  <c:v>2.7613122291189254</c:v>
                </c:pt>
                <c:pt idx="96">
                  <c:v>2.8156324418948393</c:v>
                </c:pt>
                <c:pt idx="97">
                  <c:v>2.8705166546707517</c:v>
                </c:pt>
                <c:pt idx="98">
                  <c:v>2.9259648674466661</c:v>
                </c:pt>
                <c:pt idx="99">
                  <c:v>2.9819770802225802</c:v>
                </c:pt>
                <c:pt idx="100">
                  <c:v>3.0385532929984924</c:v>
                </c:pt>
                <c:pt idx="101">
                  <c:v>3.0956935057744057</c:v>
                </c:pt>
                <c:pt idx="102">
                  <c:v>3.1533977185503179</c:v>
                </c:pt>
                <c:pt idx="103">
                  <c:v>3.2116659313262326</c:v>
                </c:pt>
                <c:pt idx="104">
                  <c:v>3.2704981441021461</c:v>
                </c:pt>
                <c:pt idx="105">
                  <c:v>3.3298943568780586</c:v>
                </c:pt>
                <c:pt idx="106">
                  <c:v>3.3898545696539713</c:v>
                </c:pt>
                <c:pt idx="107">
                  <c:v>3.4503787824298859</c:v>
                </c:pt>
                <c:pt idx="108">
                  <c:v>3.5114669952057986</c:v>
                </c:pt>
                <c:pt idx="109">
                  <c:v>3.5731192079817116</c:v>
                </c:pt>
                <c:pt idx="110">
                  <c:v>3.6353354207576243</c:v>
                </c:pt>
                <c:pt idx="111">
                  <c:v>3.698115633533539</c:v>
                </c:pt>
                <c:pt idx="112">
                  <c:v>3.7614598463094513</c:v>
                </c:pt>
                <c:pt idx="113">
                  <c:v>3.8253680590853638</c:v>
                </c:pt>
                <c:pt idx="114">
                  <c:v>3.8898402718612788</c:v>
                </c:pt>
                <c:pt idx="115">
                  <c:v>3.9548764846371891</c:v>
                </c:pt>
                <c:pt idx="116">
                  <c:v>4.0204766974131045</c:v>
                </c:pt>
                <c:pt idx="117">
                  <c:v>4.0866409101890175</c:v>
                </c:pt>
                <c:pt idx="118">
                  <c:v>4.1533691229649321</c:v>
                </c:pt>
                <c:pt idx="119">
                  <c:v>4.220661335740842</c:v>
                </c:pt>
                <c:pt idx="120">
                  <c:v>4.2885175485167579</c:v>
                </c:pt>
                <c:pt idx="121">
                  <c:v>4.3569377612926692</c:v>
                </c:pt>
                <c:pt idx="122">
                  <c:v>4.4259219740685802</c:v>
                </c:pt>
                <c:pt idx="123">
                  <c:v>4.4954701868444955</c:v>
                </c:pt>
                <c:pt idx="124">
                  <c:v>4.5655823996204097</c:v>
                </c:pt>
                <c:pt idx="125">
                  <c:v>4.6362586123963228</c:v>
                </c:pt>
                <c:pt idx="126">
                  <c:v>4.7074988251722347</c:v>
                </c:pt>
                <c:pt idx="127">
                  <c:v>4.7793030379481491</c:v>
                </c:pt>
                <c:pt idx="128">
                  <c:v>4.8516712507240625</c:v>
                </c:pt>
                <c:pt idx="129">
                  <c:v>4.9246034634999756</c:v>
                </c:pt>
                <c:pt idx="130">
                  <c:v>4.9980996762758867</c:v>
                </c:pt>
                <c:pt idx="131">
                  <c:v>5.0721598890518038</c:v>
                </c:pt>
                <c:pt idx="132">
                  <c:v>5.1467841018277145</c:v>
                </c:pt>
                <c:pt idx="133">
                  <c:v>5.2219723146036312</c:v>
                </c:pt>
                <c:pt idx="134">
                  <c:v>5.2977245273795424</c:v>
                </c:pt>
                <c:pt idx="135">
                  <c:v>5.3740407401554542</c:v>
                </c:pt>
                <c:pt idx="136">
                  <c:v>5.4509209529313676</c:v>
                </c:pt>
                <c:pt idx="137">
                  <c:v>5.5283651657072834</c:v>
                </c:pt>
                <c:pt idx="138">
                  <c:v>5.6063733784831955</c:v>
                </c:pt>
                <c:pt idx="139">
                  <c:v>5.6849455912591074</c:v>
                </c:pt>
                <c:pt idx="140">
                  <c:v>5.7640818040350208</c:v>
                </c:pt>
                <c:pt idx="141">
                  <c:v>5.8437820168109358</c:v>
                </c:pt>
                <c:pt idx="142">
                  <c:v>5.9240462295868497</c:v>
                </c:pt>
                <c:pt idx="143">
                  <c:v>6.0048744423627616</c:v>
                </c:pt>
                <c:pt idx="144">
                  <c:v>6.0862666551386759</c:v>
                </c:pt>
                <c:pt idx="145">
                  <c:v>6.1682228679145874</c:v>
                </c:pt>
                <c:pt idx="146">
                  <c:v>6.2507430806905022</c:v>
                </c:pt>
                <c:pt idx="147">
                  <c:v>6.3338272934664133</c:v>
                </c:pt>
                <c:pt idx="148">
                  <c:v>6.4174755062423294</c:v>
                </c:pt>
                <c:pt idx="149">
                  <c:v>6.5016877190182418</c:v>
                </c:pt>
                <c:pt idx="150">
                  <c:v>6.5864639317941522</c:v>
                </c:pt>
              </c:numCache>
            </c:numRef>
          </c:yVal>
          <c:smooth val="1"/>
          <c:extLst>
            <c:ext xmlns:c16="http://schemas.microsoft.com/office/drawing/2014/chart" uri="{C3380CC4-5D6E-409C-BE32-E72D297353CC}">
              <c16:uniqueId val="{00000001-9977-4FA8-9358-1BE425CE3F05}"/>
            </c:ext>
          </c:extLst>
        </c:ser>
        <c:ser>
          <c:idx val="3"/>
          <c:order val="2"/>
          <c:tx>
            <c:v>RS</c:v>
          </c:tx>
          <c:spPr>
            <a:ln>
              <a:solidFill>
                <a:schemeClr val="accent5">
                  <a:lumMod val="75000"/>
                </a:schemeClr>
              </a:solidFill>
              <a:prstDash val="lgDashDotDot"/>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Eff_vs_IOUT!$BU$7:$BU$157</c:f>
              <c:numCache>
                <c:formatCode>General</c:formatCode>
                <c:ptCount val="151"/>
                <c:pt idx="0">
                  <c:v>0</c:v>
                </c:pt>
                <c:pt idx="1">
                  <c:v>4.1902624070313919E-5</c:v>
                </c:pt>
                <c:pt idx="2">
                  <c:v>1.1851851851851848E-4</c:v>
                </c:pt>
                <c:pt idx="3">
                  <c:v>2.1773242158072689E-4</c:v>
                </c:pt>
                <c:pt idx="4">
                  <c:v>3.3522099256251135E-4</c:v>
                </c:pt>
                <c:pt idx="5">
                  <c:v>4.6848557928420447E-4</c:v>
                </c:pt>
                <c:pt idx="6">
                  <c:v>6.1584028713560065E-4</c:v>
                </c:pt>
                <c:pt idx="7">
                  <c:v>7.7604745799755826E-4</c:v>
                </c:pt>
                <c:pt idx="8">
                  <c:v>9.4814814814814794E-4</c:v>
                </c:pt>
                <c:pt idx="9">
                  <c:v>1.1313708498984758E-3</c:v>
                </c:pt>
                <c:pt idx="10">
                  <c:v>1.3250773199998756E-3</c:v>
                </c:pt>
                <c:pt idx="11">
                  <c:v>1.5287280994980067E-3</c:v>
                </c:pt>
                <c:pt idx="12">
                  <c:v>1.7418593726458151E-3</c:v>
                </c:pt>
                <c:pt idx="13">
                  <c:v>1.9640667756061088E-3</c:v>
                </c:pt>
                <c:pt idx="14">
                  <c:v>2.1949936802906221E-3</c:v>
                </c:pt>
                <c:pt idx="15">
                  <c:v>2.4343224778007378E-3</c:v>
                </c:pt>
                <c:pt idx="16">
                  <c:v>2.6817679405000908E-3</c:v>
                </c:pt>
                <c:pt idx="17">
                  <c:v>2.9370720655517071E-3</c:v>
                </c:pt>
                <c:pt idx="18">
                  <c:v>3.1999999999999997E-3</c:v>
                </c:pt>
                <c:pt idx="19">
                  <c:v>3.4703367720417956E-3</c:v>
                </c:pt>
                <c:pt idx="20">
                  <c:v>3.7478846342736357E-3</c:v>
                </c:pt>
                <c:pt idx="21">
                  <c:v>4.0324608790093339E-3</c:v>
                </c:pt>
                <c:pt idx="22">
                  <c:v>4.3238960229818532E-3</c:v>
                </c:pt>
                <c:pt idx="23">
                  <c:v>4.6220322847964797E-3</c:v>
                </c:pt>
                <c:pt idx="24">
                  <c:v>4.9267222970848052E-3</c:v>
                </c:pt>
                <c:pt idx="25">
                  <c:v>5.237828008789241E-3</c:v>
                </c:pt>
                <c:pt idx="26">
                  <c:v>5.5552197429371069E-3</c:v>
                </c:pt>
                <c:pt idx="27">
                  <c:v>5.8787753826796268E-3</c:v>
                </c:pt>
                <c:pt idx="28">
                  <c:v>6.2083796639804661E-3</c:v>
                </c:pt>
                <c:pt idx="29">
                  <c:v>6.5439235576312087E-3</c:v>
                </c:pt>
                <c:pt idx="30">
                  <c:v>6.8853037265909642E-3</c:v>
                </c:pt>
                <c:pt idx="31">
                  <c:v>7.2324220472404794E-3</c:v>
                </c:pt>
                <c:pt idx="32">
                  <c:v>7.5851851851851827E-3</c:v>
                </c:pt>
                <c:pt idx="33">
                  <c:v>7.9435042178662707E-3</c:v>
                </c:pt>
                <c:pt idx="34">
                  <c:v>8.3072942975407679E-3</c:v>
                </c:pt>
                <c:pt idx="35">
                  <c:v>8.6764743492422688E-3</c:v>
                </c:pt>
                <c:pt idx="36">
                  <c:v>9.0509667991878085E-3</c:v>
                </c:pt>
                <c:pt idx="37">
                  <c:v>9.4306973297948807E-3</c:v>
                </c:pt>
                <c:pt idx="38">
                  <c:v>9.8155946580471467E-3</c:v>
                </c:pt>
                <c:pt idx="39">
                  <c:v>1.020559033442329E-2</c:v>
                </c:pt>
                <c:pt idx="40">
                  <c:v>1.0600618559999003E-2</c:v>
                </c:pt>
                <c:pt idx="41">
                  <c:v>1.1000616019663234E-2</c:v>
                </c:pt>
                <c:pt idx="42">
                  <c:v>1.1405521729667866E-2</c:v>
                </c:pt>
                <c:pt idx="43">
                  <c:v>1.1815319411185809E-2</c:v>
                </c:pt>
                <c:pt idx="44">
                  <c:v>1.2232919411185808E-2</c:v>
                </c:pt>
                <c:pt idx="45">
                  <c:v>1.266011941118581E-2</c:v>
                </c:pt>
                <c:pt idx="46">
                  <c:v>1.3096919411185817E-2</c:v>
                </c:pt>
                <c:pt idx="47">
                  <c:v>1.3543319411185814E-2</c:v>
                </c:pt>
                <c:pt idx="48">
                  <c:v>1.3999319411185812E-2</c:v>
                </c:pt>
                <c:pt idx="49">
                  <c:v>1.4464919411185813E-2</c:v>
                </c:pt>
                <c:pt idx="50">
                  <c:v>1.4940119411185815E-2</c:v>
                </c:pt>
                <c:pt idx="51">
                  <c:v>1.542491941118581E-2</c:v>
                </c:pt>
                <c:pt idx="52">
                  <c:v>1.5919319411185812E-2</c:v>
                </c:pt>
                <c:pt idx="53">
                  <c:v>1.6423319411185817E-2</c:v>
                </c:pt>
                <c:pt idx="54">
                  <c:v>1.6936919411185806E-2</c:v>
                </c:pt>
                <c:pt idx="55">
                  <c:v>1.7460119411185811E-2</c:v>
                </c:pt>
                <c:pt idx="56">
                  <c:v>1.7992919411185814E-2</c:v>
                </c:pt>
                <c:pt idx="57">
                  <c:v>1.8535319411185813E-2</c:v>
                </c:pt>
                <c:pt idx="58">
                  <c:v>1.9087319411185813E-2</c:v>
                </c:pt>
                <c:pt idx="59">
                  <c:v>1.9648919411185829E-2</c:v>
                </c:pt>
                <c:pt idx="60">
                  <c:v>2.0220119411185809E-2</c:v>
                </c:pt>
                <c:pt idx="61">
                  <c:v>2.0800919411185802E-2</c:v>
                </c:pt>
                <c:pt idx="62">
                  <c:v>2.139131941118582E-2</c:v>
                </c:pt>
                <c:pt idx="63">
                  <c:v>2.1991319411185813E-2</c:v>
                </c:pt>
                <c:pt idx="64">
                  <c:v>2.2600919411185822E-2</c:v>
                </c:pt>
                <c:pt idx="65">
                  <c:v>2.3220119411185808E-2</c:v>
                </c:pt>
                <c:pt idx="66">
                  <c:v>2.3848919411185804E-2</c:v>
                </c:pt>
                <c:pt idx="67">
                  <c:v>2.4487319411185815E-2</c:v>
                </c:pt>
                <c:pt idx="68">
                  <c:v>2.5135319411185818E-2</c:v>
                </c:pt>
                <c:pt idx="69">
                  <c:v>2.5792919411185805E-2</c:v>
                </c:pt>
                <c:pt idx="70">
                  <c:v>2.6460119411185808E-2</c:v>
                </c:pt>
                <c:pt idx="71">
                  <c:v>2.7136919411185813E-2</c:v>
                </c:pt>
                <c:pt idx="72">
                  <c:v>2.7823319411185814E-2</c:v>
                </c:pt>
                <c:pt idx="73">
                  <c:v>2.8519319411185802E-2</c:v>
                </c:pt>
                <c:pt idx="74">
                  <c:v>2.9224919411185827E-2</c:v>
                </c:pt>
                <c:pt idx="75">
                  <c:v>2.9940119411185809E-2</c:v>
                </c:pt>
                <c:pt idx="76">
                  <c:v>3.0664919411185796E-2</c:v>
                </c:pt>
                <c:pt idx="77">
                  <c:v>3.1399319411185823E-2</c:v>
                </c:pt>
                <c:pt idx="78">
                  <c:v>3.2143319411185797E-2</c:v>
                </c:pt>
                <c:pt idx="79">
                  <c:v>3.2896919411185825E-2</c:v>
                </c:pt>
                <c:pt idx="80">
                  <c:v>3.3660119411185803E-2</c:v>
                </c:pt>
                <c:pt idx="81">
                  <c:v>3.4432919411185807E-2</c:v>
                </c:pt>
                <c:pt idx="82">
                  <c:v>3.5215319411185803E-2</c:v>
                </c:pt>
                <c:pt idx="83">
                  <c:v>3.6007319411185811E-2</c:v>
                </c:pt>
                <c:pt idx="84">
                  <c:v>3.680891941118581E-2</c:v>
                </c:pt>
                <c:pt idx="85">
                  <c:v>3.7620119411185815E-2</c:v>
                </c:pt>
                <c:pt idx="86">
                  <c:v>3.8440919411185819E-2</c:v>
                </c:pt>
                <c:pt idx="87">
                  <c:v>3.9271319411185827E-2</c:v>
                </c:pt>
                <c:pt idx="88">
                  <c:v>4.0111319411185821E-2</c:v>
                </c:pt>
                <c:pt idx="89">
                  <c:v>4.0960919411185806E-2</c:v>
                </c:pt>
                <c:pt idx="90">
                  <c:v>4.1820119411185824E-2</c:v>
                </c:pt>
                <c:pt idx="91">
                  <c:v>4.2688919411185799E-2</c:v>
                </c:pt>
                <c:pt idx="92">
                  <c:v>4.3567319411185829E-2</c:v>
                </c:pt>
                <c:pt idx="93">
                  <c:v>4.4455319411185808E-2</c:v>
                </c:pt>
                <c:pt idx="94">
                  <c:v>4.5352919411185827E-2</c:v>
                </c:pt>
                <c:pt idx="95">
                  <c:v>4.6260119411185796E-2</c:v>
                </c:pt>
                <c:pt idx="96">
                  <c:v>4.7176919411185812E-2</c:v>
                </c:pt>
                <c:pt idx="97">
                  <c:v>4.8103319411185799E-2</c:v>
                </c:pt>
                <c:pt idx="98">
                  <c:v>4.9039319411185819E-2</c:v>
                </c:pt>
                <c:pt idx="99">
                  <c:v>4.9984919411185831E-2</c:v>
                </c:pt>
                <c:pt idx="100">
                  <c:v>5.094011941118582E-2</c:v>
                </c:pt>
                <c:pt idx="101">
                  <c:v>5.1904919411185815E-2</c:v>
                </c:pt>
                <c:pt idx="102">
                  <c:v>5.2879319411185788E-2</c:v>
                </c:pt>
                <c:pt idx="103">
                  <c:v>5.3863319411185821E-2</c:v>
                </c:pt>
                <c:pt idx="104">
                  <c:v>5.4856919411185825E-2</c:v>
                </c:pt>
                <c:pt idx="105">
                  <c:v>5.5860119411185807E-2</c:v>
                </c:pt>
                <c:pt idx="106">
                  <c:v>5.6872919411185809E-2</c:v>
                </c:pt>
                <c:pt idx="107">
                  <c:v>5.7895319411185822E-2</c:v>
                </c:pt>
                <c:pt idx="108">
                  <c:v>5.8927319411185813E-2</c:v>
                </c:pt>
                <c:pt idx="109">
                  <c:v>5.9968919411185817E-2</c:v>
                </c:pt>
                <c:pt idx="110">
                  <c:v>6.1020119411185805E-2</c:v>
                </c:pt>
                <c:pt idx="111">
                  <c:v>6.2080919411185827E-2</c:v>
                </c:pt>
                <c:pt idx="112">
                  <c:v>6.3151319411185805E-2</c:v>
                </c:pt>
                <c:pt idx="113">
                  <c:v>6.4231319411185789E-2</c:v>
                </c:pt>
                <c:pt idx="114">
                  <c:v>6.5320919411185827E-2</c:v>
                </c:pt>
                <c:pt idx="115">
                  <c:v>6.642011941118578E-2</c:v>
                </c:pt>
                <c:pt idx="116">
                  <c:v>6.7528919411185814E-2</c:v>
                </c:pt>
                <c:pt idx="117">
                  <c:v>6.8647319411185806E-2</c:v>
                </c:pt>
                <c:pt idx="118">
                  <c:v>6.9775319411185824E-2</c:v>
                </c:pt>
                <c:pt idx="119">
                  <c:v>7.0912919411185785E-2</c:v>
                </c:pt>
                <c:pt idx="120">
                  <c:v>7.2060119411185827E-2</c:v>
                </c:pt>
                <c:pt idx="121">
                  <c:v>7.3216919411185785E-2</c:v>
                </c:pt>
                <c:pt idx="122">
                  <c:v>7.4383319411185755E-2</c:v>
                </c:pt>
                <c:pt idx="123">
                  <c:v>7.555931941118578E-2</c:v>
                </c:pt>
                <c:pt idx="124">
                  <c:v>7.6744919411185789E-2</c:v>
                </c:pt>
                <c:pt idx="125">
                  <c:v>7.794011941118581E-2</c:v>
                </c:pt>
                <c:pt idx="126">
                  <c:v>7.9144919411185788E-2</c:v>
                </c:pt>
                <c:pt idx="127">
                  <c:v>8.0359319411185792E-2</c:v>
                </c:pt>
                <c:pt idx="128">
                  <c:v>8.1583319411185795E-2</c:v>
                </c:pt>
                <c:pt idx="129">
                  <c:v>8.2816919411185796E-2</c:v>
                </c:pt>
                <c:pt idx="130">
                  <c:v>8.4060119411185755E-2</c:v>
                </c:pt>
                <c:pt idx="131">
                  <c:v>8.5312919411185822E-2</c:v>
                </c:pt>
                <c:pt idx="132">
                  <c:v>8.6575319411185778E-2</c:v>
                </c:pt>
                <c:pt idx="133">
                  <c:v>8.7847319411185842E-2</c:v>
                </c:pt>
                <c:pt idx="134">
                  <c:v>8.9128919411185795E-2</c:v>
                </c:pt>
                <c:pt idx="135">
                  <c:v>9.0420119411185773E-2</c:v>
                </c:pt>
                <c:pt idx="136">
                  <c:v>9.1720919411185778E-2</c:v>
                </c:pt>
                <c:pt idx="137">
                  <c:v>9.3031319411185809E-2</c:v>
                </c:pt>
                <c:pt idx="138">
                  <c:v>9.4351319411185797E-2</c:v>
                </c:pt>
                <c:pt idx="139">
                  <c:v>9.5680919411185783E-2</c:v>
                </c:pt>
                <c:pt idx="140">
                  <c:v>9.7020119411185782E-2</c:v>
                </c:pt>
                <c:pt idx="141">
                  <c:v>9.8368919411185807E-2</c:v>
                </c:pt>
                <c:pt idx="142">
                  <c:v>9.9727319411185816E-2</c:v>
                </c:pt>
                <c:pt idx="143">
                  <c:v>0.10109531941118578</c:v>
                </c:pt>
                <c:pt idx="144">
                  <c:v>0.10247291941118582</c:v>
                </c:pt>
                <c:pt idx="145">
                  <c:v>0.10386011941118579</c:v>
                </c:pt>
                <c:pt idx="146">
                  <c:v>0.10525691941118581</c:v>
                </c:pt>
                <c:pt idx="147">
                  <c:v>0.10666331941118577</c:v>
                </c:pt>
                <c:pt idx="148">
                  <c:v>0.10807931941118583</c:v>
                </c:pt>
                <c:pt idx="149">
                  <c:v>0.1095049194111858</c:v>
                </c:pt>
                <c:pt idx="150">
                  <c:v>0.11094011941118577</c:v>
                </c:pt>
              </c:numCache>
            </c:numRef>
          </c:yVal>
          <c:smooth val="1"/>
          <c:extLst>
            <c:ext xmlns:c16="http://schemas.microsoft.com/office/drawing/2014/chart" uri="{C3380CC4-5D6E-409C-BE32-E72D297353CC}">
              <c16:uniqueId val="{00000002-9977-4FA8-9358-1BE425CE3F05}"/>
            </c:ext>
          </c:extLst>
        </c:ser>
        <c:ser>
          <c:idx val="2"/>
          <c:order val="3"/>
          <c:tx>
            <c:v>D1</c:v>
          </c:tx>
          <c:spPr>
            <a:ln>
              <a:solidFill>
                <a:schemeClr val="bg2">
                  <a:lumMod val="50000"/>
                </a:schemeClr>
              </a:solidFill>
              <a:prstDash val="sysDash"/>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Eff_vs_IOUT!$AY$8:$AY$157</c:f>
              <c:numCache>
                <c:formatCode>General</c:formatCode>
                <c:ptCount val="150"/>
                <c:pt idx="0">
                  <c:v>3.8333333333333329E-4</c:v>
                </c:pt>
                <c:pt idx="1">
                  <c:v>7.6666666666666658E-4</c:v>
                </c:pt>
                <c:pt idx="2">
                  <c:v>1.15E-3</c:v>
                </c:pt>
                <c:pt idx="3">
                  <c:v>1.5333333333333332E-3</c:v>
                </c:pt>
                <c:pt idx="4">
                  <c:v>1.9166666666666666E-3</c:v>
                </c:pt>
                <c:pt idx="5">
                  <c:v>2.3E-3</c:v>
                </c:pt>
                <c:pt idx="6">
                  <c:v>2.6833333333333331E-3</c:v>
                </c:pt>
                <c:pt idx="7">
                  <c:v>3.0666666666666663E-3</c:v>
                </c:pt>
                <c:pt idx="8">
                  <c:v>3.4499999999999999E-3</c:v>
                </c:pt>
                <c:pt idx="9">
                  <c:v>3.8333333333333331E-3</c:v>
                </c:pt>
                <c:pt idx="10">
                  <c:v>4.2166666666666663E-3</c:v>
                </c:pt>
                <c:pt idx="11">
                  <c:v>4.5999999999999999E-3</c:v>
                </c:pt>
                <c:pt idx="12">
                  <c:v>4.9833333333333327E-3</c:v>
                </c:pt>
                <c:pt idx="13">
                  <c:v>5.3666666666666663E-3</c:v>
                </c:pt>
                <c:pt idx="14">
                  <c:v>5.7499999999999999E-3</c:v>
                </c:pt>
                <c:pt idx="15">
                  <c:v>6.1333333333333327E-3</c:v>
                </c:pt>
                <c:pt idx="16">
                  <c:v>6.5166666666666663E-3</c:v>
                </c:pt>
                <c:pt idx="17">
                  <c:v>6.8999999999999999E-3</c:v>
                </c:pt>
                <c:pt idx="18">
                  <c:v>7.2833333333333326E-3</c:v>
                </c:pt>
                <c:pt idx="19">
                  <c:v>7.6666666666666662E-3</c:v>
                </c:pt>
                <c:pt idx="20">
                  <c:v>8.0499999999999999E-3</c:v>
                </c:pt>
                <c:pt idx="21">
                  <c:v>8.4333333333333326E-3</c:v>
                </c:pt>
                <c:pt idx="22">
                  <c:v>8.8166666666666654E-3</c:v>
                </c:pt>
                <c:pt idx="23">
                  <c:v>9.1999999999999998E-3</c:v>
                </c:pt>
                <c:pt idx="24">
                  <c:v>9.5833333333333326E-3</c:v>
                </c:pt>
                <c:pt idx="25">
                  <c:v>9.9666666666666653E-3</c:v>
                </c:pt>
                <c:pt idx="26">
                  <c:v>1.0349999999999998E-2</c:v>
                </c:pt>
                <c:pt idx="27">
                  <c:v>1.0733333333333333E-2</c:v>
                </c:pt>
                <c:pt idx="28">
                  <c:v>1.1116666666666667E-2</c:v>
                </c:pt>
                <c:pt idx="29">
                  <c:v>1.15E-2</c:v>
                </c:pt>
                <c:pt idx="30">
                  <c:v>1.1883333333333333E-2</c:v>
                </c:pt>
                <c:pt idx="31">
                  <c:v>1.2266666666666665E-2</c:v>
                </c:pt>
                <c:pt idx="32">
                  <c:v>1.2649999999999998E-2</c:v>
                </c:pt>
                <c:pt idx="33">
                  <c:v>1.3033333333333333E-2</c:v>
                </c:pt>
                <c:pt idx="34">
                  <c:v>1.3416666666666667E-2</c:v>
                </c:pt>
                <c:pt idx="35">
                  <c:v>1.38E-2</c:v>
                </c:pt>
                <c:pt idx="36">
                  <c:v>1.4183333333333333E-2</c:v>
                </c:pt>
                <c:pt idx="37">
                  <c:v>1.4566666666666665E-2</c:v>
                </c:pt>
                <c:pt idx="38">
                  <c:v>1.4949999999999998E-2</c:v>
                </c:pt>
                <c:pt idx="39">
                  <c:v>1.5333333333333332E-2</c:v>
                </c:pt>
                <c:pt idx="40">
                  <c:v>1.5716666666666667E-2</c:v>
                </c:pt>
                <c:pt idx="41">
                  <c:v>1.61E-2</c:v>
                </c:pt>
                <c:pt idx="42">
                  <c:v>1.6483333333333332E-2</c:v>
                </c:pt>
                <c:pt idx="43">
                  <c:v>1.6866666666666665E-2</c:v>
                </c:pt>
                <c:pt idx="44">
                  <c:v>1.7249999999999998E-2</c:v>
                </c:pt>
                <c:pt idx="45">
                  <c:v>1.7633333333333331E-2</c:v>
                </c:pt>
                <c:pt idx="46">
                  <c:v>1.8016666666666663E-2</c:v>
                </c:pt>
                <c:pt idx="47">
                  <c:v>1.84E-2</c:v>
                </c:pt>
                <c:pt idx="48">
                  <c:v>1.8783333333333329E-2</c:v>
                </c:pt>
                <c:pt idx="49">
                  <c:v>1.9166666666666665E-2</c:v>
                </c:pt>
                <c:pt idx="50">
                  <c:v>1.9550000000000001E-2</c:v>
                </c:pt>
                <c:pt idx="51">
                  <c:v>1.9933333333333331E-2</c:v>
                </c:pt>
                <c:pt idx="52">
                  <c:v>2.0316666666666667E-2</c:v>
                </c:pt>
                <c:pt idx="53">
                  <c:v>2.0699999999999996E-2</c:v>
                </c:pt>
                <c:pt idx="54">
                  <c:v>2.1083333333333332E-2</c:v>
                </c:pt>
                <c:pt idx="55">
                  <c:v>2.1466666666666665E-2</c:v>
                </c:pt>
                <c:pt idx="56">
                  <c:v>2.1849999999999998E-2</c:v>
                </c:pt>
                <c:pt idx="57">
                  <c:v>2.2233333333333334E-2</c:v>
                </c:pt>
                <c:pt idx="58">
                  <c:v>2.2616666666666663E-2</c:v>
                </c:pt>
                <c:pt idx="59">
                  <c:v>2.3E-2</c:v>
                </c:pt>
                <c:pt idx="60">
                  <c:v>2.3383333333333329E-2</c:v>
                </c:pt>
                <c:pt idx="61">
                  <c:v>2.3766666666666665E-2</c:v>
                </c:pt>
                <c:pt idx="62">
                  <c:v>2.4150000000000001E-2</c:v>
                </c:pt>
                <c:pt idx="63">
                  <c:v>2.4533333333333331E-2</c:v>
                </c:pt>
                <c:pt idx="64">
                  <c:v>2.4916666666666667E-2</c:v>
                </c:pt>
                <c:pt idx="65">
                  <c:v>2.5299999999999996E-2</c:v>
                </c:pt>
                <c:pt idx="66">
                  <c:v>2.5683333333333332E-2</c:v>
                </c:pt>
                <c:pt idx="67">
                  <c:v>2.6066666666666665E-2</c:v>
                </c:pt>
                <c:pt idx="68">
                  <c:v>2.6449999999999998E-2</c:v>
                </c:pt>
                <c:pt idx="69">
                  <c:v>2.6833333333333334E-2</c:v>
                </c:pt>
                <c:pt idx="70">
                  <c:v>2.7216666666666663E-2</c:v>
                </c:pt>
                <c:pt idx="71">
                  <c:v>2.76E-2</c:v>
                </c:pt>
                <c:pt idx="72">
                  <c:v>2.7983333333333329E-2</c:v>
                </c:pt>
                <c:pt idx="73">
                  <c:v>2.8366666666666665E-2</c:v>
                </c:pt>
                <c:pt idx="74">
                  <c:v>2.8749999999999998E-2</c:v>
                </c:pt>
                <c:pt idx="75">
                  <c:v>2.9133333333333331E-2</c:v>
                </c:pt>
                <c:pt idx="76">
                  <c:v>2.9516666666666667E-2</c:v>
                </c:pt>
                <c:pt idx="77">
                  <c:v>2.9899999999999996E-2</c:v>
                </c:pt>
                <c:pt idx="78">
                  <c:v>3.0283333333333332E-2</c:v>
                </c:pt>
                <c:pt idx="79">
                  <c:v>3.0666666666666665E-2</c:v>
                </c:pt>
                <c:pt idx="80">
                  <c:v>3.1049999999999998E-2</c:v>
                </c:pt>
                <c:pt idx="81">
                  <c:v>3.1433333333333334E-2</c:v>
                </c:pt>
                <c:pt idx="82">
                  <c:v>3.181666666666666E-2</c:v>
                </c:pt>
                <c:pt idx="83">
                  <c:v>3.2199999999999999E-2</c:v>
                </c:pt>
                <c:pt idx="84">
                  <c:v>3.2583333333333332E-2</c:v>
                </c:pt>
                <c:pt idx="85">
                  <c:v>3.2966666666666665E-2</c:v>
                </c:pt>
                <c:pt idx="86">
                  <c:v>3.3349999999999998E-2</c:v>
                </c:pt>
                <c:pt idx="87">
                  <c:v>3.373333333333333E-2</c:v>
                </c:pt>
                <c:pt idx="88">
                  <c:v>3.4116666666666663E-2</c:v>
                </c:pt>
                <c:pt idx="89">
                  <c:v>3.4499999999999996E-2</c:v>
                </c:pt>
                <c:pt idx="90">
                  <c:v>3.4883333333333329E-2</c:v>
                </c:pt>
                <c:pt idx="91">
                  <c:v>3.5266666666666661E-2</c:v>
                </c:pt>
                <c:pt idx="92">
                  <c:v>3.5649999999999994E-2</c:v>
                </c:pt>
                <c:pt idx="93">
                  <c:v>3.6033333333333327E-2</c:v>
                </c:pt>
                <c:pt idx="94">
                  <c:v>3.6416666666666667E-2</c:v>
                </c:pt>
                <c:pt idx="95">
                  <c:v>3.6799999999999999E-2</c:v>
                </c:pt>
                <c:pt idx="96">
                  <c:v>3.7183333333333332E-2</c:v>
                </c:pt>
                <c:pt idx="97">
                  <c:v>3.7566666666666658E-2</c:v>
                </c:pt>
                <c:pt idx="98">
                  <c:v>3.7949999999999998E-2</c:v>
                </c:pt>
                <c:pt idx="99">
                  <c:v>3.833333333333333E-2</c:v>
                </c:pt>
                <c:pt idx="100">
                  <c:v>3.8716666666666663E-2</c:v>
                </c:pt>
                <c:pt idx="101">
                  <c:v>3.9100000000000003E-2</c:v>
                </c:pt>
                <c:pt idx="102">
                  <c:v>3.9483333333333329E-2</c:v>
                </c:pt>
                <c:pt idx="103">
                  <c:v>3.9866666666666661E-2</c:v>
                </c:pt>
                <c:pt idx="104">
                  <c:v>4.0250000000000001E-2</c:v>
                </c:pt>
                <c:pt idx="105">
                  <c:v>4.0633333333333334E-2</c:v>
                </c:pt>
                <c:pt idx="106">
                  <c:v>4.101666666666666E-2</c:v>
                </c:pt>
                <c:pt idx="107">
                  <c:v>4.1399999999999992E-2</c:v>
                </c:pt>
                <c:pt idx="108">
                  <c:v>4.1783333333333332E-2</c:v>
                </c:pt>
                <c:pt idx="109">
                  <c:v>4.2166666666666665E-2</c:v>
                </c:pt>
                <c:pt idx="110">
                  <c:v>4.2549999999999998E-2</c:v>
                </c:pt>
                <c:pt idx="111">
                  <c:v>4.293333333333333E-2</c:v>
                </c:pt>
                <c:pt idx="112">
                  <c:v>4.3316666666666663E-2</c:v>
                </c:pt>
                <c:pt idx="113">
                  <c:v>4.3699999999999996E-2</c:v>
                </c:pt>
                <c:pt idx="114">
                  <c:v>4.4083333333333329E-2</c:v>
                </c:pt>
                <c:pt idx="115">
                  <c:v>4.4466666666666668E-2</c:v>
                </c:pt>
                <c:pt idx="116">
                  <c:v>4.4849999999999994E-2</c:v>
                </c:pt>
                <c:pt idx="117">
                  <c:v>4.5233333333333327E-2</c:v>
                </c:pt>
                <c:pt idx="118">
                  <c:v>4.5616666666666666E-2</c:v>
                </c:pt>
                <c:pt idx="119">
                  <c:v>4.5999999999999999E-2</c:v>
                </c:pt>
                <c:pt idx="120">
                  <c:v>4.6383333333333325E-2</c:v>
                </c:pt>
                <c:pt idx="121">
                  <c:v>4.6766666666666658E-2</c:v>
                </c:pt>
                <c:pt idx="122">
                  <c:v>4.7149999999999997E-2</c:v>
                </c:pt>
                <c:pt idx="123">
                  <c:v>4.753333333333333E-2</c:v>
                </c:pt>
                <c:pt idx="124">
                  <c:v>4.7916666666666663E-2</c:v>
                </c:pt>
                <c:pt idx="125">
                  <c:v>4.8300000000000003E-2</c:v>
                </c:pt>
                <c:pt idx="126">
                  <c:v>4.8683333333333328E-2</c:v>
                </c:pt>
                <c:pt idx="127">
                  <c:v>4.9066666666666661E-2</c:v>
                </c:pt>
                <c:pt idx="128">
                  <c:v>4.9449999999999994E-2</c:v>
                </c:pt>
                <c:pt idx="129">
                  <c:v>4.9833333333333334E-2</c:v>
                </c:pt>
                <c:pt idx="130">
                  <c:v>5.0216666666666659E-2</c:v>
                </c:pt>
                <c:pt idx="131">
                  <c:v>5.0599999999999992E-2</c:v>
                </c:pt>
                <c:pt idx="132">
                  <c:v>5.0983333333333332E-2</c:v>
                </c:pt>
                <c:pt idx="133">
                  <c:v>5.1366666666666665E-2</c:v>
                </c:pt>
                <c:pt idx="134">
                  <c:v>5.1749999999999997E-2</c:v>
                </c:pt>
                <c:pt idx="135">
                  <c:v>5.213333333333333E-2</c:v>
                </c:pt>
                <c:pt idx="136">
                  <c:v>5.2516666666666663E-2</c:v>
                </c:pt>
                <c:pt idx="137">
                  <c:v>5.2899999999999996E-2</c:v>
                </c:pt>
                <c:pt idx="138">
                  <c:v>5.3283333333333328E-2</c:v>
                </c:pt>
                <c:pt idx="139">
                  <c:v>5.3666666666666668E-2</c:v>
                </c:pt>
                <c:pt idx="140">
                  <c:v>5.4049999999999994E-2</c:v>
                </c:pt>
                <c:pt idx="141">
                  <c:v>5.4433333333333327E-2</c:v>
                </c:pt>
                <c:pt idx="142">
                  <c:v>5.4816666666666666E-2</c:v>
                </c:pt>
                <c:pt idx="143">
                  <c:v>5.5199999999999999E-2</c:v>
                </c:pt>
                <c:pt idx="144">
                  <c:v>5.5583333333333325E-2</c:v>
                </c:pt>
                <c:pt idx="145">
                  <c:v>5.5966666666666658E-2</c:v>
                </c:pt>
                <c:pt idx="146">
                  <c:v>5.6349999999999997E-2</c:v>
                </c:pt>
                <c:pt idx="147">
                  <c:v>5.673333333333333E-2</c:v>
                </c:pt>
                <c:pt idx="148">
                  <c:v>5.7116666666666663E-2</c:v>
                </c:pt>
                <c:pt idx="149">
                  <c:v>5.7499999999999996E-2</c:v>
                </c:pt>
              </c:numCache>
            </c:numRef>
          </c:yVal>
          <c:smooth val="1"/>
          <c:extLst>
            <c:ext xmlns:c16="http://schemas.microsoft.com/office/drawing/2014/chart" uri="{C3380CC4-5D6E-409C-BE32-E72D297353CC}">
              <c16:uniqueId val="{00000003-9977-4FA8-9358-1BE425CE3F05}"/>
            </c:ext>
          </c:extLst>
        </c:ser>
        <c:dLbls>
          <c:showLegendKey val="0"/>
          <c:showVal val="0"/>
          <c:showCatName val="0"/>
          <c:showSerName val="0"/>
          <c:showPercent val="0"/>
          <c:showBubbleSize val="0"/>
        </c:dLbls>
        <c:axId val="582753280"/>
        <c:axId val="582751360"/>
      </c:scatterChart>
      <c:valAx>
        <c:axId val="583325184"/>
        <c:scaling>
          <c:orientation val="minMax"/>
        </c:scaling>
        <c:delete val="0"/>
        <c:axPos val="b"/>
        <c:majorGridlines/>
        <c:numFmt formatCode="General" sourceLinked="1"/>
        <c:majorTickMark val="out"/>
        <c:minorTickMark val="none"/>
        <c:tickLblPos val="nextTo"/>
        <c:crossAx val="583326720"/>
        <c:crosses val="autoZero"/>
        <c:crossBetween val="midCat"/>
      </c:valAx>
      <c:valAx>
        <c:axId val="583326720"/>
        <c:scaling>
          <c:orientation val="minMax"/>
          <c:max val="100"/>
          <c:min val="60"/>
        </c:scaling>
        <c:delete val="0"/>
        <c:axPos val="l"/>
        <c:majorGridlines/>
        <c:title>
          <c:tx>
            <c:rich>
              <a:bodyPr rot="-5400000" vert="horz"/>
              <a:lstStyle/>
              <a:p>
                <a:pPr>
                  <a:defRPr sz="1400"/>
                </a:pPr>
                <a:r>
                  <a:rPr lang="en-US" sz="1400"/>
                  <a:t>Efficiency</a:t>
                </a:r>
                <a:r>
                  <a:rPr lang="en-US" sz="1400" baseline="0"/>
                  <a:t> (%)</a:t>
                </a:r>
                <a:endParaRPr lang="en-US" sz="1400"/>
              </a:p>
            </c:rich>
          </c:tx>
          <c:overlay val="0"/>
        </c:title>
        <c:numFmt formatCode="General" sourceLinked="1"/>
        <c:majorTickMark val="out"/>
        <c:minorTickMark val="none"/>
        <c:tickLblPos val="nextTo"/>
        <c:crossAx val="583325184"/>
        <c:crosses val="autoZero"/>
        <c:crossBetween val="midCat"/>
      </c:valAx>
      <c:valAx>
        <c:axId val="582751360"/>
        <c:scaling>
          <c:orientation val="minMax"/>
        </c:scaling>
        <c:delete val="0"/>
        <c:axPos val="r"/>
        <c:title>
          <c:tx>
            <c:rich>
              <a:bodyPr rot="-5400000" vert="horz"/>
              <a:lstStyle/>
              <a:p>
                <a:pPr>
                  <a:defRPr sz="1400"/>
                </a:pPr>
                <a:r>
                  <a:rPr lang="en-US" sz="1400"/>
                  <a:t>Losses</a:t>
                </a:r>
                <a:r>
                  <a:rPr lang="en-US" sz="1400" baseline="0"/>
                  <a:t> (W)</a:t>
                </a:r>
                <a:endParaRPr lang="en-US" sz="1400"/>
              </a:p>
            </c:rich>
          </c:tx>
          <c:overlay val="0"/>
        </c:title>
        <c:numFmt formatCode="General" sourceLinked="1"/>
        <c:majorTickMark val="out"/>
        <c:minorTickMark val="none"/>
        <c:tickLblPos val="nextTo"/>
        <c:crossAx val="582753280"/>
        <c:crosses val="max"/>
        <c:crossBetween val="midCat"/>
      </c:valAx>
      <c:valAx>
        <c:axId val="582753280"/>
        <c:scaling>
          <c:orientation val="minMax"/>
        </c:scaling>
        <c:delete val="1"/>
        <c:axPos val="b"/>
        <c:title>
          <c:tx>
            <c:rich>
              <a:bodyPr/>
              <a:lstStyle/>
              <a:p>
                <a:pPr>
                  <a:defRPr/>
                </a:pPr>
                <a:r>
                  <a:rPr lang="en-US"/>
                  <a:t>Loac</a:t>
                </a:r>
                <a:r>
                  <a:rPr lang="en-US" baseline="0"/>
                  <a:t> Current (A)</a:t>
                </a:r>
                <a:endParaRPr lang="en-US"/>
              </a:p>
            </c:rich>
          </c:tx>
          <c:overlay val="0"/>
        </c:title>
        <c:numFmt formatCode="General" sourceLinked="1"/>
        <c:majorTickMark val="out"/>
        <c:minorTickMark val="none"/>
        <c:tickLblPos val="nextTo"/>
        <c:crossAx val="582751360"/>
        <c:crosses val="autoZero"/>
        <c:crossBetween val="midCat"/>
      </c:valAx>
    </c:plotArea>
    <c:legend>
      <c:legendPos val="r"/>
      <c:layout>
        <c:manualLayout>
          <c:xMode val="edge"/>
          <c:yMode val="edge"/>
          <c:x val="0.51894403926190358"/>
          <c:y val="6.4862204724409449E-3"/>
          <c:w val="0.39609572935704079"/>
          <c:h val="0.12183653099700564"/>
        </c:manualLayout>
      </c:layout>
      <c:overlay val="1"/>
    </c:legend>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2400"/>
            </a:pPr>
            <a:r>
              <a:rPr lang="el-GR" sz="2400"/>
              <a:t>η</a:t>
            </a:r>
            <a:endParaRPr lang="en-US" sz="2400"/>
          </a:p>
        </c:rich>
      </c:tx>
      <c:layout>
        <c:manualLayout>
          <c:xMode val="edge"/>
          <c:yMode val="edge"/>
          <c:x val="9.2321838295158831E-2"/>
          <c:y val="6.7069081153588199E-3"/>
        </c:manualLayout>
      </c:layout>
      <c:overlay val="1"/>
    </c:title>
    <c:autoTitleDeleted val="0"/>
    <c:plotArea>
      <c:layout>
        <c:manualLayout>
          <c:layoutTarget val="inner"/>
          <c:xMode val="edge"/>
          <c:yMode val="edge"/>
          <c:x val="9.4343575816580413E-2"/>
          <c:y val="0.12777504924560487"/>
          <c:w val="0.82170691922728745"/>
          <c:h val="0.74982770867653059"/>
        </c:manualLayout>
      </c:layout>
      <c:scatterChart>
        <c:scatterStyle val="smoothMarker"/>
        <c:varyColors val="0"/>
        <c:ser>
          <c:idx val="0"/>
          <c:order val="0"/>
          <c:tx>
            <c:v>Eff</c:v>
          </c:tx>
          <c:spPr>
            <a:ln>
              <a:solidFill>
                <a:srgbClr val="FF0000"/>
              </a:solidFill>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Eff_vs_IOUT!$BZ$7:$BZ$157</c:f>
              <c:numCache>
                <c:formatCode>General</c:formatCode>
                <c:ptCount val="151"/>
                <c:pt idx="0">
                  <c:v>0</c:v>
                </c:pt>
                <c:pt idx="1">
                  <c:v>91.614175393546276</c:v>
                </c:pt>
                <c:pt idx="2">
                  <c:v>91.407098962065774</c:v>
                </c:pt>
                <c:pt idx="3">
                  <c:v>90.919515145869681</c:v>
                </c:pt>
                <c:pt idx="4">
                  <c:v>90.423397156149136</c:v>
                </c:pt>
                <c:pt idx="5">
                  <c:v>89.953568159285354</c:v>
                </c:pt>
                <c:pt idx="6">
                  <c:v>89.51383788982254</c:v>
                </c:pt>
                <c:pt idx="7">
                  <c:v>89.102050447809063</c:v>
                </c:pt>
                <c:pt idx="8">
                  <c:v>88.715036340984568</c:v>
                </c:pt>
                <c:pt idx="9">
                  <c:v>88.349773309631189</c:v>
                </c:pt>
                <c:pt idx="10">
                  <c:v>88.003636100108977</c:v>
                </c:pt>
                <c:pt idx="11">
                  <c:v>87.674404780249176</c:v>
                </c:pt>
                <c:pt idx="12">
                  <c:v>87.360212725648324</c:v>
                </c:pt>
                <c:pt idx="13">
                  <c:v>87.059486569173671</c:v>
                </c:pt>
                <c:pt idx="14">
                  <c:v>86.770892606437656</c:v>
                </c:pt>
                <c:pt idx="15">
                  <c:v>86.493292518481653</c:v>
                </c:pt>
                <c:pt idx="16">
                  <c:v>86.22570779343539</c:v>
                </c:pt>
                <c:pt idx="17">
                  <c:v>85.967291385869004</c:v>
                </c:pt>
                <c:pt idx="18">
                  <c:v>85.717305145836306</c:v>
                </c:pt>
                <c:pt idx="19">
                  <c:v>85.475101773265081</c:v>
                </c:pt>
                <c:pt idx="20">
                  <c:v>85.240110306010791</c:v>
                </c:pt>
                <c:pt idx="21">
                  <c:v>85.01182437093334</c:v>
                </c:pt>
                <c:pt idx="22">
                  <c:v>84.789792604750019</c:v>
                </c:pt>
                <c:pt idx="23">
                  <c:v>84.573610788738691</c:v>
                </c:pt>
                <c:pt idx="24">
                  <c:v>84.362915346055658</c:v>
                </c:pt>
                <c:pt idx="25">
                  <c:v>84.157377929836684</c:v>
                </c:pt>
                <c:pt idx="26">
                  <c:v>83.956700890484115</c:v>
                </c:pt>
                <c:pt idx="27">
                  <c:v>83.760613456380312</c:v>
                </c:pt>
                <c:pt idx="28">
                  <c:v>83.568868497314881</c:v>
                </c:pt>
                <c:pt idx="29">
                  <c:v>83.381239766864809</c:v>
                </c:pt>
                <c:pt idx="30">
                  <c:v>83.197519540819869</c:v>
                </c:pt>
                <c:pt idx="31">
                  <c:v>83.01751658498479</c:v>
                </c:pt>
                <c:pt idx="32">
                  <c:v>82.841054398415537</c:v>
                </c:pt>
                <c:pt idx="33">
                  <c:v>82.667969688184215</c:v>
                </c:pt>
                <c:pt idx="34">
                  <c:v>82.498111039732223</c:v>
                </c:pt>
                <c:pt idx="35">
                  <c:v>82.331337753230457</c:v>
                </c:pt>
                <c:pt idx="36">
                  <c:v>82.167518821471958</c:v>
                </c:pt>
                <c:pt idx="37">
                  <c:v>82.006532028945742</c:v>
                </c:pt>
                <c:pt idx="38">
                  <c:v>81.848263155089441</c:v>
                </c:pt>
                <c:pt idx="39">
                  <c:v>81.692605267450077</c:v>
                </c:pt>
                <c:pt idx="40">
                  <c:v>81.53945809272382</c:v>
                </c:pt>
                <c:pt idx="41">
                  <c:v>81.388727455492301</c:v>
                </c:pt>
                <c:pt idx="42">
                  <c:v>81.240324776002453</c:v>
                </c:pt>
                <c:pt idx="43">
                  <c:v>81.094028148200508</c:v>
                </c:pt>
                <c:pt idx="44">
                  <c:v>80.946195400887547</c:v>
                </c:pt>
                <c:pt idx="45">
                  <c:v>80.795745329504342</c:v>
                </c:pt>
                <c:pt idx="46">
                  <c:v>80.642915089485427</c:v>
                </c:pt>
                <c:pt idx="47">
                  <c:v>80.487921664638691</c:v>
                </c:pt>
                <c:pt idx="48">
                  <c:v>80.330963895846594</c:v>
                </c:pt>
                <c:pt idx="49">
                  <c:v>80.172224270858976</c:v>
                </c:pt>
                <c:pt idx="50">
                  <c:v>80.011870507349187</c:v>
                </c:pt>
                <c:pt idx="51">
                  <c:v>79.850056956547675</c:v>
                </c:pt>
                <c:pt idx="52">
                  <c:v>79.686925850720257</c:v>
                </c:pt>
                <c:pt idx="53">
                  <c:v>79.522608414372527</c:v>
                </c:pt>
                <c:pt idx="54">
                  <c:v>79.357225856221476</c:v>
                </c:pt>
                <c:pt idx="55">
                  <c:v>79.190890256582406</c:v>
                </c:pt>
                <c:pt idx="56">
                  <c:v>79.023705362799717</c:v>
                </c:pt>
                <c:pt idx="57">
                  <c:v>78.85576730363519</c:v>
                </c:pt>
                <c:pt idx="58">
                  <c:v>78.687165232074292</c:v>
                </c:pt>
                <c:pt idx="59">
                  <c:v>78.517981904768135</c:v>
                </c:pt>
                <c:pt idx="60">
                  <c:v>78.34829420526917</c:v>
                </c:pt>
                <c:pt idx="61">
                  <c:v>78.178173617309071</c:v>
                </c:pt>
                <c:pt idx="62">
                  <c:v>78.007686653586205</c:v>
                </c:pt>
                <c:pt idx="63">
                  <c:v>77.836895244856947</c:v>
                </c:pt>
                <c:pt idx="64">
                  <c:v>77.665857093543579</c:v>
                </c:pt>
                <c:pt idx="65">
                  <c:v>77.49462599556901</c:v>
                </c:pt>
                <c:pt idx="66">
                  <c:v>77.323252133691057</c:v>
                </c:pt>
                <c:pt idx="67">
                  <c:v>77.151782345230302</c:v>
                </c:pt>
                <c:pt idx="68">
                  <c:v>76.980260366754266</c:v>
                </c:pt>
                <c:pt idx="69">
                  <c:v>76.808727057991561</c:v>
                </c:pt>
                <c:pt idx="70">
                  <c:v>76.637220606997758</c:v>
                </c:pt>
                <c:pt idx="71">
                  <c:v>76.465776718372311</c:v>
                </c:pt>
                <c:pt idx="72">
                  <c:v>76.294428786131618</c:v>
                </c:pt>
                <c:pt idx="73">
                  <c:v>76.123208052671941</c:v>
                </c:pt>
                <c:pt idx="74">
                  <c:v>75.952143755105254</c:v>
                </c:pt>
                <c:pt idx="75">
                  <c:v>75.781263260117143</c:v>
                </c:pt>
                <c:pt idx="76">
                  <c:v>75.610592188378462</c:v>
                </c:pt>
                <c:pt idx="77">
                  <c:v>75.440154529437777</c:v>
                </c:pt>
                <c:pt idx="78">
                  <c:v>75.269972747928961</c:v>
                </c:pt>
                <c:pt idx="79">
                  <c:v>75.10006788184532</c:v>
                </c:pt>
                <c:pt idx="80">
                  <c:v>74.930459633559678</c:v>
                </c:pt>
                <c:pt idx="81">
                  <c:v>74.761166454202154</c:v>
                </c:pt>
                <c:pt idx="82">
                  <c:v>74.592205621951635</c:v>
                </c:pt>
                <c:pt idx="83">
                  <c:v>74.423593314742106</c:v>
                </c:pt>
                <c:pt idx="84">
                  <c:v>74.255344677840412</c:v>
                </c:pt>
                <c:pt idx="85">
                  <c:v>74.087473886708494</c:v>
                </c:pt>
                <c:pt idx="86">
                  <c:v>73.919994205526706</c:v>
                </c:pt>
                <c:pt idx="87">
                  <c:v>73.752918041719923</c:v>
                </c:pt>
                <c:pt idx="88">
                  <c:v>73.586256996798767</c:v>
                </c:pt>
                <c:pt idx="89">
                  <c:v>73.4200219137999</c:v>
                </c:pt>
                <c:pt idx="90">
                  <c:v>73.25422292158531</c:v>
                </c:pt>
                <c:pt idx="91">
                  <c:v>73.088869476237548</c:v>
                </c:pt>
                <c:pt idx="92">
                  <c:v>72.923970399768436</c:v>
                </c:pt>
                <c:pt idx="93">
                  <c:v>72.759533916339393</c:v>
                </c:pt>
                <c:pt idx="94">
                  <c:v>72.595567686176082</c:v>
                </c:pt>
                <c:pt idx="95">
                  <c:v>72.43207883734442</c:v>
                </c:pt>
                <c:pt idx="96">
                  <c:v>72.269073995541007</c:v>
                </c:pt>
                <c:pt idx="97">
                  <c:v>72.106559312039721</c:v>
                </c:pt>
                <c:pt idx="98">
                  <c:v>71.944540489923625</c:v>
                </c:pt>
                <c:pt idx="99">
                  <c:v>71.78302280872208</c:v>
                </c:pt>
                <c:pt idx="100">
                  <c:v>71.62201114756293</c:v>
                </c:pt>
                <c:pt idx="101">
                  <c:v>71.461510006941225</c:v>
                </c:pt>
                <c:pt idx="102">
                  <c:v>71.301523529198647</c:v>
                </c:pt>
                <c:pt idx="103">
                  <c:v>71.142055517799236</c:v>
                </c:pt>
                <c:pt idx="104">
                  <c:v>70.983109455482804</c:v>
                </c:pt>
                <c:pt idx="105">
                  <c:v>70.824688521368557</c:v>
                </c:pt>
                <c:pt idx="106">
                  <c:v>70.666795607078583</c:v>
                </c:pt>
                <c:pt idx="107">
                  <c:v>70.50943333194418</c:v>
                </c:pt>
                <c:pt idx="108">
                  <c:v>70.352604057353915</c:v>
                </c:pt>
                <c:pt idx="109">
                  <c:v>70.196309900298075</c:v>
                </c:pt>
                <c:pt idx="110">
                  <c:v>70.04055274616023</c:v>
                </c:pt>
                <c:pt idx="111">
                  <c:v>69.885334260802978</c:v>
                </c:pt>
                <c:pt idx="112">
                  <c:v>69.730655901991582</c:v>
                </c:pt>
                <c:pt idx="113">
                  <c:v>69.576518930196343</c:v>
                </c:pt>
                <c:pt idx="114">
                  <c:v>69.422924418811547</c:v>
                </c:pt>
                <c:pt idx="115">
                  <c:v>69.269873263826355</c:v>
                </c:pt>
                <c:pt idx="116">
                  <c:v>69.117366192980384</c:v>
                </c:pt>
                <c:pt idx="117">
                  <c:v>68.965403774434975</c:v>
                </c:pt>
                <c:pt idx="118">
                  <c:v>68.813986424988443</c:v>
                </c:pt>
                <c:pt idx="119">
                  <c:v>68.663114417862189</c:v>
                </c:pt>
                <c:pt idx="120">
                  <c:v>68.512787890082834</c:v>
                </c:pt>
                <c:pt idx="121">
                  <c:v>68.363006849483384</c:v>
                </c:pt>
                <c:pt idx="122">
                  <c:v>68.213771181345365</c:v>
                </c:pt>
                <c:pt idx="123">
                  <c:v>68.065080654702641</c:v>
                </c:pt>
                <c:pt idx="124">
                  <c:v>67.916934928325645</c:v>
                </c:pt>
                <c:pt idx="125">
                  <c:v>67.769333556404035</c:v>
                </c:pt>
                <c:pt idx="126">
                  <c:v>67.622275993944811</c:v>
                </c:pt>
                <c:pt idx="127">
                  <c:v>67.475761601901354</c:v>
                </c:pt>
                <c:pt idx="128">
                  <c:v>67.329789652048206</c:v>
                </c:pt>
                <c:pt idx="129">
                  <c:v>67.184359331615639</c:v>
                </c:pt>
                <c:pt idx="130">
                  <c:v>67.039469747696756</c:v>
                </c:pt>
                <c:pt idx="131">
                  <c:v>66.895119931439567</c:v>
                </c:pt>
                <c:pt idx="132">
                  <c:v>66.751308842035527</c:v>
                </c:pt>
                <c:pt idx="133">
                  <c:v>66.608035370514941</c:v>
                </c:pt>
                <c:pt idx="134">
                  <c:v>66.465298343360246</c:v>
                </c:pt>
                <c:pt idx="135">
                  <c:v>66.323096525945815</c:v>
                </c:pt>
                <c:pt idx="136">
                  <c:v>66.181428625813822</c:v>
                </c:pt>
                <c:pt idx="137">
                  <c:v>66.04029329579464</c:v>
                </c:pt>
                <c:pt idx="138">
                  <c:v>65.899689136979575</c:v>
                </c:pt>
                <c:pt idx="139">
                  <c:v>65.759614701553588</c:v>
                </c:pt>
                <c:pt idx="140">
                  <c:v>65.620068495495048</c:v>
                </c:pt>
                <c:pt idx="141">
                  <c:v>65.481048981149399</c:v>
                </c:pt>
                <c:pt idx="142">
                  <c:v>65.342554579682925</c:v>
                </c:pt>
                <c:pt idx="143">
                  <c:v>65.204583673422491</c:v>
                </c:pt>
                <c:pt idx="144">
                  <c:v>65.067134608087215</c:v>
                </c:pt>
                <c:pt idx="145">
                  <c:v>64.930205694917191</c:v>
                </c:pt>
                <c:pt idx="146">
                  <c:v>64.793795212704254</c:v>
                </c:pt>
                <c:pt idx="147">
                  <c:v>64.657901409729845</c:v>
                </c:pt>
                <c:pt idx="148">
                  <c:v>64.522522505614134</c:v>
                </c:pt>
                <c:pt idx="149">
                  <c:v>64.387656693080999</c:v>
                </c:pt>
                <c:pt idx="150">
                  <c:v>64.25330213964267</c:v>
                </c:pt>
              </c:numCache>
            </c:numRef>
          </c:yVal>
          <c:smooth val="0"/>
          <c:extLst>
            <c:ext xmlns:c16="http://schemas.microsoft.com/office/drawing/2014/chart" uri="{C3380CC4-5D6E-409C-BE32-E72D297353CC}">
              <c16:uniqueId val="{00000000-C391-4527-8BBE-DDCDE94A24A4}"/>
            </c:ext>
          </c:extLst>
        </c:ser>
        <c:dLbls>
          <c:showLegendKey val="0"/>
          <c:showVal val="0"/>
          <c:showCatName val="0"/>
          <c:showSerName val="0"/>
          <c:showPercent val="0"/>
          <c:showBubbleSize val="0"/>
        </c:dLbls>
        <c:axId val="582782976"/>
        <c:axId val="582784512"/>
      </c:scatterChart>
      <c:scatterChart>
        <c:scatterStyle val="smoothMarker"/>
        <c:varyColors val="0"/>
        <c:ser>
          <c:idx val="1"/>
          <c:order val="1"/>
          <c:tx>
            <c:v>MOSFET</c:v>
          </c:tx>
          <c:spPr>
            <a:ln>
              <a:solidFill>
                <a:schemeClr val="tx2">
                  <a:lumMod val="75000"/>
                </a:schemeClr>
              </a:solidFill>
              <a:prstDash val="dashDot"/>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Eff_vs_IOUT!$AJ$7:$AJ$157</c:f>
              <c:numCache>
                <c:formatCode>General</c:formatCode>
                <c:ptCount val="151"/>
                <c:pt idx="0">
                  <c:v>0</c:v>
                </c:pt>
                <c:pt idx="1">
                  <c:v>5.4618288037103484E-3</c:v>
                </c:pt>
                <c:pt idx="2">
                  <c:v>1.1205673851048672E-2</c:v>
                </c:pt>
                <c:pt idx="3">
                  <c:v>1.7988018168847937E-2</c:v>
                </c:pt>
                <c:pt idx="4">
                  <c:v>2.5694332592206354E-2</c:v>
                </c:pt>
                <c:pt idx="5">
                  <c:v>3.4231842712920312E-2</c:v>
                </c:pt>
                <c:pt idx="6">
                  <c:v>4.3529207689206671E-2</c:v>
                </c:pt>
                <c:pt idx="7">
                  <c:v>5.3530173424532618E-2</c:v>
                </c:pt>
                <c:pt idx="8">
                  <c:v>6.4189125479875112E-2</c:v>
                </c:pt>
                <c:pt idx="9">
                  <c:v>7.5468186350273664E-2</c:v>
                </c:pt>
                <c:pt idx="10">
                  <c:v>8.7335282504630837E-2</c:v>
                </c:pt>
                <c:pt idx="11">
                  <c:v>9.976281485243374E-2</c:v>
                </c:pt>
                <c:pt idx="12">
                  <c:v>0.11272671494490211</c:v>
                </c:pt>
                <c:pt idx="13">
                  <c:v>0.12620575587129973</c:v>
                </c:pt>
                <c:pt idx="14">
                  <c:v>0.14018103661169484</c:v>
                </c:pt>
                <c:pt idx="15">
                  <c:v>0.15463558786267997</c:v>
                </c:pt>
                <c:pt idx="16">
                  <c:v>0.16955406506269799</c:v>
                </c:pt>
                <c:pt idx="17">
                  <c:v>0.18492250539724489</c:v>
                </c:pt>
                <c:pt idx="18">
                  <c:v>0.20072813266425713</c:v>
                </c:pt>
                <c:pt idx="19">
                  <c:v>0.21695919856198775</c:v>
                </c:pt>
                <c:pt idx="20">
                  <c:v>0.23360485212352272</c:v>
                </c:pt>
                <c:pt idx="21">
                  <c:v>0.25065503120379601</c:v>
                </c:pt>
                <c:pt idx="22">
                  <c:v>0.26810037145991977</c:v>
                </c:pt>
                <c:pt idx="23">
                  <c:v>0.28593212936479107</c:v>
                </c:pt>
                <c:pt idx="24">
                  <c:v>0.3041421165937126</c:v>
                </c:pt>
                <c:pt idx="25">
                  <c:v>0.32272264371426496</c:v>
                </c:pt>
                <c:pt idx="26">
                  <c:v>0.34166647155151741</c:v>
                </c:pt>
                <c:pt idx="27">
                  <c:v>0.36096676893536878</c:v>
                </c:pt>
                <c:pt idx="28">
                  <c:v>0.38061707579320458</c:v>
                </c:pt>
                <c:pt idx="29">
                  <c:v>0.40061127074955311</c:v>
                </c:pt>
                <c:pt idx="30">
                  <c:v>0.42094354254954797</c:v>
                </c:pt>
                <c:pt idx="31">
                  <c:v>0.44160836474534948</c:v>
                </c:pt>
                <c:pt idx="32">
                  <c:v>0.46260047318197239</c:v>
                </c:pt>
                <c:pt idx="33">
                  <c:v>0.48391484589693118</c:v>
                </c:pt>
                <c:pt idx="34">
                  <c:v>0.5055466851110556</c:v>
                </c:pt>
                <c:pt idx="35">
                  <c:v>0.52749140103899428</c:v>
                </c:pt>
                <c:pt idx="36">
                  <c:v>0.54974459728976022</c:v>
                </c:pt>
                <c:pt idx="37">
                  <c:v>0.5723020576621175</c:v>
                </c:pt>
                <c:pt idx="38">
                  <c:v>0.5951597341680952</c:v>
                </c:pt>
                <c:pt idx="39">
                  <c:v>0.61831373614163754</c:v>
                </c:pt>
                <c:pt idx="40">
                  <c:v>0.6417603203092177</c:v>
                </c:pt>
                <c:pt idx="41">
                  <c:v>0.66549588171590757</c:v>
                </c:pt>
                <c:pt idx="42">
                  <c:v>0.68951694541445319</c:v>
                </c:pt>
                <c:pt idx="43">
                  <c:v>0.71385316477143634</c:v>
                </c:pt>
                <c:pt idx="44">
                  <c:v>0.73884537754734958</c:v>
                </c:pt>
                <c:pt idx="45">
                  <c:v>0.76440159032326294</c:v>
                </c:pt>
                <c:pt idx="46">
                  <c:v>0.79052180309917663</c:v>
                </c:pt>
                <c:pt idx="47">
                  <c:v>0.81720601587508968</c:v>
                </c:pt>
                <c:pt idx="48">
                  <c:v>0.84445422865100284</c:v>
                </c:pt>
                <c:pt idx="49">
                  <c:v>0.87226644142691612</c:v>
                </c:pt>
                <c:pt idx="50">
                  <c:v>0.90064265420282941</c:v>
                </c:pt>
                <c:pt idx="51">
                  <c:v>0.92958286697874248</c:v>
                </c:pt>
                <c:pt idx="52">
                  <c:v>0.9590870797546559</c:v>
                </c:pt>
                <c:pt idx="53">
                  <c:v>0.98915529253056922</c:v>
                </c:pt>
                <c:pt idx="54">
                  <c:v>1.019787505306482</c:v>
                </c:pt>
                <c:pt idx="55">
                  <c:v>1.0509837180823955</c:v>
                </c:pt>
                <c:pt idx="56">
                  <c:v>1.0827439308583089</c:v>
                </c:pt>
                <c:pt idx="57">
                  <c:v>1.1150681436342222</c:v>
                </c:pt>
                <c:pt idx="58">
                  <c:v>1.1479563564101356</c:v>
                </c:pt>
                <c:pt idx="59">
                  <c:v>1.1814085691860496</c:v>
                </c:pt>
                <c:pt idx="60">
                  <c:v>1.2154247819619619</c:v>
                </c:pt>
                <c:pt idx="61">
                  <c:v>1.2500049947378746</c:v>
                </c:pt>
                <c:pt idx="62">
                  <c:v>1.2851492075137887</c:v>
                </c:pt>
                <c:pt idx="63">
                  <c:v>1.3208574202897019</c:v>
                </c:pt>
                <c:pt idx="64">
                  <c:v>1.3571296330656155</c:v>
                </c:pt>
                <c:pt idx="65">
                  <c:v>1.3939658458415281</c:v>
                </c:pt>
                <c:pt idx="66">
                  <c:v>1.431366058617441</c:v>
                </c:pt>
                <c:pt idx="67">
                  <c:v>1.4693302713933549</c:v>
                </c:pt>
                <c:pt idx="68">
                  <c:v>1.5078584841692684</c:v>
                </c:pt>
                <c:pt idx="69">
                  <c:v>1.5469506969451807</c:v>
                </c:pt>
                <c:pt idx="70">
                  <c:v>1.5866069097210942</c:v>
                </c:pt>
                <c:pt idx="71">
                  <c:v>1.6268271224970077</c:v>
                </c:pt>
                <c:pt idx="72">
                  <c:v>1.6676113352729212</c:v>
                </c:pt>
                <c:pt idx="73">
                  <c:v>1.7089595480488335</c:v>
                </c:pt>
                <c:pt idx="74">
                  <c:v>1.7508717608247484</c:v>
                </c:pt>
                <c:pt idx="75">
                  <c:v>1.7933479736006606</c:v>
                </c:pt>
                <c:pt idx="76">
                  <c:v>1.8363881863765732</c:v>
                </c:pt>
                <c:pt idx="77">
                  <c:v>1.8799923991524881</c:v>
                </c:pt>
                <c:pt idx="78">
                  <c:v>1.9241606119284</c:v>
                </c:pt>
                <c:pt idx="79">
                  <c:v>1.9688928247043147</c:v>
                </c:pt>
                <c:pt idx="80">
                  <c:v>2.0141890374802265</c:v>
                </c:pt>
                <c:pt idx="81">
                  <c:v>2.0600492502561401</c:v>
                </c:pt>
                <c:pt idx="82">
                  <c:v>2.106473463032053</c:v>
                </c:pt>
                <c:pt idx="83">
                  <c:v>2.153461675807967</c:v>
                </c:pt>
                <c:pt idx="84">
                  <c:v>2.2010138885838799</c:v>
                </c:pt>
                <c:pt idx="85">
                  <c:v>2.2491301013597935</c:v>
                </c:pt>
                <c:pt idx="86">
                  <c:v>2.2978103141357069</c:v>
                </c:pt>
                <c:pt idx="87">
                  <c:v>2.3470545269116205</c:v>
                </c:pt>
                <c:pt idx="88">
                  <c:v>2.3968627396875335</c:v>
                </c:pt>
                <c:pt idx="89">
                  <c:v>2.4472349524634462</c:v>
                </c:pt>
                <c:pt idx="90">
                  <c:v>2.4981711652393601</c:v>
                </c:pt>
                <c:pt idx="91">
                  <c:v>2.5496713780152724</c:v>
                </c:pt>
                <c:pt idx="92">
                  <c:v>2.6017355907911872</c:v>
                </c:pt>
                <c:pt idx="93">
                  <c:v>2.6543638035670987</c:v>
                </c:pt>
                <c:pt idx="94">
                  <c:v>2.7075560163430135</c:v>
                </c:pt>
                <c:pt idx="95">
                  <c:v>2.7613122291189254</c:v>
                </c:pt>
                <c:pt idx="96">
                  <c:v>2.8156324418948393</c:v>
                </c:pt>
                <c:pt idx="97">
                  <c:v>2.8705166546707517</c:v>
                </c:pt>
                <c:pt idx="98">
                  <c:v>2.9259648674466661</c:v>
                </c:pt>
                <c:pt idx="99">
                  <c:v>2.9819770802225802</c:v>
                </c:pt>
                <c:pt idx="100">
                  <c:v>3.0385532929984924</c:v>
                </c:pt>
                <c:pt idx="101">
                  <c:v>3.0956935057744057</c:v>
                </c:pt>
                <c:pt idx="102">
                  <c:v>3.1533977185503179</c:v>
                </c:pt>
                <c:pt idx="103">
                  <c:v>3.2116659313262326</c:v>
                </c:pt>
                <c:pt idx="104">
                  <c:v>3.2704981441021461</c:v>
                </c:pt>
                <c:pt idx="105">
                  <c:v>3.3298943568780586</c:v>
                </c:pt>
                <c:pt idx="106">
                  <c:v>3.3898545696539713</c:v>
                </c:pt>
                <c:pt idx="107">
                  <c:v>3.4503787824298859</c:v>
                </c:pt>
                <c:pt idx="108">
                  <c:v>3.5114669952057986</c:v>
                </c:pt>
                <c:pt idx="109">
                  <c:v>3.5731192079817116</c:v>
                </c:pt>
                <c:pt idx="110">
                  <c:v>3.6353354207576243</c:v>
                </c:pt>
                <c:pt idx="111">
                  <c:v>3.698115633533539</c:v>
                </c:pt>
                <c:pt idx="112">
                  <c:v>3.7614598463094513</c:v>
                </c:pt>
                <c:pt idx="113">
                  <c:v>3.8253680590853638</c:v>
                </c:pt>
                <c:pt idx="114">
                  <c:v>3.8898402718612788</c:v>
                </c:pt>
                <c:pt idx="115">
                  <c:v>3.9548764846371891</c:v>
                </c:pt>
                <c:pt idx="116">
                  <c:v>4.0204766974131045</c:v>
                </c:pt>
                <c:pt idx="117">
                  <c:v>4.0866409101890175</c:v>
                </c:pt>
                <c:pt idx="118">
                  <c:v>4.1533691229649321</c:v>
                </c:pt>
                <c:pt idx="119">
                  <c:v>4.220661335740842</c:v>
                </c:pt>
                <c:pt idx="120">
                  <c:v>4.2885175485167579</c:v>
                </c:pt>
                <c:pt idx="121">
                  <c:v>4.3569377612926692</c:v>
                </c:pt>
                <c:pt idx="122">
                  <c:v>4.4259219740685802</c:v>
                </c:pt>
                <c:pt idx="123">
                  <c:v>4.4954701868444955</c:v>
                </c:pt>
                <c:pt idx="124">
                  <c:v>4.5655823996204097</c:v>
                </c:pt>
                <c:pt idx="125">
                  <c:v>4.6362586123963228</c:v>
                </c:pt>
                <c:pt idx="126">
                  <c:v>4.7074988251722347</c:v>
                </c:pt>
                <c:pt idx="127">
                  <c:v>4.7793030379481491</c:v>
                </c:pt>
                <c:pt idx="128">
                  <c:v>4.8516712507240625</c:v>
                </c:pt>
                <c:pt idx="129">
                  <c:v>4.9246034634999756</c:v>
                </c:pt>
                <c:pt idx="130">
                  <c:v>4.9980996762758867</c:v>
                </c:pt>
                <c:pt idx="131">
                  <c:v>5.0721598890518038</c:v>
                </c:pt>
                <c:pt idx="132">
                  <c:v>5.1467841018277145</c:v>
                </c:pt>
                <c:pt idx="133">
                  <c:v>5.2219723146036312</c:v>
                </c:pt>
                <c:pt idx="134">
                  <c:v>5.2977245273795424</c:v>
                </c:pt>
                <c:pt idx="135">
                  <c:v>5.3740407401554542</c:v>
                </c:pt>
                <c:pt idx="136">
                  <c:v>5.4509209529313676</c:v>
                </c:pt>
                <c:pt idx="137">
                  <c:v>5.5283651657072834</c:v>
                </c:pt>
                <c:pt idx="138">
                  <c:v>5.6063733784831955</c:v>
                </c:pt>
                <c:pt idx="139">
                  <c:v>5.6849455912591074</c:v>
                </c:pt>
                <c:pt idx="140">
                  <c:v>5.7640818040350208</c:v>
                </c:pt>
                <c:pt idx="141">
                  <c:v>5.8437820168109358</c:v>
                </c:pt>
                <c:pt idx="142">
                  <c:v>5.9240462295868497</c:v>
                </c:pt>
                <c:pt idx="143">
                  <c:v>6.0048744423627616</c:v>
                </c:pt>
                <c:pt idx="144">
                  <c:v>6.0862666551386759</c:v>
                </c:pt>
                <c:pt idx="145">
                  <c:v>6.1682228679145874</c:v>
                </c:pt>
                <c:pt idx="146">
                  <c:v>6.2507430806905022</c:v>
                </c:pt>
                <c:pt idx="147">
                  <c:v>6.3338272934664133</c:v>
                </c:pt>
                <c:pt idx="148">
                  <c:v>6.4174755062423294</c:v>
                </c:pt>
                <c:pt idx="149">
                  <c:v>6.5016877190182418</c:v>
                </c:pt>
                <c:pt idx="150">
                  <c:v>6.5864639317941522</c:v>
                </c:pt>
              </c:numCache>
            </c:numRef>
          </c:yVal>
          <c:smooth val="1"/>
          <c:extLst>
            <c:ext xmlns:c16="http://schemas.microsoft.com/office/drawing/2014/chart" uri="{C3380CC4-5D6E-409C-BE32-E72D297353CC}">
              <c16:uniqueId val="{00000001-C391-4527-8BBE-DDCDE94A24A4}"/>
            </c:ext>
          </c:extLst>
        </c:ser>
        <c:ser>
          <c:idx val="3"/>
          <c:order val="2"/>
          <c:tx>
            <c:v>RS</c:v>
          </c:tx>
          <c:spPr>
            <a:ln>
              <a:solidFill>
                <a:schemeClr val="accent5">
                  <a:lumMod val="75000"/>
                </a:schemeClr>
              </a:solidFill>
              <a:prstDash val="lgDashDotDot"/>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Eff_vs_IOUT!$BU$7:$BU$157</c:f>
              <c:numCache>
                <c:formatCode>General</c:formatCode>
                <c:ptCount val="151"/>
                <c:pt idx="0">
                  <c:v>0</c:v>
                </c:pt>
                <c:pt idx="1">
                  <c:v>4.1902624070313919E-5</c:v>
                </c:pt>
                <c:pt idx="2">
                  <c:v>1.1851851851851848E-4</c:v>
                </c:pt>
                <c:pt idx="3">
                  <c:v>2.1773242158072689E-4</c:v>
                </c:pt>
                <c:pt idx="4">
                  <c:v>3.3522099256251135E-4</c:v>
                </c:pt>
                <c:pt idx="5">
                  <c:v>4.6848557928420447E-4</c:v>
                </c:pt>
                <c:pt idx="6">
                  <c:v>6.1584028713560065E-4</c:v>
                </c:pt>
                <c:pt idx="7">
                  <c:v>7.7604745799755826E-4</c:v>
                </c:pt>
                <c:pt idx="8">
                  <c:v>9.4814814814814794E-4</c:v>
                </c:pt>
                <c:pt idx="9">
                  <c:v>1.1313708498984758E-3</c:v>
                </c:pt>
                <c:pt idx="10">
                  <c:v>1.3250773199998756E-3</c:v>
                </c:pt>
                <c:pt idx="11">
                  <c:v>1.5287280994980067E-3</c:v>
                </c:pt>
                <c:pt idx="12">
                  <c:v>1.7418593726458151E-3</c:v>
                </c:pt>
                <c:pt idx="13">
                  <c:v>1.9640667756061088E-3</c:v>
                </c:pt>
                <c:pt idx="14">
                  <c:v>2.1949936802906221E-3</c:v>
                </c:pt>
                <c:pt idx="15">
                  <c:v>2.4343224778007378E-3</c:v>
                </c:pt>
                <c:pt idx="16">
                  <c:v>2.6817679405000908E-3</c:v>
                </c:pt>
                <c:pt idx="17">
                  <c:v>2.9370720655517071E-3</c:v>
                </c:pt>
                <c:pt idx="18">
                  <c:v>3.1999999999999997E-3</c:v>
                </c:pt>
                <c:pt idx="19">
                  <c:v>3.4703367720417956E-3</c:v>
                </c:pt>
                <c:pt idx="20">
                  <c:v>3.7478846342736357E-3</c:v>
                </c:pt>
                <c:pt idx="21">
                  <c:v>4.0324608790093339E-3</c:v>
                </c:pt>
                <c:pt idx="22">
                  <c:v>4.3238960229818532E-3</c:v>
                </c:pt>
                <c:pt idx="23">
                  <c:v>4.6220322847964797E-3</c:v>
                </c:pt>
                <c:pt idx="24">
                  <c:v>4.9267222970848052E-3</c:v>
                </c:pt>
                <c:pt idx="25">
                  <c:v>5.237828008789241E-3</c:v>
                </c:pt>
                <c:pt idx="26">
                  <c:v>5.5552197429371069E-3</c:v>
                </c:pt>
                <c:pt idx="27">
                  <c:v>5.8787753826796268E-3</c:v>
                </c:pt>
                <c:pt idx="28">
                  <c:v>6.2083796639804661E-3</c:v>
                </c:pt>
                <c:pt idx="29">
                  <c:v>6.5439235576312087E-3</c:v>
                </c:pt>
                <c:pt idx="30">
                  <c:v>6.8853037265909642E-3</c:v>
                </c:pt>
                <c:pt idx="31">
                  <c:v>7.2324220472404794E-3</c:v>
                </c:pt>
                <c:pt idx="32">
                  <c:v>7.5851851851851827E-3</c:v>
                </c:pt>
                <c:pt idx="33">
                  <c:v>7.9435042178662707E-3</c:v>
                </c:pt>
                <c:pt idx="34">
                  <c:v>8.3072942975407679E-3</c:v>
                </c:pt>
                <c:pt idx="35">
                  <c:v>8.6764743492422688E-3</c:v>
                </c:pt>
                <c:pt idx="36">
                  <c:v>9.0509667991878085E-3</c:v>
                </c:pt>
                <c:pt idx="37">
                  <c:v>9.4306973297948807E-3</c:v>
                </c:pt>
                <c:pt idx="38">
                  <c:v>9.8155946580471467E-3</c:v>
                </c:pt>
                <c:pt idx="39">
                  <c:v>1.020559033442329E-2</c:v>
                </c:pt>
                <c:pt idx="40">
                  <c:v>1.0600618559999003E-2</c:v>
                </c:pt>
                <c:pt idx="41">
                  <c:v>1.1000616019663234E-2</c:v>
                </c:pt>
                <c:pt idx="42">
                  <c:v>1.1405521729667866E-2</c:v>
                </c:pt>
                <c:pt idx="43">
                  <c:v>1.1815319411185809E-2</c:v>
                </c:pt>
                <c:pt idx="44">
                  <c:v>1.2232919411185808E-2</c:v>
                </c:pt>
                <c:pt idx="45">
                  <c:v>1.266011941118581E-2</c:v>
                </c:pt>
                <c:pt idx="46">
                  <c:v>1.3096919411185817E-2</c:v>
                </c:pt>
                <c:pt idx="47">
                  <c:v>1.3543319411185814E-2</c:v>
                </c:pt>
                <c:pt idx="48">
                  <c:v>1.3999319411185812E-2</c:v>
                </c:pt>
                <c:pt idx="49">
                  <c:v>1.4464919411185813E-2</c:v>
                </c:pt>
                <c:pt idx="50">
                  <c:v>1.4940119411185815E-2</c:v>
                </c:pt>
                <c:pt idx="51">
                  <c:v>1.542491941118581E-2</c:v>
                </c:pt>
                <c:pt idx="52">
                  <c:v>1.5919319411185812E-2</c:v>
                </c:pt>
                <c:pt idx="53">
                  <c:v>1.6423319411185817E-2</c:v>
                </c:pt>
                <c:pt idx="54">
                  <c:v>1.6936919411185806E-2</c:v>
                </c:pt>
                <c:pt idx="55">
                  <c:v>1.7460119411185811E-2</c:v>
                </c:pt>
                <c:pt idx="56">
                  <c:v>1.7992919411185814E-2</c:v>
                </c:pt>
                <c:pt idx="57">
                  <c:v>1.8535319411185813E-2</c:v>
                </c:pt>
                <c:pt idx="58">
                  <c:v>1.9087319411185813E-2</c:v>
                </c:pt>
                <c:pt idx="59">
                  <c:v>1.9648919411185829E-2</c:v>
                </c:pt>
                <c:pt idx="60">
                  <c:v>2.0220119411185809E-2</c:v>
                </c:pt>
                <c:pt idx="61">
                  <c:v>2.0800919411185802E-2</c:v>
                </c:pt>
                <c:pt idx="62">
                  <c:v>2.139131941118582E-2</c:v>
                </c:pt>
                <c:pt idx="63">
                  <c:v>2.1991319411185813E-2</c:v>
                </c:pt>
                <c:pt idx="64">
                  <c:v>2.2600919411185822E-2</c:v>
                </c:pt>
                <c:pt idx="65">
                  <c:v>2.3220119411185808E-2</c:v>
                </c:pt>
                <c:pt idx="66">
                  <c:v>2.3848919411185804E-2</c:v>
                </c:pt>
                <c:pt idx="67">
                  <c:v>2.4487319411185815E-2</c:v>
                </c:pt>
                <c:pt idx="68">
                  <c:v>2.5135319411185818E-2</c:v>
                </c:pt>
                <c:pt idx="69">
                  <c:v>2.5792919411185805E-2</c:v>
                </c:pt>
                <c:pt idx="70">
                  <c:v>2.6460119411185808E-2</c:v>
                </c:pt>
                <c:pt idx="71">
                  <c:v>2.7136919411185813E-2</c:v>
                </c:pt>
                <c:pt idx="72">
                  <c:v>2.7823319411185814E-2</c:v>
                </c:pt>
                <c:pt idx="73">
                  <c:v>2.8519319411185802E-2</c:v>
                </c:pt>
                <c:pt idx="74">
                  <c:v>2.9224919411185827E-2</c:v>
                </c:pt>
                <c:pt idx="75">
                  <c:v>2.9940119411185809E-2</c:v>
                </c:pt>
                <c:pt idx="76">
                  <c:v>3.0664919411185796E-2</c:v>
                </c:pt>
                <c:pt idx="77">
                  <c:v>3.1399319411185823E-2</c:v>
                </c:pt>
                <c:pt idx="78">
                  <c:v>3.2143319411185797E-2</c:v>
                </c:pt>
                <c:pt idx="79">
                  <c:v>3.2896919411185825E-2</c:v>
                </c:pt>
                <c:pt idx="80">
                  <c:v>3.3660119411185803E-2</c:v>
                </c:pt>
                <c:pt idx="81">
                  <c:v>3.4432919411185807E-2</c:v>
                </c:pt>
                <c:pt idx="82">
                  <c:v>3.5215319411185803E-2</c:v>
                </c:pt>
                <c:pt idx="83">
                  <c:v>3.6007319411185811E-2</c:v>
                </c:pt>
                <c:pt idx="84">
                  <c:v>3.680891941118581E-2</c:v>
                </c:pt>
                <c:pt idx="85">
                  <c:v>3.7620119411185815E-2</c:v>
                </c:pt>
                <c:pt idx="86">
                  <c:v>3.8440919411185819E-2</c:v>
                </c:pt>
                <c:pt idx="87">
                  <c:v>3.9271319411185827E-2</c:v>
                </c:pt>
                <c:pt idx="88">
                  <c:v>4.0111319411185821E-2</c:v>
                </c:pt>
                <c:pt idx="89">
                  <c:v>4.0960919411185806E-2</c:v>
                </c:pt>
                <c:pt idx="90">
                  <c:v>4.1820119411185824E-2</c:v>
                </c:pt>
                <c:pt idx="91">
                  <c:v>4.2688919411185799E-2</c:v>
                </c:pt>
                <c:pt idx="92">
                  <c:v>4.3567319411185829E-2</c:v>
                </c:pt>
                <c:pt idx="93">
                  <c:v>4.4455319411185808E-2</c:v>
                </c:pt>
                <c:pt idx="94">
                  <c:v>4.5352919411185827E-2</c:v>
                </c:pt>
                <c:pt idx="95">
                  <c:v>4.6260119411185796E-2</c:v>
                </c:pt>
                <c:pt idx="96">
                  <c:v>4.7176919411185812E-2</c:v>
                </c:pt>
                <c:pt idx="97">
                  <c:v>4.8103319411185799E-2</c:v>
                </c:pt>
                <c:pt idx="98">
                  <c:v>4.9039319411185819E-2</c:v>
                </c:pt>
                <c:pt idx="99">
                  <c:v>4.9984919411185831E-2</c:v>
                </c:pt>
                <c:pt idx="100">
                  <c:v>5.094011941118582E-2</c:v>
                </c:pt>
                <c:pt idx="101">
                  <c:v>5.1904919411185815E-2</c:v>
                </c:pt>
                <c:pt idx="102">
                  <c:v>5.2879319411185788E-2</c:v>
                </c:pt>
                <c:pt idx="103">
                  <c:v>5.3863319411185821E-2</c:v>
                </c:pt>
                <c:pt idx="104">
                  <c:v>5.4856919411185825E-2</c:v>
                </c:pt>
                <c:pt idx="105">
                  <c:v>5.5860119411185807E-2</c:v>
                </c:pt>
                <c:pt idx="106">
                  <c:v>5.6872919411185809E-2</c:v>
                </c:pt>
                <c:pt idx="107">
                  <c:v>5.7895319411185822E-2</c:v>
                </c:pt>
                <c:pt idx="108">
                  <c:v>5.8927319411185813E-2</c:v>
                </c:pt>
                <c:pt idx="109">
                  <c:v>5.9968919411185817E-2</c:v>
                </c:pt>
                <c:pt idx="110">
                  <c:v>6.1020119411185805E-2</c:v>
                </c:pt>
                <c:pt idx="111">
                  <c:v>6.2080919411185827E-2</c:v>
                </c:pt>
                <c:pt idx="112">
                  <c:v>6.3151319411185805E-2</c:v>
                </c:pt>
                <c:pt idx="113">
                  <c:v>6.4231319411185789E-2</c:v>
                </c:pt>
                <c:pt idx="114">
                  <c:v>6.5320919411185827E-2</c:v>
                </c:pt>
                <c:pt idx="115">
                  <c:v>6.642011941118578E-2</c:v>
                </c:pt>
                <c:pt idx="116">
                  <c:v>6.7528919411185814E-2</c:v>
                </c:pt>
                <c:pt idx="117">
                  <c:v>6.8647319411185806E-2</c:v>
                </c:pt>
                <c:pt idx="118">
                  <c:v>6.9775319411185824E-2</c:v>
                </c:pt>
                <c:pt idx="119">
                  <c:v>7.0912919411185785E-2</c:v>
                </c:pt>
                <c:pt idx="120">
                  <c:v>7.2060119411185827E-2</c:v>
                </c:pt>
                <c:pt idx="121">
                  <c:v>7.3216919411185785E-2</c:v>
                </c:pt>
                <c:pt idx="122">
                  <c:v>7.4383319411185755E-2</c:v>
                </c:pt>
                <c:pt idx="123">
                  <c:v>7.555931941118578E-2</c:v>
                </c:pt>
                <c:pt idx="124">
                  <c:v>7.6744919411185789E-2</c:v>
                </c:pt>
                <c:pt idx="125">
                  <c:v>7.794011941118581E-2</c:v>
                </c:pt>
                <c:pt idx="126">
                  <c:v>7.9144919411185788E-2</c:v>
                </c:pt>
                <c:pt idx="127">
                  <c:v>8.0359319411185792E-2</c:v>
                </c:pt>
                <c:pt idx="128">
                  <c:v>8.1583319411185795E-2</c:v>
                </c:pt>
                <c:pt idx="129">
                  <c:v>8.2816919411185796E-2</c:v>
                </c:pt>
                <c:pt idx="130">
                  <c:v>8.4060119411185755E-2</c:v>
                </c:pt>
                <c:pt idx="131">
                  <c:v>8.5312919411185822E-2</c:v>
                </c:pt>
                <c:pt idx="132">
                  <c:v>8.6575319411185778E-2</c:v>
                </c:pt>
                <c:pt idx="133">
                  <c:v>8.7847319411185842E-2</c:v>
                </c:pt>
                <c:pt idx="134">
                  <c:v>8.9128919411185795E-2</c:v>
                </c:pt>
                <c:pt idx="135">
                  <c:v>9.0420119411185773E-2</c:v>
                </c:pt>
                <c:pt idx="136">
                  <c:v>9.1720919411185778E-2</c:v>
                </c:pt>
                <c:pt idx="137">
                  <c:v>9.3031319411185809E-2</c:v>
                </c:pt>
                <c:pt idx="138">
                  <c:v>9.4351319411185797E-2</c:v>
                </c:pt>
                <c:pt idx="139">
                  <c:v>9.5680919411185783E-2</c:v>
                </c:pt>
                <c:pt idx="140">
                  <c:v>9.7020119411185782E-2</c:v>
                </c:pt>
                <c:pt idx="141">
                  <c:v>9.8368919411185807E-2</c:v>
                </c:pt>
                <c:pt idx="142">
                  <c:v>9.9727319411185816E-2</c:v>
                </c:pt>
                <c:pt idx="143">
                  <c:v>0.10109531941118578</c:v>
                </c:pt>
                <c:pt idx="144">
                  <c:v>0.10247291941118582</c:v>
                </c:pt>
                <c:pt idx="145">
                  <c:v>0.10386011941118579</c:v>
                </c:pt>
                <c:pt idx="146">
                  <c:v>0.10525691941118581</c:v>
                </c:pt>
                <c:pt idx="147">
                  <c:v>0.10666331941118577</c:v>
                </c:pt>
                <c:pt idx="148">
                  <c:v>0.10807931941118583</c:v>
                </c:pt>
                <c:pt idx="149">
                  <c:v>0.1095049194111858</c:v>
                </c:pt>
                <c:pt idx="150">
                  <c:v>0.11094011941118577</c:v>
                </c:pt>
              </c:numCache>
            </c:numRef>
          </c:yVal>
          <c:smooth val="1"/>
          <c:extLst>
            <c:ext xmlns:c16="http://schemas.microsoft.com/office/drawing/2014/chart" uri="{C3380CC4-5D6E-409C-BE32-E72D297353CC}">
              <c16:uniqueId val="{00000002-C391-4527-8BBE-DDCDE94A24A4}"/>
            </c:ext>
          </c:extLst>
        </c:ser>
        <c:ser>
          <c:idx val="2"/>
          <c:order val="3"/>
          <c:tx>
            <c:v>D1</c:v>
          </c:tx>
          <c:spPr>
            <a:ln>
              <a:solidFill>
                <a:schemeClr val="bg2">
                  <a:lumMod val="50000"/>
                </a:schemeClr>
              </a:solidFill>
              <a:prstDash val="sysDash"/>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Eff_vs_IOUT!$AY$8:$AY$157</c:f>
              <c:numCache>
                <c:formatCode>General</c:formatCode>
                <c:ptCount val="150"/>
                <c:pt idx="0">
                  <c:v>3.8333333333333329E-4</c:v>
                </c:pt>
                <c:pt idx="1">
                  <c:v>7.6666666666666658E-4</c:v>
                </c:pt>
                <c:pt idx="2">
                  <c:v>1.15E-3</c:v>
                </c:pt>
                <c:pt idx="3">
                  <c:v>1.5333333333333332E-3</c:v>
                </c:pt>
                <c:pt idx="4">
                  <c:v>1.9166666666666666E-3</c:v>
                </c:pt>
                <c:pt idx="5">
                  <c:v>2.3E-3</c:v>
                </c:pt>
                <c:pt idx="6">
                  <c:v>2.6833333333333331E-3</c:v>
                </c:pt>
                <c:pt idx="7">
                  <c:v>3.0666666666666663E-3</c:v>
                </c:pt>
                <c:pt idx="8">
                  <c:v>3.4499999999999999E-3</c:v>
                </c:pt>
                <c:pt idx="9">
                  <c:v>3.8333333333333331E-3</c:v>
                </c:pt>
                <c:pt idx="10">
                  <c:v>4.2166666666666663E-3</c:v>
                </c:pt>
                <c:pt idx="11">
                  <c:v>4.5999999999999999E-3</c:v>
                </c:pt>
                <c:pt idx="12">
                  <c:v>4.9833333333333327E-3</c:v>
                </c:pt>
                <c:pt idx="13">
                  <c:v>5.3666666666666663E-3</c:v>
                </c:pt>
                <c:pt idx="14">
                  <c:v>5.7499999999999999E-3</c:v>
                </c:pt>
                <c:pt idx="15">
                  <c:v>6.1333333333333327E-3</c:v>
                </c:pt>
                <c:pt idx="16">
                  <c:v>6.5166666666666663E-3</c:v>
                </c:pt>
                <c:pt idx="17">
                  <c:v>6.8999999999999999E-3</c:v>
                </c:pt>
                <c:pt idx="18">
                  <c:v>7.2833333333333326E-3</c:v>
                </c:pt>
                <c:pt idx="19">
                  <c:v>7.6666666666666662E-3</c:v>
                </c:pt>
                <c:pt idx="20">
                  <c:v>8.0499999999999999E-3</c:v>
                </c:pt>
                <c:pt idx="21">
                  <c:v>8.4333333333333326E-3</c:v>
                </c:pt>
                <c:pt idx="22">
                  <c:v>8.8166666666666654E-3</c:v>
                </c:pt>
                <c:pt idx="23">
                  <c:v>9.1999999999999998E-3</c:v>
                </c:pt>
                <c:pt idx="24">
                  <c:v>9.5833333333333326E-3</c:v>
                </c:pt>
                <c:pt idx="25">
                  <c:v>9.9666666666666653E-3</c:v>
                </c:pt>
                <c:pt idx="26">
                  <c:v>1.0349999999999998E-2</c:v>
                </c:pt>
                <c:pt idx="27">
                  <c:v>1.0733333333333333E-2</c:v>
                </c:pt>
                <c:pt idx="28">
                  <c:v>1.1116666666666667E-2</c:v>
                </c:pt>
                <c:pt idx="29">
                  <c:v>1.15E-2</c:v>
                </c:pt>
                <c:pt idx="30">
                  <c:v>1.1883333333333333E-2</c:v>
                </c:pt>
                <c:pt idx="31">
                  <c:v>1.2266666666666665E-2</c:v>
                </c:pt>
                <c:pt idx="32">
                  <c:v>1.2649999999999998E-2</c:v>
                </c:pt>
                <c:pt idx="33">
                  <c:v>1.3033333333333333E-2</c:v>
                </c:pt>
                <c:pt idx="34">
                  <c:v>1.3416666666666667E-2</c:v>
                </c:pt>
                <c:pt idx="35">
                  <c:v>1.38E-2</c:v>
                </c:pt>
                <c:pt idx="36">
                  <c:v>1.4183333333333333E-2</c:v>
                </c:pt>
                <c:pt idx="37">
                  <c:v>1.4566666666666665E-2</c:v>
                </c:pt>
                <c:pt idx="38">
                  <c:v>1.4949999999999998E-2</c:v>
                </c:pt>
                <c:pt idx="39">
                  <c:v>1.5333333333333332E-2</c:v>
                </c:pt>
                <c:pt idx="40">
                  <c:v>1.5716666666666667E-2</c:v>
                </c:pt>
                <c:pt idx="41">
                  <c:v>1.61E-2</c:v>
                </c:pt>
                <c:pt idx="42">
                  <c:v>1.6483333333333332E-2</c:v>
                </c:pt>
                <c:pt idx="43">
                  <c:v>1.6866666666666665E-2</c:v>
                </c:pt>
                <c:pt idx="44">
                  <c:v>1.7249999999999998E-2</c:v>
                </c:pt>
                <c:pt idx="45">
                  <c:v>1.7633333333333331E-2</c:v>
                </c:pt>
                <c:pt idx="46">
                  <c:v>1.8016666666666663E-2</c:v>
                </c:pt>
                <c:pt idx="47">
                  <c:v>1.84E-2</c:v>
                </c:pt>
                <c:pt idx="48">
                  <c:v>1.8783333333333329E-2</c:v>
                </c:pt>
                <c:pt idx="49">
                  <c:v>1.9166666666666665E-2</c:v>
                </c:pt>
                <c:pt idx="50">
                  <c:v>1.9550000000000001E-2</c:v>
                </c:pt>
                <c:pt idx="51">
                  <c:v>1.9933333333333331E-2</c:v>
                </c:pt>
                <c:pt idx="52">
                  <c:v>2.0316666666666667E-2</c:v>
                </c:pt>
                <c:pt idx="53">
                  <c:v>2.0699999999999996E-2</c:v>
                </c:pt>
                <c:pt idx="54">
                  <c:v>2.1083333333333332E-2</c:v>
                </c:pt>
                <c:pt idx="55">
                  <c:v>2.1466666666666665E-2</c:v>
                </c:pt>
                <c:pt idx="56">
                  <c:v>2.1849999999999998E-2</c:v>
                </c:pt>
                <c:pt idx="57">
                  <c:v>2.2233333333333334E-2</c:v>
                </c:pt>
                <c:pt idx="58">
                  <c:v>2.2616666666666663E-2</c:v>
                </c:pt>
                <c:pt idx="59">
                  <c:v>2.3E-2</c:v>
                </c:pt>
                <c:pt idx="60">
                  <c:v>2.3383333333333329E-2</c:v>
                </c:pt>
                <c:pt idx="61">
                  <c:v>2.3766666666666665E-2</c:v>
                </c:pt>
                <c:pt idx="62">
                  <c:v>2.4150000000000001E-2</c:v>
                </c:pt>
                <c:pt idx="63">
                  <c:v>2.4533333333333331E-2</c:v>
                </c:pt>
                <c:pt idx="64">
                  <c:v>2.4916666666666667E-2</c:v>
                </c:pt>
                <c:pt idx="65">
                  <c:v>2.5299999999999996E-2</c:v>
                </c:pt>
                <c:pt idx="66">
                  <c:v>2.5683333333333332E-2</c:v>
                </c:pt>
                <c:pt idx="67">
                  <c:v>2.6066666666666665E-2</c:v>
                </c:pt>
                <c:pt idx="68">
                  <c:v>2.6449999999999998E-2</c:v>
                </c:pt>
                <c:pt idx="69">
                  <c:v>2.6833333333333334E-2</c:v>
                </c:pt>
                <c:pt idx="70">
                  <c:v>2.7216666666666663E-2</c:v>
                </c:pt>
                <c:pt idx="71">
                  <c:v>2.76E-2</c:v>
                </c:pt>
                <c:pt idx="72">
                  <c:v>2.7983333333333329E-2</c:v>
                </c:pt>
                <c:pt idx="73">
                  <c:v>2.8366666666666665E-2</c:v>
                </c:pt>
                <c:pt idx="74">
                  <c:v>2.8749999999999998E-2</c:v>
                </c:pt>
                <c:pt idx="75">
                  <c:v>2.9133333333333331E-2</c:v>
                </c:pt>
                <c:pt idx="76">
                  <c:v>2.9516666666666667E-2</c:v>
                </c:pt>
                <c:pt idx="77">
                  <c:v>2.9899999999999996E-2</c:v>
                </c:pt>
                <c:pt idx="78">
                  <c:v>3.0283333333333332E-2</c:v>
                </c:pt>
                <c:pt idx="79">
                  <c:v>3.0666666666666665E-2</c:v>
                </c:pt>
                <c:pt idx="80">
                  <c:v>3.1049999999999998E-2</c:v>
                </c:pt>
                <c:pt idx="81">
                  <c:v>3.1433333333333334E-2</c:v>
                </c:pt>
                <c:pt idx="82">
                  <c:v>3.181666666666666E-2</c:v>
                </c:pt>
                <c:pt idx="83">
                  <c:v>3.2199999999999999E-2</c:v>
                </c:pt>
                <c:pt idx="84">
                  <c:v>3.2583333333333332E-2</c:v>
                </c:pt>
                <c:pt idx="85">
                  <c:v>3.2966666666666665E-2</c:v>
                </c:pt>
                <c:pt idx="86">
                  <c:v>3.3349999999999998E-2</c:v>
                </c:pt>
                <c:pt idx="87">
                  <c:v>3.373333333333333E-2</c:v>
                </c:pt>
                <c:pt idx="88">
                  <c:v>3.4116666666666663E-2</c:v>
                </c:pt>
                <c:pt idx="89">
                  <c:v>3.4499999999999996E-2</c:v>
                </c:pt>
                <c:pt idx="90">
                  <c:v>3.4883333333333329E-2</c:v>
                </c:pt>
                <c:pt idx="91">
                  <c:v>3.5266666666666661E-2</c:v>
                </c:pt>
                <c:pt idx="92">
                  <c:v>3.5649999999999994E-2</c:v>
                </c:pt>
                <c:pt idx="93">
                  <c:v>3.6033333333333327E-2</c:v>
                </c:pt>
                <c:pt idx="94">
                  <c:v>3.6416666666666667E-2</c:v>
                </c:pt>
                <c:pt idx="95">
                  <c:v>3.6799999999999999E-2</c:v>
                </c:pt>
                <c:pt idx="96">
                  <c:v>3.7183333333333332E-2</c:v>
                </c:pt>
                <c:pt idx="97">
                  <c:v>3.7566666666666658E-2</c:v>
                </c:pt>
                <c:pt idx="98">
                  <c:v>3.7949999999999998E-2</c:v>
                </c:pt>
                <c:pt idx="99">
                  <c:v>3.833333333333333E-2</c:v>
                </c:pt>
                <c:pt idx="100">
                  <c:v>3.8716666666666663E-2</c:v>
                </c:pt>
                <c:pt idx="101">
                  <c:v>3.9100000000000003E-2</c:v>
                </c:pt>
                <c:pt idx="102">
                  <c:v>3.9483333333333329E-2</c:v>
                </c:pt>
                <c:pt idx="103">
                  <c:v>3.9866666666666661E-2</c:v>
                </c:pt>
                <c:pt idx="104">
                  <c:v>4.0250000000000001E-2</c:v>
                </c:pt>
                <c:pt idx="105">
                  <c:v>4.0633333333333334E-2</c:v>
                </c:pt>
                <c:pt idx="106">
                  <c:v>4.101666666666666E-2</c:v>
                </c:pt>
                <c:pt idx="107">
                  <c:v>4.1399999999999992E-2</c:v>
                </c:pt>
                <c:pt idx="108">
                  <c:v>4.1783333333333332E-2</c:v>
                </c:pt>
                <c:pt idx="109">
                  <c:v>4.2166666666666665E-2</c:v>
                </c:pt>
                <c:pt idx="110">
                  <c:v>4.2549999999999998E-2</c:v>
                </c:pt>
                <c:pt idx="111">
                  <c:v>4.293333333333333E-2</c:v>
                </c:pt>
                <c:pt idx="112">
                  <c:v>4.3316666666666663E-2</c:v>
                </c:pt>
                <c:pt idx="113">
                  <c:v>4.3699999999999996E-2</c:v>
                </c:pt>
                <c:pt idx="114">
                  <c:v>4.4083333333333329E-2</c:v>
                </c:pt>
                <c:pt idx="115">
                  <c:v>4.4466666666666668E-2</c:v>
                </c:pt>
                <c:pt idx="116">
                  <c:v>4.4849999999999994E-2</c:v>
                </c:pt>
                <c:pt idx="117">
                  <c:v>4.5233333333333327E-2</c:v>
                </c:pt>
                <c:pt idx="118">
                  <c:v>4.5616666666666666E-2</c:v>
                </c:pt>
                <c:pt idx="119">
                  <c:v>4.5999999999999999E-2</c:v>
                </c:pt>
                <c:pt idx="120">
                  <c:v>4.6383333333333325E-2</c:v>
                </c:pt>
                <c:pt idx="121">
                  <c:v>4.6766666666666658E-2</c:v>
                </c:pt>
                <c:pt idx="122">
                  <c:v>4.7149999999999997E-2</c:v>
                </c:pt>
                <c:pt idx="123">
                  <c:v>4.753333333333333E-2</c:v>
                </c:pt>
                <c:pt idx="124">
                  <c:v>4.7916666666666663E-2</c:v>
                </c:pt>
                <c:pt idx="125">
                  <c:v>4.8300000000000003E-2</c:v>
                </c:pt>
                <c:pt idx="126">
                  <c:v>4.8683333333333328E-2</c:v>
                </c:pt>
                <c:pt idx="127">
                  <c:v>4.9066666666666661E-2</c:v>
                </c:pt>
                <c:pt idx="128">
                  <c:v>4.9449999999999994E-2</c:v>
                </c:pt>
                <c:pt idx="129">
                  <c:v>4.9833333333333334E-2</c:v>
                </c:pt>
                <c:pt idx="130">
                  <c:v>5.0216666666666659E-2</c:v>
                </c:pt>
                <c:pt idx="131">
                  <c:v>5.0599999999999992E-2</c:v>
                </c:pt>
                <c:pt idx="132">
                  <c:v>5.0983333333333332E-2</c:v>
                </c:pt>
                <c:pt idx="133">
                  <c:v>5.1366666666666665E-2</c:v>
                </c:pt>
                <c:pt idx="134">
                  <c:v>5.1749999999999997E-2</c:v>
                </c:pt>
                <c:pt idx="135">
                  <c:v>5.213333333333333E-2</c:v>
                </c:pt>
                <c:pt idx="136">
                  <c:v>5.2516666666666663E-2</c:v>
                </c:pt>
                <c:pt idx="137">
                  <c:v>5.2899999999999996E-2</c:v>
                </c:pt>
                <c:pt idx="138">
                  <c:v>5.3283333333333328E-2</c:v>
                </c:pt>
                <c:pt idx="139">
                  <c:v>5.3666666666666668E-2</c:v>
                </c:pt>
                <c:pt idx="140">
                  <c:v>5.4049999999999994E-2</c:v>
                </c:pt>
                <c:pt idx="141">
                  <c:v>5.4433333333333327E-2</c:v>
                </c:pt>
                <c:pt idx="142">
                  <c:v>5.4816666666666666E-2</c:v>
                </c:pt>
                <c:pt idx="143">
                  <c:v>5.5199999999999999E-2</c:v>
                </c:pt>
                <c:pt idx="144">
                  <c:v>5.5583333333333325E-2</c:v>
                </c:pt>
                <c:pt idx="145">
                  <c:v>5.5966666666666658E-2</c:v>
                </c:pt>
                <c:pt idx="146">
                  <c:v>5.6349999999999997E-2</c:v>
                </c:pt>
                <c:pt idx="147">
                  <c:v>5.673333333333333E-2</c:v>
                </c:pt>
                <c:pt idx="148">
                  <c:v>5.7116666666666663E-2</c:v>
                </c:pt>
                <c:pt idx="149">
                  <c:v>5.7499999999999996E-2</c:v>
                </c:pt>
              </c:numCache>
            </c:numRef>
          </c:yVal>
          <c:smooth val="1"/>
          <c:extLst>
            <c:ext xmlns:c16="http://schemas.microsoft.com/office/drawing/2014/chart" uri="{C3380CC4-5D6E-409C-BE32-E72D297353CC}">
              <c16:uniqueId val="{00000003-C391-4527-8BBE-DDCDE94A24A4}"/>
            </c:ext>
          </c:extLst>
        </c:ser>
        <c:ser>
          <c:idx val="4"/>
          <c:order val="4"/>
          <c:tx>
            <c:v>D2</c:v>
          </c:tx>
          <c:marker>
            <c:symbol val="none"/>
          </c:marker>
          <c:xVal>
            <c:numRef>
              <c:f>Eff_vs_IOUT!$R$8:$R$157</c:f>
              <c:numCache>
                <c:formatCode>General</c:formatCode>
                <c:ptCount val="150"/>
                <c:pt idx="0">
                  <c:v>0.5</c:v>
                </c:pt>
                <c:pt idx="1">
                  <c:v>1</c:v>
                </c:pt>
                <c:pt idx="2">
                  <c:v>1.5</c:v>
                </c:pt>
                <c:pt idx="3">
                  <c:v>2</c:v>
                </c:pt>
                <c:pt idx="4">
                  <c:v>2.5</c:v>
                </c:pt>
                <c:pt idx="5">
                  <c:v>3</c:v>
                </c:pt>
                <c:pt idx="6">
                  <c:v>3.5</c:v>
                </c:pt>
                <c:pt idx="7">
                  <c:v>4</c:v>
                </c:pt>
                <c:pt idx="8">
                  <c:v>4.5</c:v>
                </c:pt>
                <c:pt idx="9">
                  <c:v>5</c:v>
                </c:pt>
                <c:pt idx="10">
                  <c:v>5.5</c:v>
                </c:pt>
                <c:pt idx="11">
                  <c:v>6</c:v>
                </c:pt>
                <c:pt idx="12">
                  <c:v>6.5</c:v>
                </c:pt>
                <c:pt idx="13">
                  <c:v>7</c:v>
                </c:pt>
                <c:pt idx="14">
                  <c:v>7.5</c:v>
                </c:pt>
                <c:pt idx="15">
                  <c:v>8</c:v>
                </c:pt>
                <c:pt idx="16">
                  <c:v>8.5</c:v>
                </c:pt>
                <c:pt idx="17">
                  <c:v>9</c:v>
                </c:pt>
                <c:pt idx="18">
                  <c:v>9.5</c:v>
                </c:pt>
                <c:pt idx="19">
                  <c:v>10</c:v>
                </c:pt>
                <c:pt idx="20">
                  <c:v>10.5</c:v>
                </c:pt>
                <c:pt idx="21">
                  <c:v>11</c:v>
                </c:pt>
                <c:pt idx="22">
                  <c:v>11.5</c:v>
                </c:pt>
                <c:pt idx="23">
                  <c:v>12</c:v>
                </c:pt>
                <c:pt idx="24">
                  <c:v>12.5</c:v>
                </c:pt>
                <c:pt idx="25">
                  <c:v>13</c:v>
                </c:pt>
                <c:pt idx="26">
                  <c:v>13.5</c:v>
                </c:pt>
                <c:pt idx="27">
                  <c:v>14</c:v>
                </c:pt>
                <c:pt idx="28">
                  <c:v>14.5</c:v>
                </c:pt>
                <c:pt idx="29">
                  <c:v>15</c:v>
                </c:pt>
                <c:pt idx="30">
                  <c:v>15.5</c:v>
                </c:pt>
                <c:pt idx="31">
                  <c:v>16</c:v>
                </c:pt>
                <c:pt idx="32">
                  <c:v>16.5</c:v>
                </c:pt>
                <c:pt idx="33">
                  <c:v>17</c:v>
                </c:pt>
                <c:pt idx="34">
                  <c:v>17.5</c:v>
                </c:pt>
                <c:pt idx="35">
                  <c:v>18</c:v>
                </c:pt>
                <c:pt idx="36">
                  <c:v>18.5</c:v>
                </c:pt>
                <c:pt idx="37">
                  <c:v>19</c:v>
                </c:pt>
                <c:pt idx="38">
                  <c:v>19.5</c:v>
                </c:pt>
                <c:pt idx="39">
                  <c:v>20</c:v>
                </c:pt>
                <c:pt idx="40">
                  <c:v>20.5</c:v>
                </c:pt>
                <c:pt idx="41">
                  <c:v>21</c:v>
                </c:pt>
                <c:pt idx="42">
                  <c:v>21.5</c:v>
                </c:pt>
                <c:pt idx="43">
                  <c:v>22</c:v>
                </c:pt>
                <c:pt idx="44">
                  <c:v>22.5</c:v>
                </c:pt>
                <c:pt idx="45">
                  <c:v>23</c:v>
                </c:pt>
                <c:pt idx="46">
                  <c:v>23.5</c:v>
                </c:pt>
                <c:pt idx="47">
                  <c:v>24</c:v>
                </c:pt>
                <c:pt idx="48">
                  <c:v>24.5</c:v>
                </c:pt>
                <c:pt idx="49">
                  <c:v>25</c:v>
                </c:pt>
                <c:pt idx="50">
                  <c:v>25.5</c:v>
                </c:pt>
                <c:pt idx="51">
                  <c:v>26</c:v>
                </c:pt>
                <c:pt idx="52">
                  <c:v>26.5</c:v>
                </c:pt>
                <c:pt idx="53">
                  <c:v>27</c:v>
                </c:pt>
                <c:pt idx="54">
                  <c:v>27.5</c:v>
                </c:pt>
                <c:pt idx="55">
                  <c:v>28</c:v>
                </c:pt>
                <c:pt idx="56">
                  <c:v>28.5</c:v>
                </c:pt>
                <c:pt idx="57">
                  <c:v>29</c:v>
                </c:pt>
                <c:pt idx="58">
                  <c:v>29.5</c:v>
                </c:pt>
                <c:pt idx="59">
                  <c:v>30</c:v>
                </c:pt>
                <c:pt idx="60">
                  <c:v>30.5</c:v>
                </c:pt>
                <c:pt idx="61">
                  <c:v>31</c:v>
                </c:pt>
                <c:pt idx="62">
                  <c:v>31.5</c:v>
                </c:pt>
                <c:pt idx="63">
                  <c:v>32</c:v>
                </c:pt>
                <c:pt idx="64">
                  <c:v>32.5</c:v>
                </c:pt>
                <c:pt idx="65">
                  <c:v>33</c:v>
                </c:pt>
                <c:pt idx="66">
                  <c:v>33.5</c:v>
                </c:pt>
                <c:pt idx="67">
                  <c:v>34</c:v>
                </c:pt>
                <c:pt idx="68">
                  <c:v>34.5</c:v>
                </c:pt>
                <c:pt idx="69">
                  <c:v>35</c:v>
                </c:pt>
                <c:pt idx="70">
                  <c:v>35.5</c:v>
                </c:pt>
                <c:pt idx="71">
                  <c:v>36</c:v>
                </c:pt>
                <c:pt idx="72">
                  <c:v>36.5</c:v>
                </c:pt>
                <c:pt idx="73">
                  <c:v>37</c:v>
                </c:pt>
                <c:pt idx="74">
                  <c:v>37.5</c:v>
                </c:pt>
                <c:pt idx="75">
                  <c:v>38</c:v>
                </c:pt>
                <c:pt idx="76">
                  <c:v>38.5</c:v>
                </c:pt>
                <c:pt idx="77">
                  <c:v>39</c:v>
                </c:pt>
                <c:pt idx="78">
                  <c:v>39.5</c:v>
                </c:pt>
                <c:pt idx="79">
                  <c:v>40</c:v>
                </c:pt>
                <c:pt idx="80">
                  <c:v>40.5</c:v>
                </c:pt>
                <c:pt idx="81">
                  <c:v>41</c:v>
                </c:pt>
                <c:pt idx="82">
                  <c:v>41.5</c:v>
                </c:pt>
                <c:pt idx="83">
                  <c:v>42</c:v>
                </c:pt>
                <c:pt idx="84">
                  <c:v>42.5</c:v>
                </c:pt>
                <c:pt idx="85">
                  <c:v>43</c:v>
                </c:pt>
                <c:pt idx="86">
                  <c:v>43.5</c:v>
                </c:pt>
                <c:pt idx="87">
                  <c:v>44</c:v>
                </c:pt>
                <c:pt idx="88">
                  <c:v>44.5</c:v>
                </c:pt>
                <c:pt idx="89">
                  <c:v>45</c:v>
                </c:pt>
                <c:pt idx="90">
                  <c:v>45.5</c:v>
                </c:pt>
                <c:pt idx="91">
                  <c:v>46</c:v>
                </c:pt>
                <c:pt idx="92">
                  <c:v>46.5</c:v>
                </c:pt>
                <c:pt idx="93">
                  <c:v>47</c:v>
                </c:pt>
                <c:pt idx="94">
                  <c:v>47.5</c:v>
                </c:pt>
                <c:pt idx="95">
                  <c:v>48</c:v>
                </c:pt>
                <c:pt idx="96">
                  <c:v>48.5</c:v>
                </c:pt>
                <c:pt idx="97">
                  <c:v>49</c:v>
                </c:pt>
                <c:pt idx="98">
                  <c:v>49.5</c:v>
                </c:pt>
                <c:pt idx="99">
                  <c:v>50</c:v>
                </c:pt>
                <c:pt idx="100">
                  <c:v>50.5</c:v>
                </c:pt>
                <c:pt idx="101">
                  <c:v>51</c:v>
                </c:pt>
                <c:pt idx="102">
                  <c:v>51.5</c:v>
                </c:pt>
                <c:pt idx="103">
                  <c:v>52</c:v>
                </c:pt>
                <c:pt idx="104">
                  <c:v>52.5</c:v>
                </c:pt>
                <c:pt idx="105">
                  <c:v>53</c:v>
                </c:pt>
                <c:pt idx="106">
                  <c:v>53.5</c:v>
                </c:pt>
                <c:pt idx="107">
                  <c:v>54</c:v>
                </c:pt>
                <c:pt idx="108">
                  <c:v>54.5</c:v>
                </c:pt>
                <c:pt idx="109">
                  <c:v>55</c:v>
                </c:pt>
                <c:pt idx="110">
                  <c:v>55.5</c:v>
                </c:pt>
                <c:pt idx="111">
                  <c:v>56</c:v>
                </c:pt>
                <c:pt idx="112">
                  <c:v>56.5</c:v>
                </c:pt>
                <c:pt idx="113">
                  <c:v>57</c:v>
                </c:pt>
                <c:pt idx="114">
                  <c:v>57.5</c:v>
                </c:pt>
                <c:pt idx="115">
                  <c:v>58</c:v>
                </c:pt>
                <c:pt idx="116">
                  <c:v>58.5</c:v>
                </c:pt>
                <c:pt idx="117">
                  <c:v>59</c:v>
                </c:pt>
                <c:pt idx="118">
                  <c:v>59.5</c:v>
                </c:pt>
                <c:pt idx="119">
                  <c:v>60</c:v>
                </c:pt>
                <c:pt idx="120">
                  <c:v>60.5</c:v>
                </c:pt>
                <c:pt idx="121">
                  <c:v>61</c:v>
                </c:pt>
                <c:pt idx="122">
                  <c:v>61.5</c:v>
                </c:pt>
                <c:pt idx="123">
                  <c:v>62</c:v>
                </c:pt>
                <c:pt idx="124">
                  <c:v>62.5</c:v>
                </c:pt>
                <c:pt idx="125">
                  <c:v>63</c:v>
                </c:pt>
                <c:pt idx="126">
                  <c:v>63.5</c:v>
                </c:pt>
                <c:pt idx="127">
                  <c:v>64</c:v>
                </c:pt>
                <c:pt idx="128">
                  <c:v>64.5</c:v>
                </c:pt>
                <c:pt idx="129">
                  <c:v>65</c:v>
                </c:pt>
                <c:pt idx="130">
                  <c:v>65.5</c:v>
                </c:pt>
                <c:pt idx="131">
                  <c:v>66</c:v>
                </c:pt>
                <c:pt idx="132">
                  <c:v>66.5</c:v>
                </c:pt>
                <c:pt idx="133">
                  <c:v>67</c:v>
                </c:pt>
                <c:pt idx="134">
                  <c:v>67.5</c:v>
                </c:pt>
                <c:pt idx="135">
                  <c:v>68</c:v>
                </c:pt>
                <c:pt idx="136">
                  <c:v>68.5</c:v>
                </c:pt>
                <c:pt idx="137">
                  <c:v>69</c:v>
                </c:pt>
                <c:pt idx="138">
                  <c:v>69.5</c:v>
                </c:pt>
                <c:pt idx="139">
                  <c:v>70</c:v>
                </c:pt>
                <c:pt idx="140">
                  <c:v>70.5</c:v>
                </c:pt>
                <c:pt idx="141">
                  <c:v>71</c:v>
                </c:pt>
                <c:pt idx="142">
                  <c:v>71.5</c:v>
                </c:pt>
                <c:pt idx="143">
                  <c:v>72</c:v>
                </c:pt>
                <c:pt idx="144">
                  <c:v>72.5</c:v>
                </c:pt>
                <c:pt idx="145">
                  <c:v>73</c:v>
                </c:pt>
                <c:pt idx="146">
                  <c:v>73.5</c:v>
                </c:pt>
                <c:pt idx="147">
                  <c:v>74</c:v>
                </c:pt>
                <c:pt idx="148">
                  <c:v>74.5</c:v>
                </c:pt>
                <c:pt idx="149">
                  <c:v>75</c:v>
                </c:pt>
              </c:numCache>
            </c:numRef>
          </c:xVal>
          <c:yVal>
            <c:numRef>
              <c:f>Eff_vs_IOUT!$BI$8:$BI$157</c:f>
              <c:numCache>
                <c:formatCode>General</c:formatCode>
                <c:ptCount val="15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yVal>
          <c:smooth val="1"/>
          <c:extLst>
            <c:ext xmlns:c16="http://schemas.microsoft.com/office/drawing/2014/chart" uri="{C3380CC4-5D6E-409C-BE32-E72D297353CC}">
              <c16:uniqueId val="{00000004-C391-4527-8BBE-DDCDE94A24A4}"/>
            </c:ext>
          </c:extLst>
        </c:ser>
        <c:dLbls>
          <c:showLegendKey val="0"/>
          <c:showVal val="0"/>
          <c:showCatName val="0"/>
          <c:showSerName val="0"/>
          <c:showPercent val="0"/>
          <c:showBubbleSize val="0"/>
        </c:dLbls>
        <c:axId val="582788608"/>
        <c:axId val="582786432"/>
      </c:scatterChart>
      <c:valAx>
        <c:axId val="582782976"/>
        <c:scaling>
          <c:orientation val="minMax"/>
        </c:scaling>
        <c:delete val="0"/>
        <c:axPos val="b"/>
        <c:majorGridlines/>
        <c:numFmt formatCode="General" sourceLinked="1"/>
        <c:majorTickMark val="out"/>
        <c:minorTickMark val="none"/>
        <c:tickLblPos val="nextTo"/>
        <c:crossAx val="582784512"/>
        <c:crosses val="autoZero"/>
        <c:crossBetween val="midCat"/>
      </c:valAx>
      <c:valAx>
        <c:axId val="582784512"/>
        <c:scaling>
          <c:orientation val="minMax"/>
          <c:max val="100"/>
          <c:min val="60"/>
        </c:scaling>
        <c:delete val="0"/>
        <c:axPos val="l"/>
        <c:majorGridlines/>
        <c:title>
          <c:tx>
            <c:rich>
              <a:bodyPr rot="-5400000" vert="horz"/>
              <a:lstStyle/>
              <a:p>
                <a:pPr>
                  <a:defRPr sz="1400"/>
                </a:pPr>
                <a:r>
                  <a:rPr lang="en-US" sz="1400"/>
                  <a:t>Efficiency</a:t>
                </a:r>
                <a:r>
                  <a:rPr lang="en-US" sz="1400" baseline="0"/>
                  <a:t> (%)</a:t>
                </a:r>
                <a:endParaRPr lang="en-US" sz="1400"/>
              </a:p>
            </c:rich>
          </c:tx>
          <c:overlay val="0"/>
        </c:title>
        <c:numFmt formatCode="General" sourceLinked="1"/>
        <c:majorTickMark val="out"/>
        <c:minorTickMark val="none"/>
        <c:tickLblPos val="nextTo"/>
        <c:crossAx val="582782976"/>
        <c:crosses val="autoZero"/>
        <c:crossBetween val="midCat"/>
      </c:valAx>
      <c:valAx>
        <c:axId val="582786432"/>
        <c:scaling>
          <c:orientation val="minMax"/>
        </c:scaling>
        <c:delete val="0"/>
        <c:axPos val="r"/>
        <c:title>
          <c:tx>
            <c:rich>
              <a:bodyPr rot="-5400000" vert="horz"/>
              <a:lstStyle/>
              <a:p>
                <a:pPr>
                  <a:defRPr sz="1400"/>
                </a:pPr>
                <a:r>
                  <a:rPr lang="en-US" sz="1400"/>
                  <a:t>Losses</a:t>
                </a:r>
                <a:r>
                  <a:rPr lang="en-US" sz="1400" baseline="0"/>
                  <a:t> (W)</a:t>
                </a:r>
                <a:endParaRPr lang="en-US" sz="1400"/>
              </a:p>
            </c:rich>
          </c:tx>
          <c:overlay val="0"/>
        </c:title>
        <c:numFmt formatCode="General" sourceLinked="1"/>
        <c:majorTickMark val="out"/>
        <c:minorTickMark val="none"/>
        <c:tickLblPos val="nextTo"/>
        <c:crossAx val="582788608"/>
        <c:crosses val="max"/>
        <c:crossBetween val="midCat"/>
      </c:valAx>
      <c:valAx>
        <c:axId val="582788608"/>
        <c:scaling>
          <c:orientation val="minMax"/>
        </c:scaling>
        <c:delete val="1"/>
        <c:axPos val="b"/>
        <c:title>
          <c:tx>
            <c:rich>
              <a:bodyPr/>
              <a:lstStyle/>
              <a:p>
                <a:pPr>
                  <a:defRPr/>
                </a:pPr>
                <a:r>
                  <a:rPr lang="en-US"/>
                  <a:t>Loac</a:t>
                </a:r>
                <a:r>
                  <a:rPr lang="en-US" baseline="0"/>
                  <a:t> Current (A)</a:t>
                </a:r>
                <a:endParaRPr lang="en-US"/>
              </a:p>
            </c:rich>
          </c:tx>
          <c:overlay val="0"/>
        </c:title>
        <c:numFmt formatCode="General" sourceLinked="1"/>
        <c:majorTickMark val="out"/>
        <c:minorTickMark val="none"/>
        <c:tickLblPos val="nextTo"/>
        <c:crossAx val="582786432"/>
        <c:crosses val="autoZero"/>
        <c:crossBetween val="midCat"/>
      </c:valAx>
    </c:plotArea>
    <c:legend>
      <c:legendPos val="r"/>
      <c:layout>
        <c:manualLayout>
          <c:xMode val="edge"/>
          <c:yMode val="edge"/>
          <c:x val="0.49339941826540429"/>
          <c:y val="6.4862204724409449E-3"/>
          <c:w val="0.42227913565687919"/>
          <c:h val="0.1165233360670469"/>
        </c:manualLayout>
      </c:layout>
      <c:overlay val="1"/>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2400"/>
            </a:pPr>
            <a:r>
              <a:rPr lang="el-GR" sz="2400"/>
              <a:t>η</a:t>
            </a:r>
            <a:endParaRPr lang="en-US" sz="2400"/>
          </a:p>
        </c:rich>
      </c:tx>
      <c:layout>
        <c:manualLayout>
          <c:xMode val="edge"/>
          <c:yMode val="edge"/>
          <c:x val="9.2321838295158831E-2"/>
          <c:y val="6.7069081153588199E-3"/>
        </c:manualLayout>
      </c:layout>
      <c:overlay val="1"/>
    </c:title>
    <c:autoTitleDeleted val="0"/>
    <c:plotArea>
      <c:layout>
        <c:manualLayout>
          <c:layoutTarget val="inner"/>
          <c:xMode val="edge"/>
          <c:yMode val="edge"/>
          <c:x val="9.4343575816580413E-2"/>
          <c:y val="0.12777504924560487"/>
          <c:w val="0.82170691922728745"/>
          <c:h val="0.74982770867653059"/>
        </c:manualLayout>
      </c:layout>
      <c:scatterChart>
        <c:scatterStyle val="smoothMarker"/>
        <c:varyColors val="0"/>
        <c:ser>
          <c:idx val="0"/>
          <c:order val="0"/>
          <c:tx>
            <c:v>Eff</c:v>
          </c:tx>
          <c:spPr>
            <a:ln>
              <a:solidFill>
                <a:srgbClr val="FF0000"/>
              </a:solidFill>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Eff_vs_IOUT!$BZ$7:$BZ$157</c:f>
              <c:numCache>
                <c:formatCode>General</c:formatCode>
                <c:ptCount val="151"/>
                <c:pt idx="0">
                  <c:v>0</c:v>
                </c:pt>
                <c:pt idx="1">
                  <c:v>91.614175393546276</c:v>
                </c:pt>
                <c:pt idx="2">
                  <c:v>91.407098962065774</c:v>
                </c:pt>
                <c:pt idx="3">
                  <c:v>90.919515145869681</c:v>
                </c:pt>
                <c:pt idx="4">
                  <c:v>90.423397156149136</c:v>
                </c:pt>
                <c:pt idx="5">
                  <c:v>89.953568159285354</c:v>
                </c:pt>
                <c:pt idx="6">
                  <c:v>89.51383788982254</c:v>
                </c:pt>
                <c:pt idx="7">
                  <c:v>89.102050447809063</c:v>
                </c:pt>
                <c:pt idx="8">
                  <c:v>88.715036340984568</c:v>
                </c:pt>
                <c:pt idx="9">
                  <c:v>88.349773309631189</c:v>
                </c:pt>
                <c:pt idx="10">
                  <c:v>88.003636100108977</c:v>
                </c:pt>
                <c:pt idx="11">
                  <c:v>87.674404780249176</c:v>
                </c:pt>
                <c:pt idx="12">
                  <c:v>87.360212725648324</c:v>
                </c:pt>
                <c:pt idx="13">
                  <c:v>87.059486569173671</c:v>
                </c:pt>
                <c:pt idx="14">
                  <c:v>86.770892606437656</c:v>
                </c:pt>
                <c:pt idx="15">
                  <c:v>86.493292518481653</c:v>
                </c:pt>
                <c:pt idx="16">
                  <c:v>86.22570779343539</c:v>
                </c:pt>
                <c:pt idx="17">
                  <c:v>85.967291385869004</c:v>
                </c:pt>
                <c:pt idx="18">
                  <c:v>85.717305145836306</c:v>
                </c:pt>
                <c:pt idx="19">
                  <c:v>85.475101773265081</c:v>
                </c:pt>
                <c:pt idx="20">
                  <c:v>85.240110306010791</c:v>
                </c:pt>
                <c:pt idx="21">
                  <c:v>85.01182437093334</c:v>
                </c:pt>
                <c:pt idx="22">
                  <c:v>84.789792604750019</c:v>
                </c:pt>
                <c:pt idx="23">
                  <c:v>84.573610788738691</c:v>
                </c:pt>
                <c:pt idx="24">
                  <c:v>84.362915346055658</c:v>
                </c:pt>
                <c:pt idx="25">
                  <c:v>84.157377929836684</c:v>
                </c:pt>
                <c:pt idx="26">
                  <c:v>83.956700890484115</c:v>
                </c:pt>
                <c:pt idx="27">
                  <c:v>83.760613456380312</c:v>
                </c:pt>
                <c:pt idx="28">
                  <c:v>83.568868497314881</c:v>
                </c:pt>
                <c:pt idx="29">
                  <c:v>83.381239766864809</c:v>
                </c:pt>
                <c:pt idx="30">
                  <c:v>83.197519540819869</c:v>
                </c:pt>
                <c:pt idx="31">
                  <c:v>83.01751658498479</c:v>
                </c:pt>
                <c:pt idx="32">
                  <c:v>82.841054398415537</c:v>
                </c:pt>
                <c:pt idx="33">
                  <c:v>82.667969688184215</c:v>
                </c:pt>
                <c:pt idx="34">
                  <c:v>82.498111039732223</c:v>
                </c:pt>
                <c:pt idx="35">
                  <c:v>82.331337753230457</c:v>
                </c:pt>
                <c:pt idx="36">
                  <c:v>82.167518821471958</c:v>
                </c:pt>
                <c:pt idx="37">
                  <c:v>82.006532028945742</c:v>
                </c:pt>
                <c:pt idx="38">
                  <c:v>81.848263155089441</c:v>
                </c:pt>
                <c:pt idx="39">
                  <c:v>81.692605267450077</c:v>
                </c:pt>
                <c:pt idx="40">
                  <c:v>81.53945809272382</c:v>
                </c:pt>
                <c:pt idx="41">
                  <c:v>81.388727455492301</c:v>
                </c:pt>
                <c:pt idx="42">
                  <c:v>81.240324776002453</c:v>
                </c:pt>
                <c:pt idx="43">
                  <c:v>81.094028148200508</c:v>
                </c:pt>
                <c:pt idx="44">
                  <c:v>80.946195400887547</c:v>
                </c:pt>
                <c:pt idx="45">
                  <c:v>80.795745329504342</c:v>
                </c:pt>
                <c:pt idx="46">
                  <c:v>80.642915089485427</c:v>
                </c:pt>
                <c:pt idx="47">
                  <c:v>80.487921664638691</c:v>
                </c:pt>
                <c:pt idx="48">
                  <c:v>80.330963895846594</c:v>
                </c:pt>
                <c:pt idx="49">
                  <c:v>80.172224270858976</c:v>
                </c:pt>
                <c:pt idx="50">
                  <c:v>80.011870507349187</c:v>
                </c:pt>
                <c:pt idx="51">
                  <c:v>79.850056956547675</c:v>
                </c:pt>
                <c:pt idx="52">
                  <c:v>79.686925850720257</c:v>
                </c:pt>
                <c:pt idx="53">
                  <c:v>79.522608414372527</c:v>
                </c:pt>
                <c:pt idx="54">
                  <c:v>79.357225856221476</c:v>
                </c:pt>
                <c:pt idx="55">
                  <c:v>79.190890256582406</c:v>
                </c:pt>
                <c:pt idx="56">
                  <c:v>79.023705362799717</c:v>
                </c:pt>
                <c:pt idx="57">
                  <c:v>78.85576730363519</c:v>
                </c:pt>
                <c:pt idx="58">
                  <c:v>78.687165232074292</c:v>
                </c:pt>
                <c:pt idx="59">
                  <c:v>78.517981904768135</c:v>
                </c:pt>
                <c:pt idx="60">
                  <c:v>78.34829420526917</c:v>
                </c:pt>
                <c:pt idx="61">
                  <c:v>78.178173617309071</c:v>
                </c:pt>
                <c:pt idx="62">
                  <c:v>78.007686653586205</c:v>
                </c:pt>
                <c:pt idx="63">
                  <c:v>77.836895244856947</c:v>
                </c:pt>
                <c:pt idx="64">
                  <c:v>77.665857093543579</c:v>
                </c:pt>
                <c:pt idx="65">
                  <c:v>77.49462599556901</c:v>
                </c:pt>
                <c:pt idx="66">
                  <c:v>77.323252133691057</c:v>
                </c:pt>
                <c:pt idx="67">
                  <c:v>77.151782345230302</c:v>
                </c:pt>
                <c:pt idx="68">
                  <c:v>76.980260366754266</c:v>
                </c:pt>
                <c:pt idx="69">
                  <c:v>76.808727057991561</c:v>
                </c:pt>
                <c:pt idx="70">
                  <c:v>76.637220606997758</c:v>
                </c:pt>
                <c:pt idx="71">
                  <c:v>76.465776718372311</c:v>
                </c:pt>
                <c:pt idx="72">
                  <c:v>76.294428786131618</c:v>
                </c:pt>
                <c:pt idx="73">
                  <c:v>76.123208052671941</c:v>
                </c:pt>
                <c:pt idx="74">
                  <c:v>75.952143755105254</c:v>
                </c:pt>
                <c:pt idx="75">
                  <c:v>75.781263260117143</c:v>
                </c:pt>
                <c:pt idx="76">
                  <c:v>75.610592188378462</c:v>
                </c:pt>
                <c:pt idx="77">
                  <c:v>75.440154529437777</c:v>
                </c:pt>
                <c:pt idx="78">
                  <c:v>75.269972747928961</c:v>
                </c:pt>
                <c:pt idx="79">
                  <c:v>75.10006788184532</c:v>
                </c:pt>
                <c:pt idx="80">
                  <c:v>74.930459633559678</c:v>
                </c:pt>
                <c:pt idx="81">
                  <c:v>74.761166454202154</c:v>
                </c:pt>
                <c:pt idx="82">
                  <c:v>74.592205621951635</c:v>
                </c:pt>
                <c:pt idx="83">
                  <c:v>74.423593314742106</c:v>
                </c:pt>
                <c:pt idx="84">
                  <c:v>74.255344677840412</c:v>
                </c:pt>
                <c:pt idx="85">
                  <c:v>74.087473886708494</c:v>
                </c:pt>
                <c:pt idx="86">
                  <c:v>73.919994205526706</c:v>
                </c:pt>
                <c:pt idx="87">
                  <c:v>73.752918041719923</c:v>
                </c:pt>
                <c:pt idx="88">
                  <c:v>73.586256996798767</c:v>
                </c:pt>
                <c:pt idx="89">
                  <c:v>73.4200219137999</c:v>
                </c:pt>
                <c:pt idx="90">
                  <c:v>73.25422292158531</c:v>
                </c:pt>
                <c:pt idx="91">
                  <c:v>73.088869476237548</c:v>
                </c:pt>
                <c:pt idx="92">
                  <c:v>72.923970399768436</c:v>
                </c:pt>
                <c:pt idx="93">
                  <c:v>72.759533916339393</c:v>
                </c:pt>
                <c:pt idx="94">
                  <c:v>72.595567686176082</c:v>
                </c:pt>
                <c:pt idx="95">
                  <c:v>72.43207883734442</c:v>
                </c:pt>
                <c:pt idx="96">
                  <c:v>72.269073995541007</c:v>
                </c:pt>
                <c:pt idx="97">
                  <c:v>72.106559312039721</c:v>
                </c:pt>
                <c:pt idx="98">
                  <c:v>71.944540489923625</c:v>
                </c:pt>
                <c:pt idx="99">
                  <c:v>71.78302280872208</c:v>
                </c:pt>
                <c:pt idx="100">
                  <c:v>71.62201114756293</c:v>
                </c:pt>
                <c:pt idx="101">
                  <c:v>71.461510006941225</c:v>
                </c:pt>
                <c:pt idx="102">
                  <c:v>71.301523529198647</c:v>
                </c:pt>
                <c:pt idx="103">
                  <c:v>71.142055517799236</c:v>
                </c:pt>
                <c:pt idx="104">
                  <c:v>70.983109455482804</c:v>
                </c:pt>
                <c:pt idx="105">
                  <c:v>70.824688521368557</c:v>
                </c:pt>
                <c:pt idx="106">
                  <c:v>70.666795607078583</c:v>
                </c:pt>
                <c:pt idx="107">
                  <c:v>70.50943333194418</c:v>
                </c:pt>
                <c:pt idx="108">
                  <c:v>70.352604057353915</c:v>
                </c:pt>
                <c:pt idx="109">
                  <c:v>70.196309900298075</c:v>
                </c:pt>
                <c:pt idx="110">
                  <c:v>70.04055274616023</c:v>
                </c:pt>
                <c:pt idx="111">
                  <c:v>69.885334260802978</c:v>
                </c:pt>
                <c:pt idx="112">
                  <c:v>69.730655901991582</c:v>
                </c:pt>
                <c:pt idx="113">
                  <c:v>69.576518930196343</c:v>
                </c:pt>
                <c:pt idx="114">
                  <c:v>69.422924418811547</c:v>
                </c:pt>
                <c:pt idx="115">
                  <c:v>69.269873263826355</c:v>
                </c:pt>
                <c:pt idx="116">
                  <c:v>69.117366192980384</c:v>
                </c:pt>
                <c:pt idx="117">
                  <c:v>68.965403774434975</c:v>
                </c:pt>
                <c:pt idx="118">
                  <c:v>68.813986424988443</c:v>
                </c:pt>
                <c:pt idx="119">
                  <c:v>68.663114417862189</c:v>
                </c:pt>
                <c:pt idx="120">
                  <c:v>68.512787890082834</c:v>
                </c:pt>
                <c:pt idx="121">
                  <c:v>68.363006849483384</c:v>
                </c:pt>
                <c:pt idx="122">
                  <c:v>68.213771181345365</c:v>
                </c:pt>
                <c:pt idx="123">
                  <c:v>68.065080654702641</c:v>
                </c:pt>
                <c:pt idx="124">
                  <c:v>67.916934928325645</c:v>
                </c:pt>
                <c:pt idx="125">
                  <c:v>67.769333556404035</c:v>
                </c:pt>
                <c:pt idx="126">
                  <c:v>67.622275993944811</c:v>
                </c:pt>
                <c:pt idx="127">
                  <c:v>67.475761601901354</c:v>
                </c:pt>
                <c:pt idx="128">
                  <c:v>67.329789652048206</c:v>
                </c:pt>
                <c:pt idx="129">
                  <c:v>67.184359331615639</c:v>
                </c:pt>
                <c:pt idx="130">
                  <c:v>67.039469747696756</c:v>
                </c:pt>
                <c:pt idx="131">
                  <c:v>66.895119931439567</c:v>
                </c:pt>
                <c:pt idx="132">
                  <c:v>66.751308842035527</c:v>
                </c:pt>
                <c:pt idx="133">
                  <c:v>66.608035370514941</c:v>
                </c:pt>
                <c:pt idx="134">
                  <c:v>66.465298343360246</c:v>
                </c:pt>
                <c:pt idx="135">
                  <c:v>66.323096525945815</c:v>
                </c:pt>
                <c:pt idx="136">
                  <c:v>66.181428625813822</c:v>
                </c:pt>
                <c:pt idx="137">
                  <c:v>66.04029329579464</c:v>
                </c:pt>
                <c:pt idx="138">
                  <c:v>65.899689136979575</c:v>
                </c:pt>
                <c:pt idx="139">
                  <c:v>65.759614701553588</c:v>
                </c:pt>
                <c:pt idx="140">
                  <c:v>65.620068495495048</c:v>
                </c:pt>
                <c:pt idx="141">
                  <c:v>65.481048981149399</c:v>
                </c:pt>
                <c:pt idx="142">
                  <c:v>65.342554579682925</c:v>
                </c:pt>
                <c:pt idx="143">
                  <c:v>65.204583673422491</c:v>
                </c:pt>
                <c:pt idx="144">
                  <c:v>65.067134608087215</c:v>
                </c:pt>
                <c:pt idx="145">
                  <c:v>64.930205694917191</c:v>
                </c:pt>
                <c:pt idx="146">
                  <c:v>64.793795212704254</c:v>
                </c:pt>
                <c:pt idx="147">
                  <c:v>64.657901409729845</c:v>
                </c:pt>
                <c:pt idx="148">
                  <c:v>64.522522505614134</c:v>
                </c:pt>
                <c:pt idx="149">
                  <c:v>64.387656693080999</c:v>
                </c:pt>
                <c:pt idx="150">
                  <c:v>64.25330213964267</c:v>
                </c:pt>
              </c:numCache>
            </c:numRef>
          </c:yVal>
          <c:smooth val="0"/>
          <c:extLst>
            <c:ext xmlns:c16="http://schemas.microsoft.com/office/drawing/2014/chart" uri="{C3380CC4-5D6E-409C-BE32-E72D297353CC}">
              <c16:uniqueId val="{00000000-A180-432B-A347-F5CCD23FB4B3}"/>
            </c:ext>
          </c:extLst>
        </c:ser>
        <c:dLbls>
          <c:showLegendKey val="0"/>
          <c:showVal val="0"/>
          <c:showCatName val="0"/>
          <c:showSerName val="0"/>
          <c:showPercent val="0"/>
          <c:showBubbleSize val="0"/>
        </c:dLbls>
        <c:axId val="582892544"/>
        <c:axId val="582902528"/>
      </c:scatterChart>
      <c:scatterChart>
        <c:scatterStyle val="smoothMarker"/>
        <c:varyColors val="0"/>
        <c:ser>
          <c:idx val="1"/>
          <c:order val="1"/>
          <c:tx>
            <c:v>MOSFET</c:v>
          </c:tx>
          <c:spPr>
            <a:ln>
              <a:solidFill>
                <a:schemeClr val="tx2">
                  <a:lumMod val="75000"/>
                </a:schemeClr>
              </a:solidFill>
              <a:prstDash val="dashDot"/>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Eff_vs_IOUT!$AJ$7:$AJ$157</c:f>
              <c:numCache>
                <c:formatCode>General</c:formatCode>
                <c:ptCount val="151"/>
                <c:pt idx="0">
                  <c:v>0</c:v>
                </c:pt>
                <c:pt idx="1">
                  <c:v>5.4618288037103484E-3</c:v>
                </c:pt>
                <c:pt idx="2">
                  <c:v>1.1205673851048672E-2</c:v>
                </c:pt>
                <c:pt idx="3">
                  <c:v>1.7988018168847937E-2</c:v>
                </c:pt>
                <c:pt idx="4">
                  <c:v>2.5694332592206354E-2</c:v>
                </c:pt>
                <c:pt idx="5">
                  <c:v>3.4231842712920312E-2</c:v>
                </c:pt>
                <c:pt idx="6">
                  <c:v>4.3529207689206671E-2</c:v>
                </c:pt>
                <c:pt idx="7">
                  <c:v>5.3530173424532618E-2</c:v>
                </c:pt>
                <c:pt idx="8">
                  <c:v>6.4189125479875112E-2</c:v>
                </c:pt>
                <c:pt idx="9">
                  <c:v>7.5468186350273664E-2</c:v>
                </c:pt>
                <c:pt idx="10">
                  <c:v>8.7335282504630837E-2</c:v>
                </c:pt>
                <c:pt idx="11">
                  <c:v>9.976281485243374E-2</c:v>
                </c:pt>
                <c:pt idx="12">
                  <c:v>0.11272671494490211</c:v>
                </c:pt>
                <c:pt idx="13">
                  <c:v>0.12620575587129973</c:v>
                </c:pt>
                <c:pt idx="14">
                  <c:v>0.14018103661169484</c:v>
                </c:pt>
                <c:pt idx="15">
                  <c:v>0.15463558786267997</c:v>
                </c:pt>
                <c:pt idx="16">
                  <c:v>0.16955406506269799</c:v>
                </c:pt>
                <c:pt idx="17">
                  <c:v>0.18492250539724489</c:v>
                </c:pt>
                <c:pt idx="18">
                  <c:v>0.20072813266425713</c:v>
                </c:pt>
                <c:pt idx="19">
                  <c:v>0.21695919856198775</c:v>
                </c:pt>
                <c:pt idx="20">
                  <c:v>0.23360485212352272</c:v>
                </c:pt>
                <c:pt idx="21">
                  <c:v>0.25065503120379601</c:v>
                </c:pt>
                <c:pt idx="22">
                  <c:v>0.26810037145991977</c:v>
                </c:pt>
                <c:pt idx="23">
                  <c:v>0.28593212936479107</c:v>
                </c:pt>
                <c:pt idx="24">
                  <c:v>0.3041421165937126</c:v>
                </c:pt>
                <c:pt idx="25">
                  <c:v>0.32272264371426496</c:v>
                </c:pt>
                <c:pt idx="26">
                  <c:v>0.34166647155151741</c:v>
                </c:pt>
                <c:pt idx="27">
                  <c:v>0.36096676893536878</c:v>
                </c:pt>
                <c:pt idx="28">
                  <c:v>0.38061707579320458</c:v>
                </c:pt>
                <c:pt idx="29">
                  <c:v>0.40061127074955311</c:v>
                </c:pt>
                <c:pt idx="30">
                  <c:v>0.42094354254954797</c:v>
                </c:pt>
                <c:pt idx="31">
                  <c:v>0.44160836474534948</c:v>
                </c:pt>
                <c:pt idx="32">
                  <c:v>0.46260047318197239</c:v>
                </c:pt>
                <c:pt idx="33">
                  <c:v>0.48391484589693118</c:v>
                </c:pt>
                <c:pt idx="34">
                  <c:v>0.5055466851110556</c:v>
                </c:pt>
                <c:pt idx="35">
                  <c:v>0.52749140103899428</c:v>
                </c:pt>
                <c:pt idx="36">
                  <c:v>0.54974459728976022</c:v>
                </c:pt>
                <c:pt idx="37">
                  <c:v>0.5723020576621175</c:v>
                </c:pt>
                <c:pt idx="38">
                  <c:v>0.5951597341680952</c:v>
                </c:pt>
                <c:pt idx="39">
                  <c:v>0.61831373614163754</c:v>
                </c:pt>
                <c:pt idx="40">
                  <c:v>0.6417603203092177</c:v>
                </c:pt>
                <c:pt idx="41">
                  <c:v>0.66549588171590757</c:v>
                </c:pt>
                <c:pt idx="42">
                  <c:v>0.68951694541445319</c:v>
                </c:pt>
                <c:pt idx="43">
                  <c:v>0.71385316477143634</c:v>
                </c:pt>
                <c:pt idx="44">
                  <c:v>0.73884537754734958</c:v>
                </c:pt>
                <c:pt idx="45">
                  <c:v>0.76440159032326294</c:v>
                </c:pt>
                <c:pt idx="46">
                  <c:v>0.79052180309917663</c:v>
                </c:pt>
                <c:pt idx="47">
                  <c:v>0.81720601587508968</c:v>
                </c:pt>
                <c:pt idx="48">
                  <c:v>0.84445422865100284</c:v>
                </c:pt>
                <c:pt idx="49">
                  <c:v>0.87226644142691612</c:v>
                </c:pt>
                <c:pt idx="50">
                  <c:v>0.90064265420282941</c:v>
                </c:pt>
                <c:pt idx="51">
                  <c:v>0.92958286697874248</c:v>
                </c:pt>
                <c:pt idx="52">
                  <c:v>0.9590870797546559</c:v>
                </c:pt>
                <c:pt idx="53">
                  <c:v>0.98915529253056922</c:v>
                </c:pt>
                <c:pt idx="54">
                  <c:v>1.019787505306482</c:v>
                </c:pt>
                <c:pt idx="55">
                  <c:v>1.0509837180823955</c:v>
                </c:pt>
                <c:pt idx="56">
                  <c:v>1.0827439308583089</c:v>
                </c:pt>
                <c:pt idx="57">
                  <c:v>1.1150681436342222</c:v>
                </c:pt>
                <c:pt idx="58">
                  <c:v>1.1479563564101356</c:v>
                </c:pt>
                <c:pt idx="59">
                  <c:v>1.1814085691860496</c:v>
                </c:pt>
                <c:pt idx="60">
                  <c:v>1.2154247819619619</c:v>
                </c:pt>
                <c:pt idx="61">
                  <c:v>1.2500049947378746</c:v>
                </c:pt>
                <c:pt idx="62">
                  <c:v>1.2851492075137887</c:v>
                </c:pt>
                <c:pt idx="63">
                  <c:v>1.3208574202897019</c:v>
                </c:pt>
                <c:pt idx="64">
                  <c:v>1.3571296330656155</c:v>
                </c:pt>
                <c:pt idx="65">
                  <c:v>1.3939658458415281</c:v>
                </c:pt>
                <c:pt idx="66">
                  <c:v>1.431366058617441</c:v>
                </c:pt>
                <c:pt idx="67">
                  <c:v>1.4693302713933549</c:v>
                </c:pt>
                <c:pt idx="68">
                  <c:v>1.5078584841692684</c:v>
                </c:pt>
                <c:pt idx="69">
                  <c:v>1.5469506969451807</c:v>
                </c:pt>
                <c:pt idx="70">
                  <c:v>1.5866069097210942</c:v>
                </c:pt>
                <c:pt idx="71">
                  <c:v>1.6268271224970077</c:v>
                </c:pt>
                <c:pt idx="72">
                  <c:v>1.6676113352729212</c:v>
                </c:pt>
                <c:pt idx="73">
                  <c:v>1.7089595480488335</c:v>
                </c:pt>
                <c:pt idx="74">
                  <c:v>1.7508717608247484</c:v>
                </c:pt>
                <c:pt idx="75">
                  <c:v>1.7933479736006606</c:v>
                </c:pt>
                <c:pt idx="76">
                  <c:v>1.8363881863765732</c:v>
                </c:pt>
                <c:pt idx="77">
                  <c:v>1.8799923991524881</c:v>
                </c:pt>
                <c:pt idx="78">
                  <c:v>1.9241606119284</c:v>
                </c:pt>
                <c:pt idx="79">
                  <c:v>1.9688928247043147</c:v>
                </c:pt>
                <c:pt idx="80">
                  <c:v>2.0141890374802265</c:v>
                </c:pt>
                <c:pt idx="81">
                  <c:v>2.0600492502561401</c:v>
                </c:pt>
                <c:pt idx="82">
                  <c:v>2.106473463032053</c:v>
                </c:pt>
                <c:pt idx="83">
                  <c:v>2.153461675807967</c:v>
                </c:pt>
                <c:pt idx="84">
                  <c:v>2.2010138885838799</c:v>
                </c:pt>
                <c:pt idx="85">
                  <c:v>2.2491301013597935</c:v>
                </c:pt>
                <c:pt idx="86">
                  <c:v>2.2978103141357069</c:v>
                </c:pt>
                <c:pt idx="87">
                  <c:v>2.3470545269116205</c:v>
                </c:pt>
                <c:pt idx="88">
                  <c:v>2.3968627396875335</c:v>
                </c:pt>
                <c:pt idx="89">
                  <c:v>2.4472349524634462</c:v>
                </c:pt>
                <c:pt idx="90">
                  <c:v>2.4981711652393601</c:v>
                </c:pt>
                <c:pt idx="91">
                  <c:v>2.5496713780152724</c:v>
                </c:pt>
                <c:pt idx="92">
                  <c:v>2.6017355907911872</c:v>
                </c:pt>
                <c:pt idx="93">
                  <c:v>2.6543638035670987</c:v>
                </c:pt>
                <c:pt idx="94">
                  <c:v>2.7075560163430135</c:v>
                </c:pt>
                <c:pt idx="95">
                  <c:v>2.7613122291189254</c:v>
                </c:pt>
                <c:pt idx="96">
                  <c:v>2.8156324418948393</c:v>
                </c:pt>
                <c:pt idx="97">
                  <c:v>2.8705166546707517</c:v>
                </c:pt>
                <c:pt idx="98">
                  <c:v>2.9259648674466661</c:v>
                </c:pt>
                <c:pt idx="99">
                  <c:v>2.9819770802225802</c:v>
                </c:pt>
                <c:pt idx="100">
                  <c:v>3.0385532929984924</c:v>
                </c:pt>
                <c:pt idx="101">
                  <c:v>3.0956935057744057</c:v>
                </c:pt>
                <c:pt idx="102">
                  <c:v>3.1533977185503179</c:v>
                </c:pt>
                <c:pt idx="103">
                  <c:v>3.2116659313262326</c:v>
                </c:pt>
                <c:pt idx="104">
                  <c:v>3.2704981441021461</c:v>
                </c:pt>
                <c:pt idx="105">
                  <c:v>3.3298943568780586</c:v>
                </c:pt>
                <c:pt idx="106">
                  <c:v>3.3898545696539713</c:v>
                </c:pt>
                <c:pt idx="107">
                  <c:v>3.4503787824298859</c:v>
                </c:pt>
                <c:pt idx="108">
                  <c:v>3.5114669952057986</c:v>
                </c:pt>
                <c:pt idx="109">
                  <c:v>3.5731192079817116</c:v>
                </c:pt>
                <c:pt idx="110">
                  <c:v>3.6353354207576243</c:v>
                </c:pt>
                <c:pt idx="111">
                  <c:v>3.698115633533539</c:v>
                </c:pt>
                <c:pt idx="112">
                  <c:v>3.7614598463094513</c:v>
                </c:pt>
                <c:pt idx="113">
                  <c:v>3.8253680590853638</c:v>
                </c:pt>
                <c:pt idx="114">
                  <c:v>3.8898402718612788</c:v>
                </c:pt>
                <c:pt idx="115">
                  <c:v>3.9548764846371891</c:v>
                </c:pt>
                <c:pt idx="116">
                  <c:v>4.0204766974131045</c:v>
                </c:pt>
                <c:pt idx="117">
                  <c:v>4.0866409101890175</c:v>
                </c:pt>
                <c:pt idx="118">
                  <c:v>4.1533691229649321</c:v>
                </c:pt>
                <c:pt idx="119">
                  <c:v>4.220661335740842</c:v>
                </c:pt>
                <c:pt idx="120">
                  <c:v>4.2885175485167579</c:v>
                </c:pt>
                <c:pt idx="121">
                  <c:v>4.3569377612926692</c:v>
                </c:pt>
                <c:pt idx="122">
                  <c:v>4.4259219740685802</c:v>
                </c:pt>
                <c:pt idx="123">
                  <c:v>4.4954701868444955</c:v>
                </c:pt>
                <c:pt idx="124">
                  <c:v>4.5655823996204097</c:v>
                </c:pt>
                <c:pt idx="125">
                  <c:v>4.6362586123963228</c:v>
                </c:pt>
                <c:pt idx="126">
                  <c:v>4.7074988251722347</c:v>
                </c:pt>
                <c:pt idx="127">
                  <c:v>4.7793030379481491</c:v>
                </c:pt>
                <c:pt idx="128">
                  <c:v>4.8516712507240625</c:v>
                </c:pt>
                <c:pt idx="129">
                  <c:v>4.9246034634999756</c:v>
                </c:pt>
                <c:pt idx="130">
                  <c:v>4.9980996762758867</c:v>
                </c:pt>
                <c:pt idx="131">
                  <c:v>5.0721598890518038</c:v>
                </c:pt>
                <c:pt idx="132">
                  <c:v>5.1467841018277145</c:v>
                </c:pt>
                <c:pt idx="133">
                  <c:v>5.2219723146036312</c:v>
                </c:pt>
                <c:pt idx="134">
                  <c:v>5.2977245273795424</c:v>
                </c:pt>
                <c:pt idx="135">
                  <c:v>5.3740407401554542</c:v>
                </c:pt>
                <c:pt idx="136">
                  <c:v>5.4509209529313676</c:v>
                </c:pt>
                <c:pt idx="137">
                  <c:v>5.5283651657072834</c:v>
                </c:pt>
                <c:pt idx="138">
                  <c:v>5.6063733784831955</c:v>
                </c:pt>
                <c:pt idx="139">
                  <c:v>5.6849455912591074</c:v>
                </c:pt>
                <c:pt idx="140">
                  <c:v>5.7640818040350208</c:v>
                </c:pt>
                <c:pt idx="141">
                  <c:v>5.8437820168109358</c:v>
                </c:pt>
                <c:pt idx="142">
                  <c:v>5.9240462295868497</c:v>
                </c:pt>
                <c:pt idx="143">
                  <c:v>6.0048744423627616</c:v>
                </c:pt>
                <c:pt idx="144">
                  <c:v>6.0862666551386759</c:v>
                </c:pt>
                <c:pt idx="145">
                  <c:v>6.1682228679145874</c:v>
                </c:pt>
                <c:pt idx="146">
                  <c:v>6.2507430806905022</c:v>
                </c:pt>
                <c:pt idx="147">
                  <c:v>6.3338272934664133</c:v>
                </c:pt>
                <c:pt idx="148">
                  <c:v>6.4174755062423294</c:v>
                </c:pt>
                <c:pt idx="149">
                  <c:v>6.5016877190182418</c:v>
                </c:pt>
                <c:pt idx="150">
                  <c:v>6.5864639317941522</c:v>
                </c:pt>
              </c:numCache>
            </c:numRef>
          </c:yVal>
          <c:smooth val="1"/>
          <c:extLst>
            <c:ext xmlns:c16="http://schemas.microsoft.com/office/drawing/2014/chart" uri="{C3380CC4-5D6E-409C-BE32-E72D297353CC}">
              <c16:uniqueId val="{00000001-A180-432B-A347-F5CCD23FB4B3}"/>
            </c:ext>
          </c:extLst>
        </c:ser>
        <c:ser>
          <c:idx val="3"/>
          <c:order val="2"/>
          <c:tx>
            <c:v>RS</c:v>
          </c:tx>
          <c:spPr>
            <a:ln>
              <a:solidFill>
                <a:schemeClr val="accent5">
                  <a:lumMod val="75000"/>
                </a:schemeClr>
              </a:solidFill>
              <a:prstDash val="lgDashDotDot"/>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Eff_vs_IOUT!$BU$7:$BU$157</c:f>
              <c:numCache>
                <c:formatCode>General</c:formatCode>
                <c:ptCount val="151"/>
                <c:pt idx="0">
                  <c:v>0</c:v>
                </c:pt>
                <c:pt idx="1">
                  <c:v>4.1902624070313919E-5</c:v>
                </c:pt>
                <c:pt idx="2">
                  <c:v>1.1851851851851848E-4</c:v>
                </c:pt>
                <c:pt idx="3">
                  <c:v>2.1773242158072689E-4</c:v>
                </c:pt>
                <c:pt idx="4">
                  <c:v>3.3522099256251135E-4</c:v>
                </c:pt>
                <c:pt idx="5">
                  <c:v>4.6848557928420447E-4</c:v>
                </c:pt>
                <c:pt idx="6">
                  <c:v>6.1584028713560065E-4</c:v>
                </c:pt>
                <c:pt idx="7">
                  <c:v>7.7604745799755826E-4</c:v>
                </c:pt>
                <c:pt idx="8">
                  <c:v>9.4814814814814794E-4</c:v>
                </c:pt>
                <c:pt idx="9">
                  <c:v>1.1313708498984758E-3</c:v>
                </c:pt>
                <c:pt idx="10">
                  <c:v>1.3250773199998756E-3</c:v>
                </c:pt>
                <c:pt idx="11">
                  <c:v>1.5287280994980067E-3</c:v>
                </c:pt>
                <c:pt idx="12">
                  <c:v>1.7418593726458151E-3</c:v>
                </c:pt>
                <c:pt idx="13">
                  <c:v>1.9640667756061088E-3</c:v>
                </c:pt>
                <c:pt idx="14">
                  <c:v>2.1949936802906221E-3</c:v>
                </c:pt>
                <c:pt idx="15">
                  <c:v>2.4343224778007378E-3</c:v>
                </c:pt>
                <c:pt idx="16">
                  <c:v>2.6817679405000908E-3</c:v>
                </c:pt>
                <c:pt idx="17">
                  <c:v>2.9370720655517071E-3</c:v>
                </c:pt>
                <c:pt idx="18">
                  <c:v>3.1999999999999997E-3</c:v>
                </c:pt>
                <c:pt idx="19">
                  <c:v>3.4703367720417956E-3</c:v>
                </c:pt>
                <c:pt idx="20">
                  <c:v>3.7478846342736357E-3</c:v>
                </c:pt>
                <c:pt idx="21">
                  <c:v>4.0324608790093339E-3</c:v>
                </c:pt>
                <c:pt idx="22">
                  <c:v>4.3238960229818532E-3</c:v>
                </c:pt>
                <c:pt idx="23">
                  <c:v>4.6220322847964797E-3</c:v>
                </c:pt>
                <c:pt idx="24">
                  <c:v>4.9267222970848052E-3</c:v>
                </c:pt>
                <c:pt idx="25">
                  <c:v>5.237828008789241E-3</c:v>
                </c:pt>
                <c:pt idx="26">
                  <c:v>5.5552197429371069E-3</c:v>
                </c:pt>
                <c:pt idx="27">
                  <c:v>5.8787753826796268E-3</c:v>
                </c:pt>
                <c:pt idx="28">
                  <c:v>6.2083796639804661E-3</c:v>
                </c:pt>
                <c:pt idx="29">
                  <c:v>6.5439235576312087E-3</c:v>
                </c:pt>
                <c:pt idx="30">
                  <c:v>6.8853037265909642E-3</c:v>
                </c:pt>
                <c:pt idx="31">
                  <c:v>7.2324220472404794E-3</c:v>
                </c:pt>
                <c:pt idx="32">
                  <c:v>7.5851851851851827E-3</c:v>
                </c:pt>
                <c:pt idx="33">
                  <c:v>7.9435042178662707E-3</c:v>
                </c:pt>
                <c:pt idx="34">
                  <c:v>8.3072942975407679E-3</c:v>
                </c:pt>
                <c:pt idx="35">
                  <c:v>8.6764743492422688E-3</c:v>
                </c:pt>
                <c:pt idx="36">
                  <c:v>9.0509667991878085E-3</c:v>
                </c:pt>
                <c:pt idx="37">
                  <c:v>9.4306973297948807E-3</c:v>
                </c:pt>
                <c:pt idx="38">
                  <c:v>9.8155946580471467E-3</c:v>
                </c:pt>
                <c:pt idx="39">
                  <c:v>1.020559033442329E-2</c:v>
                </c:pt>
                <c:pt idx="40">
                  <c:v>1.0600618559999003E-2</c:v>
                </c:pt>
                <c:pt idx="41">
                  <c:v>1.1000616019663234E-2</c:v>
                </c:pt>
                <c:pt idx="42">
                  <c:v>1.1405521729667866E-2</c:v>
                </c:pt>
                <c:pt idx="43">
                  <c:v>1.1815319411185809E-2</c:v>
                </c:pt>
                <c:pt idx="44">
                  <c:v>1.2232919411185808E-2</c:v>
                </c:pt>
                <c:pt idx="45">
                  <c:v>1.266011941118581E-2</c:v>
                </c:pt>
                <c:pt idx="46">
                  <c:v>1.3096919411185817E-2</c:v>
                </c:pt>
                <c:pt idx="47">
                  <c:v>1.3543319411185814E-2</c:v>
                </c:pt>
                <c:pt idx="48">
                  <c:v>1.3999319411185812E-2</c:v>
                </c:pt>
                <c:pt idx="49">
                  <c:v>1.4464919411185813E-2</c:v>
                </c:pt>
                <c:pt idx="50">
                  <c:v>1.4940119411185815E-2</c:v>
                </c:pt>
                <c:pt idx="51">
                  <c:v>1.542491941118581E-2</c:v>
                </c:pt>
                <c:pt idx="52">
                  <c:v>1.5919319411185812E-2</c:v>
                </c:pt>
                <c:pt idx="53">
                  <c:v>1.6423319411185817E-2</c:v>
                </c:pt>
                <c:pt idx="54">
                  <c:v>1.6936919411185806E-2</c:v>
                </c:pt>
                <c:pt idx="55">
                  <c:v>1.7460119411185811E-2</c:v>
                </c:pt>
                <c:pt idx="56">
                  <c:v>1.7992919411185814E-2</c:v>
                </c:pt>
                <c:pt idx="57">
                  <c:v>1.8535319411185813E-2</c:v>
                </c:pt>
                <c:pt idx="58">
                  <c:v>1.9087319411185813E-2</c:v>
                </c:pt>
                <c:pt idx="59">
                  <c:v>1.9648919411185829E-2</c:v>
                </c:pt>
                <c:pt idx="60">
                  <c:v>2.0220119411185809E-2</c:v>
                </c:pt>
                <c:pt idx="61">
                  <c:v>2.0800919411185802E-2</c:v>
                </c:pt>
                <c:pt idx="62">
                  <c:v>2.139131941118582E-2</c:v>
                </c:pt>
                <c:pt idx="63">
                  <c:v>2.1991319411185813E-2</c:v>
                </c:pt>
                <c:pt idx="64">
                  <c:v>2.2600919411185822E-2</c:v>
                </c:pt>
                <c:pt idx="65">
                  <c:v>2.3220119411185808E-2</c:v>
                </c:pt>
                <c:pt idx="66">
                  <c:v>2.3848919411185804E-2</c:v>
                </c:pt>
                <c:pt idx="67">
                  <c:v>2.4487319411185815E-2</c:v>
                </c:pt>
                <c:pt idx="68">
                  <c:v>2.5135319411185818E-2</c:v>
                </c:pt>
                <c:pt idx="69">
                  <c:v>2.5792919411185805E-2</c:v>
                </c:pt>
                <c:pt idx="70">
                  <c:v>2.6460119411185808E-2</c:v>
                </c:pt>
                <c:pt idx="71">
                  <c:v>2.7136919411185813E-2</c:v>
                </c:pt>
                <c:pt idx="72">
                  <c:v>2.7823319411185814E-2</c:v>
                </c:pt>
                <c:pt idx="73">
                  <c:v>2.8519319411185802E-2</c:v>
                </c:pt>
                <c:pt idx="74">
                  <c:v>2.9224919411185827E-2</c:v>
                </c:pt>
                <c:pt idx="75">
                  <c:v>2.9940119411185809E-2</c:v>
                </c:pt>
                <c:pt idx="76">
                  <c:v>3.0664919411185796E-2</c:v>
                </c:pt>
                <c:pt idx="77">
                  <c:v>3.1399319411185823E-2</c:v>
                </c:pt>
                <c:pt idx="78">
                  <c:v>3.2143319411185797E-2</c:v>
                </c:pt>
                <c:pt idx="79">
                  <c:v>3.2896919411185825E-2</c:v>
                </c:pt>
                <c:pt idx="80">
                  <c:v>3.3660119411185803E-2</c:v>
                </c:pt>
                <c:pt idx="81">
                  <c:v>3.4432919411185807E-2</c:v>
                </c:pt>
                <c:pt idx="82">
                  <c:v>3.5215319411185803E-2</c:v>
                </c:pt>
                <c:pt idx="83">
                  <c:v>3.6007319411185811E-2</c:v>
                </c:pt>
                <c:pt idx="84">
                  <c:v>3.680891941118581E-2</c:v>
                </c:pt>
                <c:pt idx="85">
                  <c:v>3.7620119411185815E-2</c:v>
                </c:pt>
                <c:pt idx="86">
                  <c:v>3.8440919411185819E-2</c:v>
                </c:pt>
                <c:pt idx="87">
                  <c:v>3.9271319411185827E-2</c:v>
                </c:pt>
                <c:pt idx="88">
                  <c:v>4.0111319411185821E-2</c:v>
                </c:pt>
                <c:pt idx="89">
                  <c:v>4.0960919411185806E-2</c:v>
                </c:pt>
                <c:pt idx="90">
                  <c:v>4.1820119411185824E-2</c:v>
                </c:pt>
                <c:pt idx="91">
                  <c:v>4.2688919411185799E-2</c:v>
                </c:pt>
                <c:pt idx="92">
                  <c:v>4.3567319411185829E-2</c:v>
                </c:pt>
                <c:pt idx="93">
                  <c:v>4.4455319411185808E-2</c:v>
                </c:pt>
                <c:pt idx="94">
                  <c:v>4.5352919411185827E-2</c:v>
                </c:pt>
                <c:pt idx="95">
                  <c:v>4.6260119411185796E-2</c:v>
                </c:pt>
                <c:pt idx="96">
                  <c:v>4.7176919411185812E-2</c:v>
                </c:pt>
                <c:pt idx="97">
                  <c:v>4.8103319411185799E-2</c:v>
                </c:pt>
                <c:pt idx="98">
                  <c:v>4.9039319411185819E-2</c:v>
                </c:pt>
                <c:pt idx="99">
                  <c:v>4.9984919411185831E-2</c:v>
                </c:pt>
                <c:pt idx="100">
                  <c:v>5.094011941118582E-2</c:v>
                </c:pt>
                <c:pt idx="101">
                  <c:v>5.1904919411185815E-2</c:v>
                </c:pt>
                <c:pt idx="102">
                  <c:v>5.2879319411185788E-2</c:v>
                </c:pt>
                <c:pt idx="103">
                  <c:v>5.3863319411185821E-2</c:v>
                </c:pt>
                <c:pt idx="104">
                  <c:v>5.4856919411185825E-2</c:v>
                </c:pt>
                <c:pt idx="105">
                  <c:v>5.5860119411185807E-2</c:v>
                </c:pt>
                <c:pt idx="106">
                  <c:v>5.6872919411185809E-2</c:v>
                </c:pt>
                <c:pt idx="107">
                  <c:v>5.7895319411185822E-2</c:v>
                </c:pt>
                <c:pt idx="108">
                  <c:v>5.8927319411185813E-2</c:v>
                </c:pt>
                <c:pt idx="109">
                  <c:v>5.9968919411185817E-2</c:v>
                </c:pt>
                <c:pt idx="110">
                  <c:v>6.1020119411185805E-2</c:v>
                </c:pt>
                <c:pt idx="111">
                  <c:v>6.2080919411185827E-2</c:v>
                </c:pt>
                <c:pt idx="112">
                  <c:v>6.3151319411185805E-2</c:v>
                </c:pt>
                <c:pt idx="113">
                  <c:v>6.4231319411185789E-2</c:v>
                </c:pt>
                <c:pt idx="114">
                  <c:v>6.5320919411185827E-2</c:v>
                </c:pt>
                <c:pt idx="115">
                  <c:v>6.642011941118578E-2</c:v>
                </c:pt>
                <c:pt idx="116">
                  <c:v>6.7528919411185814E-2</c:v>
                </c:pt>
                <c:pt idx="117">
                  <c:v>6.8647319411185806E-2</c:v>
                </c:pt>
                <c:pt idx="118">
                  <c:v>6.9775319411185824E-2</c:v>
                </c:pt>
                <c:pt idx="119">
                  <c:v>7.0912919411185785E-2</c:v>
                </c:pt>
                <c:pt idx="120">
                  <c:v>7.2060119411185827E-2</c:v>
                </c:pt>
                <c:pt idx="121">
                  <c:v>7.3216919411185785E-2</c:v>
                </c:pt>
                <c:pt idx="122">
                  <c:v>7.4383319411185755E-2</c:v>
                </c:pt>
                <c:pt idx="123">
                  <c:v>7.555931941118578E-2</c:v>
                </c:pt>
                <c:pt idx="124">
                  <c:v>7.6744919411185789E-2</c:v>
                </c:pt>
                <c:pt idx="125">
                  <c:v>7.794011941118581E-2</c:v>
                </c:pt>
                <c:pt idx="126">
                  <c:v>7.9144919411185788E-2</c:v>
                </c:pt>
                <c:pt idx="127">
                  <c:v>8.0359319411185792E-2</c:v>
                </c:pt>
                <c:pt idx="128">
                  <c:v>8.1583319411185795E-2</c:v>
                </c:pt>
                <c:pt idx="129">
                  <c:v>8.2816919411185796E-2</c:v>
                </c:pt>
                <c:pt idx="130">
                  <c:v>8.4060119411185755E-2</c:v>
                </c:pt>
                <c:pt idx="131">
                  <c:v>8.5312919411185822E-2</c:v>
                </c:pt>
                <c:pt idx="132">
                  <c:v>8.6575319411185778E-2</c:v>
                </c:pt>
                <c:pt idx="133">
                  <c:v>8.7847319411185842E-2</c:v>
                </c:pt>
                <c:pt idx="134">
                  <c:v>8.9128919411185795E-2</c:v>
                </c:pt>
                <c:pt idx="135">
                  <c:v>9.0420119411185773E-2</c:v>
                </c:pt>
                <c:pt idx="136">
                  <c:v>9.1720919411185778E-2</c:v>
                </c:pt>
                <c:pt idx="137">
                  <c:v>9.3031319411185809E-2</c:v>
                </c:pt>
                <c:pt idx="138">
                  <c:v>9.4351319411185797E-2</c:v>
                </c:pt>
                <c:pt idx="139">
                  <c:v>9.5680919411185783E-2</c:v>
                </c:pt>
                <c:pt idx="140">
                  <c:v>9.7020119411185782E-2</c:v>
                </c:pt>
                <c:pt idx="141">
                  <c:v>9.8368919411185807E-2</c:v>
                </c:pt>
                <c:pt idx="142">
                  <c:v>9.9727319411185816E-2</c:v>
                </c:pt>
                <c:pt idx="143">
                  <c:v>0.10109531941118578</c:v>
                </c:pt>
                <c:pt idx="144">
                  <c:v>0.10247291941118582</c:v>
                </c:pt>
                <c:pt idx="145">
                  <c:v>0.10386011941118579</c:v>
                </c:pt>
                <c:pt idx="146">
                  <c:v>0.10525691941118581</c:v>
                </c:pt>
                <c:pt idx="147">
                  <c:v>0.10666331941118577</c:v>
                </c:pt>
                <c:pt idx="148">
                  <c:v>0.10807931941118583</c:v>
                </c:pt>
                <c:pt idx="149">
                  <c:v>0.1095049194111858</c:v>
                </c:pt>
                <c:pt idx="150">
                  <c:v>0.11094011941118577</c:v>
                </c:pt>
              </c:numCache>
            </c:numRef>
          </c:yVal>
          <c:smooth val="1"/>
          <c:extLst>
            <c:ext xmlns:c16="http://schemas.microsoft.com/office/drawing/2014/chart" uri="{C3380CC4-5D6E-409C-BE32-E72D297353CC}">
              <c16:uniqueId val="{00000002-A180-432B-A347-F5CCD23FB4B3}"/>
            </c:ext>
          </c:extLst>
        </c:ser>
        <c:ser>
          <c:idx val="2"/>
          <c:order val="3"/>
          <c:tx>
            <c:v>D1</c:v>
          </c:tx>
          <c:spPr>
            <a:ln>
              <a:solidFill>
                <a:schemeClr val="bg2">
                  <a:lumMod val="50000"/>
                </a:schemeClr>
              </a:solidFill>
              <a:prstDash val="sysDash"/>
            </a:ln>
          </c:spPr>
          <c:marker>
            <c:symbol val="none"/>
          </c:marker>
          <c:xVal>
            <c:numRef>
              <c:f>Eff_vs_IOUT!$R$7:$R$157</c:f>
              <c:numCache>
                <c:formatCode>General</c:formatCode>
                <c:ptCount val="15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numCache>
            </c:numRef>
          </c:xVal>
          <c:yVal>
            <c:numRef>
              <c:f>Eff_vs_IOUT!$AY$8:$AY$157</c:f>
              <c:numCache>
                <c:formatCode>General</c:formatCode>
                <c:ptCount val="150"/>
                <c:pt idx="0">
                  <c:v>3.8333333333333329E-4</c:v>
                </c:pt>
                <c:pt idx="1">
                  <c:v>7.6666666666666658E-4</c:v>
                </c:pt>
                <c:pt idx="2">
                  <c:v>1.15E-3</c:v>
                </c:pt>
                <c:pt idx="3">
                  <c:v>1.5333333333333332E-3</c:v>
                </c:pt>
                <c:pt idx="4">
                  <c:v>1.9166666666666666E-3</c:v>
                </c:pt>
                <c:pt idx="5">
                  <c:v>2.3E-3</c:v>
                </c:pt>
                <c:pt idx="6">
                  <c:v>2.6833333333333331E-3</c:v>
                </c:pt>
                <c:pt idx="7">
                  <c:v>3.0666666666666663E-3</c:v>
                </c:pt>
                <c:pt idx="8">
                  <c:v>3.4499999999999999E-3</c:v>
                </c:pt>
                <c:pt idx="9">
                  <c:v>3.8333333333333331E-3</c:v>
                </c:pt>
                <c:pt idx="10">
                  <c:v>4.2166666666666663E-3</c:v>
                </c:pt>
                <c:pt idx="11">
                  <c:v>4.5999999999999999E-3</c:v>
                </c:pt>
                <c:pt idx="12">
                  <c:v>4.9833333333333327E-3</c:v>
                </c:pt>
                <c:pt idx="13">
                  <c:v>5.3666666666666663E-3</c:v>
                </c:pt>
                <c:pt idx="14">
                  <c:v>5.7499999999999999E-3</c:v>
                </c:pt>
                <c:pt idx="15">
                  <c:v>6.1333333333333327E-3</c:v>
                </c:pt>
                <c:pt idx="16">
                  <c:v>6.5166666666666663E-3</c:v>
                </c:pt>
                <c:pt idx="17">
                  <c:v>6.8999999999999999E-3</c:v>
                </c:pt>
                <c:pt idx="18">
                  <c:v>7.2833333333333326E-3</c:v>
                </c:pt>
                <c:pt idx="19">
                  <c:v>7.6666666666666662E-3</c:v>
                </c:pt>
                <c:pt idx="20">
                  <c:v>8.0499999999999999E-3</c:v>
                </c:pt>
                <c:pt idx="21">
                  <c:v>8.4333333333333326E-3</c:v>
                </c:pt>
                <c:pt idx="22">
                  <c:v>8.8166666666666654E-3</c:v>
                </c:pt>
                <c:pt idx="23">
                  <c:v>9.1999999999999998E-3</c:v>
                </c:pt>
                <c:pt idx="24">
                  <c:v>9.5833333333333326E-3</c:v>
                </c:pt>
                <c:pt idx="25">
                  <c:v>9.9666666666666653E-3</c:v>
                </c:pt>
                <c:pt idx="26">
                  <c:v>1.0349999999999998E-2</c:v>
                </c:pt>
                <c:pt idx="27">
                  <c:v>1.0733333333333333E-2</c:v>
                </c:pt>
                <c:pt idx="28">
                  <c:v>1.1116666666666667E-2</c:v>
                </c:pt>
                <c:pt idx="29">
                  <c:v>1.15E-2</c:v>
                </c:pt>
                <c:pt idx="30">
                  <c:v>1.1883333333333333E-2</c:v>
                </c:pt>
                <c:pt idx="31">
                  <c:v>1.2266666666666665E-2</c:v>
                </c:pt>
                <c:pt idx="32">
                  <c:v>1.2649999999999998E-2</c:v>
                </c:pt>
                <c:pt idx="33">
                  <c:v>1.3033333333333333E-2</c:v>
                </c:pt>
                <c:pt idx="34">
                  <c:v>1.3416666666666667E-2</c:v>
                </c:pt>
                <c:pt idx="35">
                  <c:v>1.38E-2</c:v>
                </c:pt>
                <c:pt idx="36">
                  <c:v>1.4183333333333333E-2</c:v>
                </c:pt>
                <c:pt idx="37">
                  <c:v>1.4566666666666665E-2</c:v>
                </c:pt>
                <c:pt idx="38">
                  <c:v>1.4949999999999998E-2</c:v>
                </c:pt>
                <c:pt idx="39">
                  <c:v>1.5333333333333332E-2</c:v>
                </c:pt>
                <c:pt idx="40">
                  <c:v>1.5716666666666667E-2</c:v>
                </c:pt>
                <c:pt idx="41">
                  <c:v>1.61E-2</c:v>
                </c:pt>
                <c:pt idx="42">
                  <c:v>1.6483333333333332E-2</c:v>
                </c:pt>
                <c:pt idx="43">
                  <c:v>1.6866666666666665E-2</c:v>
                </c:pt>
                <c:pt idx="44">
                  <c:v>1.7249999999999998E-2</c:v>
                </c:pt>
                <c:pt idx="45">
                  <c:v>1.7633333333333331E-2</c:v>
                </c:pt>
                <c:pt idx="46">
                  <c:v>1.8016666666666663E-2</c:v>
                </c:pt>
                <c:pt idx="47">
                  <c:v>1.84E-2</c:v>
                </c:pt>
                <c:pt idx="48">
                  <c:v>1.8783333333333329E-2</c:v>
                </c:pt>
                <c:pt idx="49">
                  <c:v>1.9166666666666665E-2</c:v>
                </c:pt>
                <c:pt idx="50">
                  <c:v>1.9550000000000001E-2</c:v>
                </c:pt>
                <c:pt idx="51">
                  <c:v>1.9933333333333331E-2</c:v>
                </c:pt>
                <c:pt idx="52">
                  <c:v>2.0316666666666667E-2</c:v>
                </c:pt>
                <c:pt idx="53">
                  <c:v>2.0699999999999996E-2</c:v>
                </c:pt>
                <c:pt idx="54">
                  <c:v>2.1083333333333332E-2</c:v>
                </c:pt>
                <c:pt idx="55">
                  <c:v>2.1466666666666665E-2</c:v>
                </c:pt>
                <c:pt idx="56">
                  <c:v>2.1849999999999998E-2</c:v>
                </c:pt>
                <c:pt idx="57">
                  <c:v>2.2233333333333334E-2</c:v>
                </c:pt>
                <c:pt idx="58">
                  <c:v>2.2616666666666663E-2</c:v>
                </c:pt>
                <c:pt idx="59">
                  <c:v>2.3E-2</c:v>
                </c:pt>
                <c:pt idx="60">
                  <c:v>2.3383333333333329E-2</c:v>
                </c:pt>
                <c:pt idx="61">
                  <c:v>2.3766666666666665E-2</c:v>
                </c:pt>
                <c:pt idx="62">
                  <c:v>2.4150000000000001E-2</c:v>
                </c:pt>
                <c:pt idx="63">
                  <c:v>2.4533333333333331E-2</c:v>
                </c:pt>
                <c:pt idx="64">
                  <c:v>2.4916666666666667E-2</c:v>
                </c:pt>
                <c:pt idx="65">
                  <c:v>2.5299999999999996E-2</c:v>
                </c:pt>
                <c:pt idx="66">
                  <c:v>2.5683333333333332E-2</c:v>
                </c:pt>
                <c:pt idx="67">
                  <c:v>2.6066666666666665E-2</c:v>
                </c:pt>
                <c:pt idx="68">
                  <c:v>2.6449999999999998E-2</c:v>
                </c:pt>
                <c:pt idx="69">
                  <c:v>2.6833333333333334E-2</c:v>
                </c:pt>
                <c:pt idx="70">
                  <c:v>2.7216666666666663E-2</c:v>
                </c:pt>
                <c:pt idx="71">
                  <c:v>2.76E-2</c:v>
                </c:pt>
                <c:pt idx="72">
                  <c:v>2.7983333333333329E-2</c:v>
                </c:pt>
                <c:pt idx="73">
                  <c:v>2.8366666666666665E-2</c:v>
                </c:pt>
                <c:pt idx="74">
                  <c:v>2.8749999999999998E-2</c:v>
                </c:pt>
                <c:pt idx="75">
                  <c:v>2.9133333333333331E-2</c:v>
                </c:pt>
                <c:pt idx="76">
                  <c:v>2.9516666666666667E-2</c:v>
                </c:pt>
                <c:pt idx="77">
                  <c:v>2.9899999999999996E-2</c:v>
                </c:pt>
                <c:pt idx="78">
                  <c:v>3.0283333333333332E-2</c:v>
                </c:pt>
                <c:pt idx="79">
                  <c:v>3.0666666666666665E-2</c:v>
                </c:pt>
                <c:pt idx="80">
                  <c:v>3.1049999999999998E-2</c:v>
                </c:pt>
                <c:pt idx="81">
                  <c:v>3.1433333333333334E-2</c:v>
                </c:pt>
                <c:pt idx="82">
                  <c:v>3.181666666666666E-2</c:v>
                </c:pt>
                <c:pt idx="83">
                  <c:v>3.2199999999999999E-2</c:v>
                </c:pt>
                <c:pt idx="84">
                  <c:v>3.2583333333333332E-2</c:v>
                </c:pt>
                <c:pt idx="85">
                  <c:v>3.2966666666666665E-2</c:v>
                </c:pt>
                <c:pt idx="86">
                  <c:v>3.3349999999999998E-2</c:v>
                </c:pt>
                <c:pt idx="87">
                  <c:v>3.373333333333333E-2</c:v>
                </c:pt>
                <c:pt idx="88">
                  <c:v>3.4116666666666663E-2</c:v>
                </c:pt>
                <c:pt idx="89">
                  <c:v>3.4499999999999996E-2</c:v>
                </c:pt>
                <c:pt idx="90">
                  <c:v>3.4883333333333329E-2</c:v>
                </c:pt>
                <c:pt idx="91">
                  <c:v>3.5266666666666661E-2</c:v>
                </c:pt>
                <c:pt idx="92">
                  <c:v>3.5649999999999994E-2</c:v>
                </c:pt>
                <c:pt idx="93">
                  <c:v>3.6033333333333327E-2</c:v>
                </c:pt>
                <c:pt idx="94">
                  <c:v>3.6416666666666667E-2</c:v>
                </c:pt>
                <c:pt idx="95">
                  <c:v>3.6799999999999999E-2</c:v>
                </c:pt>
                <c:pt idx="96">
                  <c:v>3.7183333333333332E-2</c:v>
                </c:pt>
                <c:pt idx="97">
                  <c:v>3.7566666666666658E-2</c:v>
                </c:pt>
                <c:pt idx="98">
                  <c:v>3.7949999999999998E-2</c:v>
                </c:pt>
                <c:pt idx="99">
                  <c:v>3.833333333333333E-2</c:v>
                </c:pt>
                <c:pt idx="100">
                  <c:v>3.8716666666666663E-2</c:v>
                </c:pt>
                <c:pt idx="101">
                  <c:v>3.9100000000000003E-2</c:v>
                </c:pt>
                <c:pt idx="102">
                  <c:v>3.9483333333333329E-2</c:v>
                </c:pt>
                <c:pt idx="103">
                  <c:v>3.9866666666666661E-2</c:v>
                </c:pt>
                <c:pt idx="104">
                  <c:v>4.0250000000000001E-2</c:v>
                </c:pt>
                <c:pt idx="105">
                  <c:v>4.0633333333333334E-2</c:v>
                </c:pt>
                <c:pt idx="106">
                  <c:v>4.101666666666666E-2</c:v>
                </c:pt>
                <c:pt idx="107">
                  <c:v>4.1399999999999992E-2</c:v>
                </c:pt>
                <c:pt idx="108">
                  <c:v>4.1783333333333332E-2</c:v>
                </c:pt>
                <c:pt idx="109">
                  <c:v>4.2166666666666665E-2</c:v>
                </c:pt>
                <c:pt idx="110">
                  <c:v>4.2549999999999998E-2</c:v>
                </c:pt>
                <c:pt idx="111">
                  <c:v>4.293333333333333E-2</c:v>
                </c:pt>
                <c:pt idx="112">
                  <c:v>4.3316666666666663E-2</c:v>
                </c:pt>
                <c:pt idx="113">
                  <c:v>4.3699999999999996E-2</c:v>
                </c:pt>
                <c:pt idx="114">
                  <c:v>4.4083333333333329E-2</c:v>
                </c:pt>
                <c:pt idx="115">
                  <c:v>4.4466666666666668E-2</c:v>
                </c:pt>
                <c:pt idx="116">
                  <c:v>4.4849999999999994E-2</c:v>
                </c:pt>
                <c:pt idx="117">
                  <c:v>4.5233333333333327E-2</c:v>
                </c:pt>
                <c:pt idx="118">
                  <c:v>4.5616666666666666E-2</c:v>
                </c:pt>
                <c:pt idx="119">
                  <c:v>4.5999999999999999E-2</c:v>
                </c:pt>
                <c:pt idx="120">
                  <c:v>4.6383333333333325E-2</c:v>
                </c:pt>
                <c:pt idx="121">
                  <c:v>4.6766666666666658E-2</c:v>
                </c:pt>
                <c:pt idx="122">
                  <c:v>4.7149999999999997E-2</c:v>
                </c:pt>
                <c:pt idx="123">
                  <c:v>4.753333333333333E-2</c:v>
                </c:pt>
                <c:pt idx="124">
                  <c:v>4.7916666666666663E-2</c:v>
                </c:pt>
                <c:pt idx="125">
                  <c:v>4.8300000000000003E-2</c:v>
                </c:pt>
                <c:pt idx="126">
                  <c:v>4.8683333333333328E-2</c:v>
                </c:pt>
                <c:pt idx="127">
                  <c:v>4.9066666666666661E-2</c:v>
                </c:pt>
                <c:pt idx="128">
                  <c:v>4.9449999999999994E-2</c:v>
                </c:pt>
                <c:pt idx="129">
                  <c:v>4.9833333333333334E-2</c:v>
                </c:pt>
                <c:pt idx="130">
                  <c:v>5.0216666666666659E-2</c:v>
                </c:pt>
                <c:pt idx="131">
                  <c:v>5.0599999999999992E-2</c:v>
                </c:pt>
                <c:pt idx="132">
                  <c:v>5.0983333333333332E-2</c:v>
                </c:pt>
                <c:pt idx="133">
                  <c:v>5.1366666666666665E-2</c:v>
                </c:pt>
                <c:pt idx="134">
                  <c:v>5.1749999999999997E-2</c:v>
                </c:pt>
                <c:pt idx="135">
                  <c:v>5.213333333333333E-2</c:v>
                </c:pt>
                <c:pt idx="136">
                  <c:v>5.2516666666666663E-2</c:v>
                </c:pt>
                <c:pt idx="137">
                  <c:v>5.2899999999999996E-2</c:v>
                </c:pt>
                <c:pt idx="138">
                  <c:v>5.3283333333333328E-2</c:v>
                </c:pt>
                <c:pt idx="139">
                  <c:v>5.3666666666666668E-2</c:v>
                </c:pt>
                <c:pt idx="140">
                  <c:v>5.4049999999999994E-2</c:v>
                </c:pt>
                <c:pt idx="141">
                  <c:v>5.4433333333333327E-2</c:v>
                </c:pt>
                <c:pt idx="142">
                  <c:v>5.4816666666666666E-2</c:v>
                </c:pt>
                <c:pt idx="143">
                  <c:v>5.5199999999999999E-2</c:v>
                </c:pt>
                <c:pt idx="144">
                  <c:v>5.5583333333333325E-2</c:v>
                </c:pt>
                <c:pt idx="145">
                  <c:v>5.5966666666666658E-2</c:v>
                </c:pt>
                <c:pt idx="146">
                  <c:v>5.6349999999999997E-2</c:v>
                </c:pt>
                <c:pt idx="147">
                  <c:v>5.673333333333333E-2</c:v>
                </c:pt>
                <c:pt idx="148">
                  <c:v>5.7116666666666663E-2</c:v>
                </c:pt>
                <c:pt idx="149">
                  <c:v>5.7499999999999996E-2</c:v>
                </c:pt>
              </c:numCache>
            </c:numRef>
          </c:yVal>
          <c:smooth val="1"/>
          <c:extLst>
            <c:ext xmlns:c16="http://schemas.microsoft.com/office/drawing/2014/chart" uri="{C3380CC4-5D6E-409C-BE32-E72D297353CC}">
              <c16:uniqueId val="{00000003-A180-432B-A347-F5CCD23FB4B3}"/>
            </c:ext>
          </c:extLst>
        </c:ser>
        <c:ser>
          <c:idx val="4"/>
          <c:order val="4"/>
          <c:tx>
            <c:v>D2</c:v>
          </c:tx>
          <c:marker>
            <c:symbol val="none"/>
          </c:marker>
          <c:xVal>
            <c:numRef>
              <c:f>Eff_vs_IOUT!$R$8:$R$157</c:f>
              <c:numCache>
                <c:formatCode>General</c:formatCode>
                <c:ptCount val="150"/>
                <c:pt idx="0">
                  <c:v>0.5</c:v>
                </c:pt>
                <c:pt idx="1">
                  <c:v>1</c:v>
                </c:pt>
                <c:pt idx="2">
                  <c:v>1.5</c:v>
                </c:pt>
                <c:pt idx="3">
                  <c:v>2</c:v>
                </c:pt>
                <c:pt idx="4">
                  <c:v>2.5</c:v>
                </c:pt>
                <c:pt idx="5">
                  <c:v>3</c:v>
                </c:pt>
                <c:pt idx="6">
                  <c:v>3.5</c:v>
                </c:pt>
                <c:pt idx="7">
                  <c:v>4</c:v>
                </c:pt>
                <c:pt idx="8">
                  <c:v>4.5</c:v>
                </c:pt>
                <c:pt idx="9">
                  <c:v>5</c:v>
                </c:pt>
                <c:pt idx="10">
                  <c:v>5.5</c:v>
                </c:pt>
                <c:pt idx="11">
                  <c:v>6</c:v>
                </c:pt>
                <c:pt idx="12">
                  <c:v>6.5</c:v>
                </c:pt>
                <c:pt idx="13">
                  <c:v>7</c:v>
                </c:pt>
                <c:pt idx="14">
                  <c:v>7.5</c:v>
                </c:pt>
                <c:pt idx="15">
                  <c:v>8</c:v>
                </c:pt>
                <c:pt idx="16">
                  <c:v>8.5</c:v>
                </c:pt>
                <c:pt idx="17">
                  <c:v>9</c:v>
                </c:pt>
                <c:pt idx="18">
                  <c:v>9.5</c:v>
                </c:pt>
                <c:pt idx="19">
                  <c:v>10</c:v>
                </c:pt>
                <c:pt idx="20">
                  <c:v>10.5</c:v>
                </c:pt>
                <c:pt idx="21">
                  <c:v>11</c:v>
                </c:pt>
                <c:pt idx="22">
                  <c:v>11.5</c:v>
                </c:pt>
                <c:pt idx="23">
                  <c:v>12</c:v>
                </c:pt>
                <c:pt idx="24">
                  <c:v>12.5</c:v>
                </c:pt>
                <c:pt idx="25">
                  <c:v>13</c:v>
                </c:pt>
                <c:pt idx="26">
                  <c:v>13.5</c:v>
                </c:pt>
                <c:pt idx="27">
                  <c:v>14</c:v>
                </c:pt>
                <c:pt idx="28">
                  <c:v>14.5</c:v>
                </c:pt>
                <c:pt idx="29">
                  <c:v>15</c:v>
                </c:pt>
                <c:pt idx="30">
                  <c:v>15.5</c:v>
                </c:pt>
                <c:pt idx="31">
                  <c:v>16</c:v>
                </c:pt>
                <c:pt idx="32">
                  <c:v>16.5</c:v>
                </c:pt>
                <c:pt idx="33">
                  <c:v>17</c:v>
                </c:pt>
                <c:pt idx="34">
                  <c:v>17.5</c:v>
                </c:pt>
                <c:pt idx="35">
                  <c:v>18</c:v>
                </c:pt>
                <c:pt idx="36">
                  <c:v>18.5</c:v>
                </c:pt>
                <c:pt idx="37">
                  <c:v>19</c:v>
                </c:pt>
                <c:pt idx="38">
                  <c:v>19.5</c:v>
                </c:pt>
                <c:pt idx="39">
                  <c:v>20</c:v>
                </c:pt>
                <c:pt idx="40">
                  <c:v>20.5</c:v>
                </c:pt>
                <c:pt idx="41">
                  <c:v>21</c:v>
                </c:pt>
                <c:pt idx="42">
                  <c:v>21.5</c:v>
                </c:pt>
                <c:pt idx="43">
                  <c:v>22</c:v>
                </c:pt>
                <c:pt idx="44">
                  <c:v>22.5</c:v>
                </c:pt>
                <c:pt idx="45">
                  <c:v>23</c:v>
                </c:pt>
                <c:pt idx="46">
                  <c:v>23.5</c:v>
                </c:pt>
                <c:pt idx="47">
                  <c:v>24</c:v>
                </c:pt>
                <c:pt idx="48">
                  <c:v>24.5</c:v>
                </c:pt>
                <c:pt idx="49">
                  <c:v>25</c:v>
                </c:pt>
                <c:pt idx="50">
                  <c:v>25.5</c:v>
                </c:pt>
                <c:pt idx="51">
                  <c:v>26</c:v>
                </c:pt>
                <c:pt idx="52">
                  <c:v>26.5</c:v>
                </c:pt>
                <c:pt idx="53">
                  <c:v>27</c:v>
                </c:pt>
                <c:pt idx="54">
                  <c:v>27.5</c:v>
                </c:pt>
                <c:pt idx="55">
                  <c:v>28</c:v>
                </c:pt>
                <c:pt idx="56">
                  <c:v>28.5</c:v>
                </c:pt>
                <c:pt idx="57">
                  <c:v>29</c:v>
                </c:pt>
                <c:pt idx="58">
                  <c:v>29.5</c:v>
                </c:pt>
                <c:pt idx="59">
                  <c:v>30</c:v>
                </c:pt>
                <c:pt idx="60">
                  <c:v>30.5</c:v>
                </c:pt>
                <c:pt idx="61">
                  <c:v>31</c:v>
                </c:pt>
                <c:pt idx="62">
                  <c:v>31.5</c:v>
                </c:pt>
                <c:pt idx="63">
                  <c:v>32</c:v>
                </c:pt>
                <c:pt idx="64">
                  <c:v>32.5</c:v>
                </c:pt>
                <c:pt idx="65">
                  <c:v>33</c:v>
                </c:pt>
                <c:pt idx="66">
                  <c:v>33.5</c:v>
                </c:pt>
                <c:pt idx="67">
                  <c:v>34</c:v>
                </c:pt>
                <c:pt idx="68">
                  <c:v>34.5</c:v>
                </c:pt>
                <c:pt idx="69">
                  <c:v>35</c:v>
                </c:pt>
                <c:pt idx="70">
                  <c:v>35.5</c:v>
                </c:pt>
                <c:pt idx="71">
                  <c:v>36</c:v>
                </c:pt>
                <c:pt idx="72">
                  <c:v>36.5</c:v>
                </c:pt>
                <c:pt idx="73">
                  <c:v>37</c:v>
                </c:pt>
                <c:pt idx="74">
                  <c:v>37.5</c:v>
                </c:pt>
                <c:pt idx="75">
                  <c:v>38</c:v>
                </c:pt>
                <c:pt idx="76">
                  <c:v>38.5</c:v>
                </c:pt>
                <c:pt idx="77">
                  <c:v>39</c:v>
                </c:pt>
                <c:pt idx="78">
                  <c:v>39.5</c:v>
                </c:pt>
                <c:pt idx="79">
                  <c:v>40</c:v>
                </c:pt>
                <c:pt idx="80">
                  <c:v>40.5</c:v>
                </c:pt>
                <c:pt idx="81">
                  <c:v>41</c:v>
                </c:pt>
                <c:pt idx="82">
                  <c:v>41.5</c:v>
                </c:pt>
                <c:pt idx="83">
                  <c:v>42</c:v>
                </c:pt>
                <c:pt idx="84">
                  <c:v>42.5</c:v>
                </c:pt>
                <c:pt idx="85">
                  <c:v>43</c:v>
                </c:pt>
                <c:pt idx="86">
                  <c:v>43.5</c:v>
                </c:pt>
                <c:pt idx="87">
                  <c:v>44</c:v>
                </c:pt>
                <c:pt idx="88">
                  <c:v>44.5</c:v>
                </c:pt>
                <c:pt idx="89">
                  <c:v>45</c:v>
                </c:pt>
                <c:pt idx="90">
                  <c:v>45.5</c:v>
                </c:pt>
                <c:pt idx="91">
                  <c:v>46</c:v>
                </c:pt>
                <c:pt idx="92">
                  <c:v>46.5</c:v>
                </c:pt>
                <c:pt idx="93">
                  <c:v>47</c:v>
                </c:pt>
                <c:pt idx="94">
                  <c:v>47.5</c:v>
                </c:pt>
                <c:pt idx="95">
                  <c:v>48</c:v>
                </c:pt>
                <c:pt idx="96">
                  <c:v>48.5</c:v>
                </c:pt>
                <c:pt idx="97">
                  <c:v>49</c:v>
                </c:pt>
                <c:pt idx="98">
                  <c:v>49.5</c:v>
                </c:pt>
                <c:pt idx="99">
                  <c:v>50</c:v>
                </c:pt>
                <c:pt idx="100">
                  <c:v>50.5</c:v>
                </c:pt>
                <c:pt idx="101">
                  <c:v>51</c:v>
                </c:pt>
                <c:pt idx="102">
                  <c:v>51.5</c:v>
                </c:pt>
                <c:pt idx="103">
                  <c:v>52</c:v>
                </c:pt>
                <c:pt idx="104">
                  <c:v>52.5</c:v>
                </c:pt>
                <c:pt idx="105">
                  <c:v>53</c:v>
                </c:pt>
                <c:pt idx="106">
                  <c:v>53.5</c:v>
                </c:pt>
                <c:pt idx="107">
                  <c:v>54</c:v>
                </c:pt>
                <c:pt idx="108">
                  <c:v>54.5</c:v>
                </c:pt>
                <c:pt idx="109">
                  <c:v>55</c:v>
                </c:pt>
                <c:pt idx="110">
                  <c:v>55.5</c:v>
                </c:pt>
                <c:pt idx="111">
                  <c:v>56</c:v>
                </c:pt>
                <c:pt idx="112">
                  <c:v>56.5</c:v>
                </c:pt>
                <c:pt idx="113">
                  <c:v>57</c:v>
                </c:pt>
                <c:pt idx="114">
                  <c:v>57.5</c:v>
                </c:pt>
                <c:pt idx="115">
                  <c:v>58</c:v>
                </c:pt>
                <c:pt idx="116">
                  <c:v>58.5</c:v>
                </c:pt>
                <c:pt idx="117">
                  <c:v>59</c:v>
                </c:pt>
                <c:pt idx="118">
                  <c:v>59.5</c:v>
                </c:pt>
                <c:pt idx="119">
                  <c:v>60</c:v>
                </c:pt>
                <c:pt idx="120">
                  <c:v>60.5</c:v>
                </c:pt>
                <c:pt idx="121">
                  <c:v>61</c:v>
                </c:pt>
                <c:pt idx="122">
                  <c:v>61.5</c:v>
                </c:pt>
                <c:pt idx="123">
                  <c:v>62</c:v>
                </c:pt>
                <c:pt idx="124">
                  <c:v>62.5</c:v>
                </c:pt>
                <c:pt idx="125">
                  <c:v>63</c:v>
                </c:pt>
                <c:pt idx="126">
                  <c:v>63.5</c:v>
                </c:pt>
                <c:pt idx="127">
                  <c:v>64</c:v>
                </c:pt>
                <c:pt idx="128">
                  <c:v>64.5</c:v>
                </c:pt>
                <c:pt idx="129">
                  <c:v>65</c:v>
                </c:pt>
                <c:pt idx="130">
                  <c:v>65.5</c:v>
                </c:pt>
                <c:pt idx="131">
                  <c:v>66</c:v>
                </c:pt>
                <c:pt idx="132">
                  <c:v>66.5</c:v>
                </c:pt>
                <c:pt idx="133">
                  <c:v>67</c:v>
                </c:pt>
                <c:pt idx="134">
                  <c:v>67.5</c:v>
                </c:pt>
                <c:pt idx="135">
                  <c:v>68</c:v>
                </c:pt>
                <c:pt idx="136">
                  <c:v>68.5</c:v>
                </c:pt>
                <c:pt idx="137">
                  <c:v>69</c:v>
                </c:pt>
                <c:pt idx="138">
                  <c:v>69.5</c:v>
                </c:pt>
                <c:pt idx="139">
                  <c:v>70</c:v>
                </c:pt>
                <c:pt idx="140">
                  <c:v>70.5</c:v>
                </c:pt>
                <c:pt idx="141">
                  <c:v>71</c:v>
                </c:pt>
                <c:pt idx="142">
                  <c:v>71.5</c:v>
                </c:pt>
                <c:pt idx="143">
                  <c:v>72</c:v>
                </c:pt>
                <c:pt idx="144">
                  <c:v>72.5</c:v>
                </c:pt>
                <c:pt idx="145">
                  <c:v>73</c:v>
                </c:pt>
                <c:pt idx="146">
                  <c:v>73.5</c:v>
                </c:pt>
                <c:pt idx="147">
                  <c:v>74</c:v>
                </c:pt>
                <c:pt idx="148">
                  <c:v>74.5</c:v>
                </c:pt>
                <c:pt idx="149">
                  <c:v>75</c:v>
                </c:pt>
              </c:numCache>
            </c:numRef>
          </c:xVal>
          <c:yVal>
            <c:numRef>
              <c:f>Eff_vs_IOUT!$BI$8:$BI$157</c:f>
              <c:numCache>
                <c:formatCode>General</c:formatCode>
                <c:ptCount val="15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yVal>
          <c:smooth val="1"/>
          <c:extLst>
            <c:ext xmlns:c16="http://schemas.microsoft.com/office/drawing/2014/chart" uri="{C3380CC4-5D6E-409C-BE32-E72D297353CC}">
              <c16:uniqueId val="{00000004-A180-432B-A347-F5CCD23FB4B3}"/>
            </c:ext>
          </c:extLst>
        </c:ser>
        <c:ser>
          <c:idx val="5"/>
          <c:order val="5"/>
          <c:tx>
            <c:v>D3</c:v>
          </c:tx>
          <c:marker>
            <c:symbol val="none"/>
          </c:marker>
          <c:xVal>
            <c:numRef>
              <c:f>Eff_vs_IOUT!$R$8:$R$157</c:f>
              <c:numCache>
                <c:formatCode>General</c:formatCode>
                <c:ptCount val="150"/>
                <c:pt idx="0">
                  <c:v>0.5</c:v>
                </c:pt>
                <c:pt idx="1">
                  <c:v>1</c:v>
                </c:pt>
                <c:pt idx="2">
                  <c:v>1.5</c:v>
                </c:pt>
                <c:pt idx="3">
                  <c:v>2</c:v>
                </c:pt>
                <c:pt idx="4">
                  <c:v>2.5</c:v>
                </c:pt>
                <c:pt idx="5">
                  <c:v>3</c:v>
                </c:pt>
                <c:pt idx="6">
                  <c:v>3.5</c:v>
                </c:pt>
                <c:pt idx="7">
                  <c:v>4</c:v>
                </c:pt>
                <c:pt idx="8">
                  <c:v>4.5</c:v>
                </c:pt>
                <c:pt idx="9">
                  <c:v>5</c:v>
                </c:pt>
                <c:pt idx="10">
                  <c:v>5.5</c:v>
                </c:pt>
                <c:pt idx="11">
                  <c:v>6</c:v>
                </c:pt>
                <c:pt idx="12">
                  <c:v>6.5</c:v>
                </c:pt>
                <c:pt idx="13">
                  <c:v>7</c:v>
                </c:pt>
                <c:pt idx="14">
                  <c:v>7.5</c:v>
                </c:pt>
                <c:pt idx="15">
                  <c:v>8</c:v>
                </c:pt>
                <c:pt idx="16">
                  <c:v>8.5</c:v>
                </c:pt>
                <c:pt idx="17">
                  <c:v>9</c:v>
                </c:pt>
                <c:pt idx="18">
                  <c:v>9.5</c:v>
                </c:pt>
                <c:pt idx="19">
                  <c:v>10</c:v>
                </c:pt>
                <c:pt idx="20">
                  <c:v>10.5</c:v>
                </c:pt>
                <c:pt idx="21">
                  <c:v>11</c:v>
                </c:pt>
                <c:pt idx="22">
                  <c:v>11.5</c:v>
                </c:pt>
                <c:pt idx="23">
                  <c:v>12</c:v>
                </c:pt>
                <c:pt idx="24">
                  <c:v>12.5</c:v>
                </c:pt>
                <c:pt idx="25">
                  <c:v>13</c:v>
                </c:pt>
                <c:pt idx="26">
                  <c:v>13.5</c:v>
                </c:pt>
                <c:pt idx="27">
                  <c:v>14</c:v>
                </c:pt>
                <c:pt idx="28">
                  <c:v>14.5</c:v>
                </c:pt>
                <c:pt idx="29">
                  <c:v>15</c:v>
                </c:pt>
                <c:pt idx="30">
                  <c:v>15.5</c:v>
                </c:pt>
                <c:pt idx="31">
                  <c:v>16</c:v>
                </c:pt>
                <c:pt idx="32">
                  <c:v>16.5</c:v>
                </c:pt>
                <c:pt idx="33">
                  <c:v>17</c:v>
                </c:pt>
                <c:pt idx="34">
                  <c:v>17.5</c:v>
                </c:pt>
                <c:pt idx="35">
                  <c:v>18</c:v>
                </c:pt>
                <c:pt idx="36">
                  <c:v>18.5</c:v>
                </c:pt>
                <c:pt idx="37">
                  <c:v>19</c:v>
                </c:pt>
                <c:pt idx="38">
                  <c:v>19.5</c:v>
                </c:pt>
                <c:pt idx="39">
                  <c:v>20</c:v>
                </c:pt>
                <c:pt idx="40">
                  <c:v>20.5</c:v>
                </c:pt>
                <c:pt idx="41">
                  <c:v>21</c:v>
                </c:pt>
                <c:pt idx="42">
                  <c:v>21.5</c:v>
                </c:pt>
                <c:pt idx="43">
                  <c:v>22</c:v>
                </c:pt>
                <c:pt idx="44">
                  <c:v>22.5</c:v>
                </c:pt>
                <c:pt idx="45">
                  <c:v>23</c:v>
                </c:pt>
                <c:pt idx="46">
                  <c:v>23.5</c:v>
                </c:pt>
                <c:pt idx="47">
                  <c:v>24</c:v>
                </c:pt>
                <c:pt idx="48">
                  <c:v>24.5</c:v>
                </c:pt>
                <c:pt idx="49">
                  <c:v>25</c:v>
                </c:pt>
                <c:pt idx="50">
                  <c:v>25.5</c:v>
                </c:pt>
                <c:pt idx="51">
                  <c:v>26</c:v>
                </c:pt>
                <c:pt idx="52">
                  <c:v>26.5</c:v>
                </c:pt>
                <c:pt idx="53">
                  <c:v>27</c:v>
                </c:pt>
                <c:pt idx="54">
                  <c:v>27.5</c:v>
                </c:pt>
                <c:pt idx="55">
                  <c:v>28</c:v>
                </c:pt>
                <c:pt idx="56">
                  <c:v>28.5</c:v>
                </c:pt>
                <c:pt idx="57">
                  <c:v>29</c:v>
                </c:pt>
                <c:pt idx="58">
                  <c:v>29.5</c:v>
                </c:pt>
                <c:pt idx="59">
                  <c:v>30</c:v>
                </c:pt>
                <c:pt idx="60">
                  <c:v>30.5</c:v>
                </c:pt>
                <c:pt idx="61">
                  <c:v>31</c:v>
                </c:pt>
                <c:pt idx="62">
                  <c:v>31.5</c:v>
                </c:pt>
                <c:pt idx="63">
                  <c:v>32</c:v>
                </c:pt>
                <c:pt idx="64">
                  <c:v>32.5</c:v>
                </c:pt>
                <c:pt idx="65">
                  <c:v>33</c:v>
                </c:pt>
                <c:pt idx="66">
                  <c:v>33.5</c:v>
                </c:pt>
                <c:pt idx="67">
                  <c:v>34</c:v>
                </c:pt>
                <c:pt idx="68">
                  <c:v>34.5</c:v>
                </c:pt>
                <c:pt idx="69">
                  <c:v>35</c:v>
                </c:pt>
                <c:pt idx="70">
                  <c:v>35.5</c:v>
                </c:pt>
                <c:pt idx="71">
                  <c:v>36</c:v>
                </c:pt>
                <c:pt idx="72">
                  <c:v>36.5</c:v>
                </c:pt>
                <c:pt idx="73">
                  <c:v>37</c:v>
                </c:pt>
                <c:pt idx="74">
                  <c:v>37.5</c:v>
                </c:pt>
                <c:pt idx="75">
                  <c:v>38</c:v>
                </c:pt>
                <c:pt idx="76">
                  <c:v>38.5</c:v>
                </c:pt>
                <c:pt idx="77">
                  <c:v>39</c:v>
                </c:pt>
                <c:pt idx="78">
                  <c:v>39.5</c:v>
                </c:pt>
                <c:pt idx="79">
                  <c:v>40</c:v>
                </c:pt>
                <c:pt idx="80">
                  <c:v>40.5</c:v>
                </c:pt>
                <c:pt idx="81">
                  <c:v>41</c:v>
                </c:pt>
                <c:pt idx="82">
                  <c:v>41.5</c:v>
                </c:pt>
                <c:pt idx="83">
                  <c:v>42</c:v>
                </c:pt>
                <c:pt idx="84">
                  <c:v>42.5</c:v>
                </c:pt>
                <c:pt idx="85">
                  <c:v>43</c:v>
                </c:pt>
                <c:pt idx="86">
                  <c:v>43.5</c:v>
                </c:pt>
                <c:pt idx="87">
                  <c:v>44</c:v>
                </c:pt>
                <c:pt idx="88">
                  <c:v>44.5</c:v>
                </c:pt>
                <c:pt idx="89">
                  <c:v>45</c:v>
                </c:pt>
                <c:pt idx="90">
                  <c:v>45.5</c:v>
                </c:pt>
                <c:pt idx="91">
                  <c:v>46</c:v>
                </c:pt>
                <c:pt idx="92">
                  <c:v>46.5</c:v>
                </c:pt>
                <c:pt idx="93">
                  <c:v>47</c:v>
                </c:pt>
                <c:pt idx="94">
                  <c:v>47.5</c:v>
                </c:pt>
                <c:pt idx="95">
                  <c:v>48</c:v>
                </c:pt>
                <c:pt idx="96">
                  <c:v>48.5</c:v>
                </c:pt>
                <c:pt idx="97">
                  <c:v>49</c:v>
                </c:pt>
                <c:pt idx="98">
                  <c:v>49.5</c:v>
                </c:pt>
                <c:pt idx="99">
                  <c:v>50</c:v>
                </c:pt>
                <c:pt idx="100">
                  <c:v>50.5</c:v>
                </c:pt>
                <c:pt idx="101">
                  <c:v>51</c:v>
                </c:pt>
                <c:pt idx="102">
                  <c:v>51.5</c:v>
                </c:pt>
                <c:pt idx="103">
                  <c:v>52</c:v>
                </c:pt>
                <c:pt idx="104">
                  <c:v>52.5</c:v>
                </c:pt>
                <c:pt idx="105">
                  <c:v>53</c:v>
                </c:pt>
                <c:pt idx="106">
                  <c:v>53.5</c:v>
                </c:pt>
                <c:pt idx="107">
                  <c:v>54</c:v>
                </c:pt>
                <c:pt idx="108">
                  <c:v>54.5</c:v>
                </c:pt>
                <c:pt idx="109">
                  <c:v>55</c:v>
                </c:pt>
                <c:pt idx="110">
                  <c:v>55.5</c:v>
                </c:pt>
                <c:pt idx="111">
                  <c:v>56</c:v>
                </c:pt>
                <c:pt idx="112">
                  <c:v>56.5</c:v>
                </c:pt>
                <c:pt idx="113">
                  <c:v>57</c:v>
                </c:pt>
                <c:pt idx="114">
                  <c:v>57.5</c:v>
                </c:pt>
                <c:pt idx="115">
                  <c:v>58</c:v>
                </c:pt>
                <c:pt idx="116">
                  <c:v>58.5</c:v>
                </c:pt>
                <c:pt idx="117">
                  <c:v>59</c:v>
                </c:pt>
                <c:pt idx="118">
                  <c:v>59.5</c:v>
                </c:pt>
                <c:pt idx="119">
                  <c:v>60</c:v>
                </c:pt>
                <c:pt idx="120">
                  <c:v>60.5</c:v>
                </c:pt>
                <c:pt idx="121">
                  <c:v>61</c:v>
                </c:pt>
                <c:pt idx="122">
                  <c:v>61.5</c:v>
                </c:pt>
                <c:pt idx="123">
                  <c:v>62</c:v>
                </c:pt>
                <c:pt idx="124">
                  <c:v>62.5</c:v>
                </c:pt>
                <c:pt idx="125">
                  <c:v>63</c:v>
                </c:pt>
                <c:pt idx="126">
                  <c:v>63.5</c:v>
                </c:pt>
                <c:pt idx="127">
                  <c:v>64</c:v>
                </c:pt>
                <c:pt idx="128">
                  <c:v>64.5</c:v>
                </c:pt>
                <c:pt idx="129">
                  <c:v>65</c:v>
                </c:pt>
                <c:pt idx="130">
                  <c:v>65.5</c:v>
                </c:pt>
                <c:pt idx="131">
                  <c:v>66</c:v>
                </c:pt>
                <c:pt idx="132">
                  <c:v>66.5</c:v>
                </c:pt>
                <c:pt idx="133">
                  <c:v>67</c:v>
                </c:pt>
                <c:pt idx="134">
                  <c:v>67.5</c:v>
                </c:pt>
                <c:pt idx="135">
                  <c:v>68</c:v>
                </c:pt>
                <c:pt idx="136">
                  <c:v>68.5</c:v>
                </c:pt>
                <c:pt idx="137">
                  <c:v>69</c:v>
                </c:pt>
                <c:pt idx="138">
                  <c:v>69.5</c:v>
                </c:pt>
                <c:pt idx="139">
                  <c:v>70</c:v>
                </c:pt>
                <c:pt idx="140">
                  <c:v>70.5</c:v>
                </c:pt>
                <c:pt idx="141">
                  <c:v>71</c:v>
                </c:pt>
                <c:pt idx="142">
                  <c:v>71.5</c:v>
                </c:pt>
                <c:pt idx="143">
                  <c:v>72</c:v>
                </c:pt>
                <c:pt idx="144">
                  <c:v>72.5</c:v>
                </c:pt>
                <c:pt idx="145">
                  <c:v>73</c:v>
                </c:pt>
                <c:pt idx="146">
                  <c:v>73.5</c:v>
                </c:pt>
                <c:pt idx="147">
                  <c:v>74</c:v>
                </c:pt>
                <c:pt idx="148">
                  <c:v>74.5</c:v>
                </c:pt>
                <c:pt idx="149">
                  <c:v>75</c:v>
                </c:pt>
              </c:numCache>
            </c:numRef>
          </c:xVal>
          <c:yVal>
            <c:numRef>
              <c:f>Eff_vs_IOUT!$BT$8:$BT$157</c:f>
              <c:numCache>
                <c:formatCode>General</c:formatCode>
                <c:ptCount val="15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yVal>
          <c:smooth val="1"/>
          <c:extLst>
            <c:ext xmlns:c16="http://schemas.microsoft.com/office/drawing/2014/chart" uri="{C3380CC4-5D6E-409C-BE32-E72D297353CC}">
              <c16:uniqueId val="{00000005-A180-432B-A347-F5CCD23FB4B3}"/>
            </c:ext>
          </c:extLst>
        </c:ser>
        <c:dLbls>
          <c:showLegendKey val="0"/>
          <c:showVal val="0"/>
          <c:showCatName val="0"/>
          <c:showSerName val="0"/>
          <c:showPercent val="0"/>
          <c:showBubbleSize val="0"/>
        </c:dLbls>
        <c:axId val="582914816"/>
        <c:axId val="582904448"/>
      </c:scatterChart>
      <c:valAx>
        <c:axId val="582892544"/>
        <c:scaling>
          <c:orientation val="minMax"/>
        </c:scaling>
        <c:delete val="0"/>
        <c:axPos val="b"/>
        <c:majorGridlines/>
        <c:numFmt formatCode="General" sourceLinked="1"/>
        <c:majorTickMark val="out"/>
        <c:minorTickMark val="none"/>
        <c:tickLblPos val="nextTo"/>
        <c:crossAx val="582902528"/>
        <c:crosses val="autoZero"/>
        <c:crossBetween val="midCat"/>
      </c:valAx>
      <c:valAx>
        <c:axId val="582902528"/>
        <c:scaling>
          <c:orientation val="minMax"/>
          <c:max val="100"/>
          <c:min val="60"/>
        </c:scaling>
        <c:delete val="0"/>
        <c:axPos val="l"/>
        <c:majorGridlines/>
        <c:title>
          <c:tx>
            <c:rich>
              <a:bodyPr rot="-5400000" vert="horz"/>
              <a:lstStyle/>
              <a:p>
                <a:pPr>
                  <a:defRPr sz="1400"/>
                </a:pPr>
                <a:r>
                  <a:rPr lang="en-US" sz="1400"/>
                  <a:t>Efficiency</a:t>
                </a:r>
                <a:r>
                  <a:rPr lang="en-US" sz="1400" baseline="0"/>
                  <a:t> (%)</a:t>
                </a:r>
                <a:endParaRPr lang="en-US" sz="1400"/>
              </a:p>
            </c:rich>
          </c:tx>
          <c:overlay val="0"/>
        </c:title>
        <c:numFmt formatCode="General" sourceLinked="1"/>
        <c:majorTickMark val="out"/>
        <c:minorTickMark val="none"/>
        <c:tickLblPos val="nextTo"/>
        <c:crossAx val="582892544"/>
        <c:crosses val="autoZero"/>
        <c:crossBetween val="midCat"/>
      </c:valAx>
      <c:valAx>
        <c:axId val="582904448"/>
        <c:scaling>
          <c:orientation val="minMax"/>
        </c:scaling>
        <c:delete val="0"/>
        <c:axPos val="r"/>
        <c:title>
          <c:tx>
            <c:rich>
              <a:bodyPr rot="-5400000" vert="horz"/>
              <a:lstStyle/>
              <a:p>
                <a:pPr>
                  <a:defRPr sz="1400"/>
                </a:pPr>
                <a:r>
                  <a:rPr lang="en-US" sz="1400"/>
                  <a:t>Losses</a:t>
                </a:r>
                <a:r>
                  <a:rPr lang="en-US" sz="1400" baseline="0"/>
                  <a:t> (W)</a:t>
                </a:r>
                <a:endParaRPr lang="en-US" sz="1400"/>
              </a:p>
            </c:rich>
          </c:tx>
          <c:overlay val="0"/>
        </c:title>
        <c:numFmt formatCode="General" sourceLinked="1"/>
        <c:majorTickMark val="out"/>
        <c:minorTickMark val="none"/>
        <c:tickLblPos val="nextTo"/>
        <c:crossAx val="582914816"/>
        <c:crosses val="max"/>
        <c:crossBetween val="midCat"/>
      </c:valAx>
      <c:valAx>
        <c:axId val="582914816"/>
        <c:scaling>
          <c:orientation val="minMax"/>
        </c:scaling>
        <c:delete val="1"/>
        <c:axPos val="b"/>
        <c:title>
          <c:tx>
            <c:rich>
              <a:bodyPr/>
              <a:lstStyle/>
              <a:p>
                <a:pPr>
                  <a:defRPr/>
                </a:pPr>
                <a:r>
                  <a:rPr lang="en-US"/>
                  <a:t>Loac</a:t>
                </a:r>
                <a:r>
                  <a:rPr lang="en-US" baseline="0"/>
                  <a:t> Current (A)</a:t>
                </a:r>
                <a:endParaRPr lang="en-US"/>
              </a:p>
            </c:rich>
          </c:tx>
          <c:overlay val="0"/>
        </c:title>
        <c:numFmt formatCode="General" sourceLinked="1"/>
        <c:majorTickMark val="out"/>
        <c:minorTickMark val="none"/>
        <c:tickLblPos val="nextTo"/>
        <c:crossAx val="582904448"/>
        <c:crosses val="autoZero"/>
        <c:crossBetween val="midCat"/>
      </c:valAx>
    </c:plotArea>
    <c:legend>
      <c:legendPos val="r"/>
      <c:layout>
        <c:manualLayout>
          <c:xMode val="edge"/>
          <c:yMode val="edge"/>
          <c:x val="0.49723111871774606"/>
          <c:y val="6.4861313959085187E-3"/>
          <c:w val="0.41972466868865133"/>
          <c:h val="0.12461147870492213"/>
        </c:manualLayout>
      </c:layout>
      <c:overlay val="1"/>
    </c:legend>
    <c:plotVisOnly val="1"/>
    <c:dispBlanksAs val="gap"/>
    <c:showDLblsOverMax val="0"/>
  </c:chart>
  <c:spPr>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35" fmlaRange="$1:$1048576" noThreeD="1" sel="0" val="0"/>
</file>

<file path=xl/ctrlProps/ctrlProp2.xml><?xml version="1.0" encoding="utf-8"?>
<formControlPr xmlns="http://schemas.microsoft.com/office/spreadsheetml/2009/9/main" objectType="Spin" dx="20" fmlaLink="$H$8" max="45" noThreeD="1" page="10" val="15"/>
</file>

<file path=xl/ctrlProps/ctrlProp3.xml><?xml version="1.0" encoding="utf-8"?>
<formControlPr xmlns="http://schemas.microsoft.com/office/spreadsheetml/2009/9/main" objectType="Drop" dropLines="2" dropStyle="combo" dx="35" fmlaLink="Variable_Management!$B$175" fmlaRange="Lists!$I$2:$I$3" noThreeD="1" sel="2" val="0"/>
</file>

<file path=xl/ctrlProps/ctrlProp4.xml><?xml version="1.0" encoding="utf-8"?>
<formControlPr xmlns="http://schemas.microsoft.com/office/spreadsheetml/2009/9/main" objectType="Drop" dropLines="3" dropStyle="combo" dx="35" fmlaLink="Variable_Management!$B$13" fmlaRange="Lists!$L$2:$L$4"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hyperlink" Target="http://www.ti.com/corp/docs/legal/copyright.shtml" TargetMode="External"/><Relationship Id="rId2" Type="http://schemas.openxmlformats.org/officeDocument/2006/relationships/image" Target="../media/image7.gif"/><Relationship Id="rId1" Type="http://schemas.openxmlformats.org/officeDocument/2006/relationships/hyperlink" Target="http://www.ti.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chart" Target="../charts/chart4.xml"/><Relationship Id="rId5" Type="http://schemas.openxmlformats.org/officeDocument/2006/relationships/chart" Target="../charts/chart6.xml"/><Relationship Id="rId4" Type="http://schemas.openxmlformats.org/officeDocument/2006/relationships/chart" Target="../charts/chart5.xml"/></Relationships>
</file>

<file path=xl/drawings/_rels/drawing6.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png"/><Relationship Id="rId1" Type="http://schemas.openxmlformats.org/officeDocument/2006/relationships/image" Target="../media/image13.png"/></Relationships>
</file>

<file path=xl/drawings/_rels/drawing8.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image" Target="../media/image2.emf"/></Relationships>
</file>

<file path=xl/drawings/_rels/drawing9.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image" Target="../media/image1.emf"/><Relationship Id="rId1" Type="http://schemas.openxmlformats.org/officeDocument/2006/relationships/chart" Target="../charts/chart13.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8.vml.rels><?xml version="1.0" encoding="UTF-8" standalone="yes"?>
<Relationships xmlns="http://schemas.openxmlformats.org/package/2006/relationships"><Relationship Id="rId3" Type="http://schemas.openxmlformats.org/officeDocument/2006/relationships/image" Target="../media/image18.emf"/><Relationship Id="rId2" Type="http://schemas.openxmlformats.org/officeDocument/2006/relationships/image" Target="../media/image17.emf"/><Relationship Id="rId1" Type="http://schemas.openxmlformats.org/officeDocument/2006/relationships/image" Target="../media/image16.emf"/><Relationship Id="rId6" Type="http://schemas.openxmlformats.org/officeDocument/2006/relationships/image" Target="../media/image21.emf"/><Relationship Id="rId5" Type="http://schemas.openxmlformats.org/officeDocument/2006/relationships/image" Target="../media/image20.emf"/><Relationship Id="rId4" Type="http://schemas.openxmlformats.org/officeDocument/2006/relationships/image" Target="../media/image1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114300</xdr:colOff>
          <xdr:row>17</xdr:row>
          <xdr:rowOff>21771</xdr:rowOff>
        </xdr:from>
        <xdr:to>
          <xdr:col>25</xdr:col>
          <xdr:colOff>413657</xdr:colOff>
          <xdr:row>18</xdr:row>
          <xdr:rowOff>174171</xdr:rowOff>
        </xdr:to>
        <xdr:sp macro="" textlink="">
          <xdr:nvSpPr>
            <xdr:cNvPr id="1652" name="Drop Down 628" hidden="1">
              <a:extLst>
                <a:ext uri="{63B3BB69-23CF-44E3-9099-C40C66FF867C}">
                  <a14:compatExt spid="_x0000_s1652"/>
                </a:ext>
                <a:ext uri="{FF2B5EF4-FFF2-40B4-BE49-F238E27FC236}">
                  <a16:creationId xmlns:a16="http://schemas.microsoft.com/office/drawing/2014/main" id="{00000000-0008-0000-0000-00007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17872</xdr:colOff>
          <xdr:row>57</xdr:row>
          <xdr:rowOff>241089</xdr:rowOff>
        </xdr:from>
        <xdr:to>
          <xdr:col>30</xdr:col>
          <xdr:colOff>590208</xdr:colOff>
          <xdr:row>84</xdr:row>
          <xdr:rowOff>174028</xdr:rowOff>
        </xdr:to>
        <xdr:pic>
          <xdr:nvPicPr>
            <xdr:cNvPr id="91" name="Picture 90">
              <a:extLst>
                <a:ext uri="{FF2B5EF4-FFF2-40B4-BE49-F238E27FC236}">
                  <a16:creationId xmlns:a16="http://schemas.microsoft.com/office/drawing/2014/main" id="{00000000-0008-0000-0000-00005B000000}"/>
                </a:ext>
              </a:extLst>
            </xdr:cNvPr>
            <xdr:cNvPicPr>
              <a:picLocks noChangeAspect="1" noChangeArrowheads="1"/>
              <a:extLst>
                <a:ext uri="{84589F7E-364E-4C9E-8A38-B11213B215E9}">
                  <a14:cameraTool cellRange="LoopLookup" spid="_x0000_s23619"/>
                </a:ext>
              </a:extLst>
            </xdr:cNvPicPr>
          </xdr:nvPicPr>
          <xdr:blipFill>
            <a:blip xmlns:r="http://schemas.openxmlformats.org/officeDocument/2006/relationships" r:embed="rId1"/>
            <a:srcRect/>
            <a:stretch>
              <a:fillRect/>
            </a:stretch>
          </xdr:blipFill>
          <xdr:spPr bwMode="auto">
            <a:xfrm>
              <a:off x="5237572" y="12937914"/>
              <a:ext cx="11979476" cy="586891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135762</xdr:colOff>
          <xdr:row>89</xdr:row>
          <xdr:rowOff>286656</xdr:rowOff>
        </xdr:from>
        <xdr:to>
          <xdr:col>30</xdr:col>
          <xdr:colOff>136214</xdr:colOff>
          <xdr:row>119</xdr:row>
          <xdr:rowOff>153490</xdr:rowOff>
        </xdr:to>
        <xdr:pic>
          <xdr:nvPicPr>
            <xdr:cNvPr id="27" name="Picture 8888">
              <a:extLst>
                <a:ext uri="{FF2B5EF4-FFF2-40B4-BE49-F238E27FC236}">
                  <a16:creationId xmlns:a16="http://schemas.microsoft.com/office/drawing/2014/main" id="{00000000-0008-0000-0000-00001B000000}"/>
                </a:ext>
              </a:extLst>
            </xdr:cNvPr>
            <xdr:cNvPicPr>
              <a:picLocks noChangeAspect="1" noChangeArrowheads="1"/>
              <a:extLst>
                <a:ext uri="{84589F7E-364E-4C9E-8A38-B11213B215E9}">
                  <a14:cameraTool cellRange="display_eff" spid="_x0000_s23620"/>
                </a:ext>
              </a:extLst>
            </xdr:cNvPicPr>
          </xdr:nvPicPr>
          <xdr:blipFill>
            <a:blip xmlns:r="http://schemas.openxmlformats.org/officeDocument/2006/relationships" r:embed="rId2"/>
            <a:srcRect/>
            <a:stretch>
              <a:fillRect/>
            </a:stretch>
          </xdr:blipFill>
          <xdr:spPr bwMode="auto">
            <a:xfrm>
              <a:off x="5376305" y="19834309"/>
              <a:ext cx="11441658" cy="6199166"/>
            </a:xfrm>
            <a:prstGeom prst="rect">
              <a:avLst/>
            </a:prstGeom>
            <a:noFill/>
            <a:ln w="15875">
              <a:noFill/>
              <a:miter lim="800000"/>
              <a:headEnd/>
              <a:tailEnd/>
            </a:ln>
            <a:extLst>
              <a:ext uri="{909E8E84-426E-40DD-AFC4-6F175D3DCCD1}">
                <a14:hiddenFill>
                  <a:solidFill>
                    <a:srgbClr val="FFFFFF" mc:Ignorable="a14" a14:legacySpreadsheetColorIndex="65"/>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5443</xdr:colOff>
          <xdr:row>58</xdr:row>
          <xdr:rowOff>5443</xdr:rowOff>
        </xdr:from>
        <xdr:to>
          <xdr:col>9</xdr:col>
          <xdr:colOff>0</xdr:colOff>
          <xdr:row>59</xdr:row>
          <xdr:rowOff>97971</xdr:rowOff>
        </xdr:to>
        <xdr:sp macro="" textlink="">
          <xdr:nvSpPr>
            <xdr:cNvPr id="1060" name="Spinner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14</xdr:col>
      <xdr:colOff>112060</xdr:colOff>
      <xdr:row>57</xdr:row>
      <xdr:rowOff>125987</xdr:rowOff>
    </xdr:from>
    <xdr:to>
      <xdr:col>16</xdr:col>
      <xdr:colOff>381002</xdr:colOff>
      <xdr:row>59</xdr:row>
      <xdr:rowOff>76044</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9278472" y="12474869"/>
          <a:ext cx="784412" cy="4207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a:t>V</a:t>
          </a:r>
          <a:r>
            <a:rPr lang="en-US" sz="2400" baseline="-25000"/>
            <a:t>IN</a:t>
          </a:r>
          <a:r>
            <a:rPr lang="en-US" sz="2400"/>
            <a:t> =</a:t>
          </a:r>
        </a:p>
      </xdr:txBody>
    </xdr:sp>
    <xdr:clientData/>
  </xdr:twoCellAnchor>
  <xdr:twoCellAnchor>
    <xdr:from>
      <xdr:col>12</xdr:col>
      <xdr:colOff>6735</xdr:colOff>
      <xdr:row>90</xdr:row>
      <xdr:rowOff>145675</xdr:rowOff>
    </xdr:from>
    <xdr:to>
      <xdr:col>13</xdr:col>
      <xdr:colOff>598405</xdr:colOff>
      <xdr:row>93</xdr:row>
      <xdr:rowOff>67234</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6887147" y="19655116"/>
          <a:ext cx="2014817" cy="515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a:t>V</a:t>
          </a:r>
          <a:r>
            <a:rPr lang="en-US" sz="2400" baseline="-25000"/>
            <a:t>IN</a:t>
          </a:r>
          <a:r>
            <a:rPr lang="en-US" sz="2400"/>
            <a:t> =</a:t>
          </a:r>
        </a:p>
      </xdr:txBody>
    </xdr:sp>
    <xdr:clientData/>
  </xdr:twoCellAnchor>
  <xdr:twoCellAnchor>
    <xdr:from>
      <xdr:col>12</xdr:col>
      <xdr:colOff>657935</xdr:colOff>
      <xdr:row>90</xdr:row>
      <xdr:rowOff>145674</xdr:rowOff>
    </xdr:from>
    <xdr:to>
      <xdr:col>13</xdr:col>
      <xdr:colOff>320862</xdr:colOff>
      <xdr:row>93</xdr:row>
      <xdr:rowOff>67234</xdr:rowOff>
    </xdr:to>
    <xdr:sp macro="" textlink="VIN_nom">
      <xdr:nvSpPr>
        <xdr:cNvPr id="10" name="TextBox 9">
          <a:extLst>
            <a:ext uri="{FF2B5EF4-FFF2-40B4-BE49-F238E27FC236}">
              <a16:creationId xmlns:a16="http://schemas.microsoft.com/office/drawing/2014/main" id="{00000000-0008-0000-0000-00000A000000}"/>
            </a:ext>
          </a:extLst>
        </xdr:cNvPr>
        <xdr:cNvSpPr txBox="1"/>
      </xdr:nvSpPr>
      <xdr:spPr>
        <a:xfrm>
          <a:off x="7538347" y="19655115"/>
          <a:ext cx="1086074" cy="5154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B6E0D9B-34B5-4A81-8CB9-A88F658AFD78}" type="TxLink">
            <a:rPr lang="en-US" sz="2400" b="0" i="0" u="none" strike="noStrike">
              <a:solidFill>
                <a:srgbClr val="000000"/>
              </a:solidFill>
              <a:latin typeface="Calibri"/>
            </a:rPr>
            <a:pPr/>
            <a:t>15</a:t>
          </a:fld>
          <a:endParaRPr lang="en-US" sz="2400"/>
        </a:p>
      </xdr:txBody>
    </xdr:sp>
    <xdr:clientData/>
  </xdr:twoCellAnchor>
  <xdr:twoCellAnchor>
    <xdr:from>
      <xdr:col>12</xdr:col>
      <xdr:colOff>1077104</xdr:colOff>
      <xdr:row>90</xdr:row>
      <xdr:rowOff>145675</xdr:rowOff>
    </xdr:from>
    <xdr:to>
      <xdr:col>13</xdr:col>
      <xdr:colOff>495293</xdr:colOff>
      <xdr:row>93</xdr:row>
      <xdr:rowOff>67234</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7957516" y="19655116"/>
          <a:ext cx="841336" cy="515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a:t>V</a:t>
          </a:r>
        </a:p>
      </xdr:txBody>
    </xdr:sp>
    <xdr:clientData/>
  </xdr:twoCellAnchor>
  <mc:AlternateContent xmlns:mc="http://schemas.openxmlformats.org/markup-compatibility/2006">
    <mc:Choice xmlns:a14="http://schemas.microsoft.com/office/drawing/2010/main" Requires="a14">
      <xdr:twoCellAnchor editAs="oneCell">
        <xdr:from>
          <xdr:col>7</xdr:col>
          <xdr:colOff>5443</xdr:colOff>
          <xdr:row>11</xdr:row>
          <xdr:rowOff>0</xdr:rowOff>
        </xdr:from>
        <xdr:to>
          <xdr:col>9</xdr:col>
          <xdr:colOff>5443</xdr:colOff>
          <xdr:row>12</xdr:row>
          <xdr:rowOff>108857</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61602</xdr:colOff>
          <xdr:row>4</xdr:row>
          <xdr:rowOff>179294</xdr:rowOff>
        </xdr:from>
        <xdr:to>
          <xdr:col>30</xdr:col>
          <xdr:colOff>513340</xdr:colOff>
          <xdr:row>36</xdr:row>
          <xdr:rowOff>58494</xdr:rowOff>
        </xdr:to>
        <xdr:pic>
          <xdr:nvPicPr>
            <xdr:cNvPr id="15" name="Picture 14">
              <a:extLst>
                <a:ext uri="{FF2B5EF4-FFF2-40B4-BE49-F238E27FC236}">
                  <a16:creationId xmlns:a16="http://schemas.microsoft.com/office/drawing/2014/main" id="{00000000-0008-0000-0000-00000F000000}"/>
                </a:ext>
              </a:extLst>
            </xdr:cNvPr>
            <xdr:cNvPicPr>
              <a:picLocks noChangeAspect="1"/>
              <a:extLst>
                <a:ext uri="{84589F7E-364E-4C9E-8A38-B11213B215E9}">
                  <a14:cameraTool cellRange="display_Sch" spid="_x0000_s23621"/>
                </a:ext>
              </a:extLst>
            </xdr:cNvPicPr>
          </xdr:nvPicPr>
          <xdr:blipFill rotWithShape="1">
            <a:blip xmlns:r="http://schemas.openxmlformats.org/officeDocument/2006/relationships" r:embed="rId3"/>
            <a:srcRect/>
            <a:stretch>
              <a:fillRect/>
            </a:stretch>
          </xdr:blipFill>
          <xdr:spPr>
            <a:xfrm>
              <a:off x="9485749" y="1333500"/>
              <a:ext cx="7726485" cy="6740001"/>
            </a:xfrm>
            <a:prstGeom prst="rect">
              <a:avLst/>
            </a:prstGeom>
          </xdr:spPr>
        </xdr:pic>
        <xdr:clientData/>
      </xdr:twoCellAnchor>
    </mc:Choice>
    <mc:Fallback/>
  </mc:AlternateContent>
  <xdr:twoCellAnchor>
    <xdr:from>
      <xdr:col>16</xdr:col>
      <xdr:colOff>205633</xdr:colOff>
      <xdr:row>57</xdr:row>
      <xdr:rowOff>140414</xdr:rowOff>
    </xdr:from>
    <xdr:to>
      <xdr:col>18</xdr:col>
      <xdr:colOff>285750</xdr:colOff>
      <xdr:row>59</xdr:row>
      <xdr:rowOff>64839</xdr:rowOff>
    </xdr:to>
    <xdr:sp macro="" textlink="VIN_nom">
      <xdr:nvSpPr>
        <xdr:cNvPr id="3" name="TextBox 2">
          <a:extLst>
            <a:ext uri="{FF2B5EF4-FFF2-40B4-BE49-F238E27FC236}">
              <a16:creationId xmlns:a16="http://schemas.microsoft.com/office/drawing/2014/main" id="{00000000-0008-0000-0000-000003000000}"/>
            </a:ext>
          </a:extLst>
        </xdr:cNvPr>
        <xdr:cNvSpPr txBox="1"/>
      </xdr:nvSpPr>
      <xdr:spPr>
        <a:xfrm>
          <a:off x="9854458" y="12589589"/>
          <a:ext cx="689717" cy="400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B6E0D9B-34B5-4A81-8CB9-A88F658AFD78}" type="TxLink">
            <a:rPr lang="en-US" sz="2400" b="0" i="0" u="none" strike="noStrike">
              <a:solidFill>
                <a:srgbClr val="000000"/>
              </a:solidFill>
              <a:latin typeface="Calibri"/>
            </a:rPr>
            <a:pPr/>
            <a:t>15</a:t>
          </a:fld>
          <a:endParaRPr lang="en-US" sz="2400"/>
        </a:p>
      </xdr:txBody>
    </xdr:sp>
    <xdr:clientData/>
  </xdr:twoCellAnchor>
  <mc:AlternateContent xmlns:mc="http://schemas.openxmlformats.org/markup-compatibility/2006">
    <mc:Choice xmlns:a14="http://schemas.microsoft.com/office/drawing/2010/main" Requires="a14">
      <xdr:twoCellAnchor editAs="oneCell">
        <xdr:from>
          <xdr:col>7</xdr:col>
          <xdr:colOff>5443</xdr:colOff>
          <xdr:row>9</xdr:row>
          <xdr:rowOff>32657</xdr:rowOff>
        </xdr:from>
        <xdr:to>
          <xdr:col>9</xdr:col>
          <xdr:colOff>0</xdr:colOff>
          <xdr:row>10</xdr:row>
          <xdr:rowOff>70757</xdr:rowOff>
        </xdr:to>
        <xdr:sp macro="" textlink="">
          <xdr:nvSpPr>
            <xdr:cNvPr id="1157" name="Drop Down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19</xdr:col>
      <xdr:colOff>0</xdr:colOff>
      <xdr:row>47</xdr:row>
      <xdr:rowOff>0</xdr:rowOff>
    </xdr:from>
    <xdr:to>
      <xdr:col>41</xdr:col>
      <xdr:colOff>440055</xdr:colOff>
      <xdr:row>73</xdr:row>
      <xdr:rowOff>93924</xdr:rowOff>
    </xdr:to>
    <xdr:sp macro="" textlink="">
      <xdr:nvSpPr>
        <xdr:cNvPr id="1296" name="AutoShape 272">
          <a:extLst>
            <a:ext uri="{FF2B5EF4-FFF2-40B4-BE49-F238E27FC236}">
              <a16:creationId xmlns:a16="http://schemas.microsoft.com/office/drawing/2014/main" id="{00000000-0008-0000-0000-000010050000}"/>
            </a:ext>
          </a:extLst>
        </xdr:cNvPr>
        <xdr:cNvSpPr>
          <a:spLocks noChangeAspect="1" noChangeArrowheads="1"/>
        </xdr:cNvSpPr>
      </xdr:nvSpPr>
      <xdr:spPr bwMode="auto">
        <a:xfrm>
          <a:off x="11325225" y="14592300"/>
          <a:ext cx="11887200" cy="58578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126980</xdr:colOff>
      <xdr:row>57</xdr:row>
      <xdr:rowOff>142186</xdr:rowOff>
    </xdr:from>
    <xdr:to>
      <xdr:col>18</xdr:col>
      <xdr:colOff>389655</xdr:colOff>
      <xdr:row>59</xdr:row>
      <xdr:rowOff>56993</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10385405" y="12591361"/>
          <a:ext cx="262675" cy="3910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t"/>
        <a:lstStyle/>
        <a:p>
          <a:pPr algn="l"/>
          <a:r>
            <a:rPr lang="en-US" sz="2400"/>
            <a:t>V</a:t>
          </a: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5</xdr:row>
          <xdr:rowOff>0</xdr:rowOff>
        </xdr:from>
        <xdr:to>
          <xdr:col>5</xdr:col>
          <xdr:colOff>6711043</xdr:colOff>
          <xdr:row>5</xdr:row>
          <xdr:rowOff>4729843</xdr:rowOff>
        </xdr:to>
        <xdr:sp macro="" textlink="">
          <xdr:nvSpPr>
            <xdr:cNvPr id="21505" name="Object 1" hidden="1">
              <a:extLst>
                <a:ext uri="{63B3BB69-23CF-44E3-9099-C40C66FF867C}">
                  <a14:compatExt spid="_x0000_s21505"/>
                </a:ext>
                <a:ext uri="{FF2B5EF4-FFF2-40B4-BE49-F238E27FC236}">
                  <a16:creationId xmlns:a16="http://schemas.microsoft.com/office/drawing/2014/main" id="{00000000-0008-0000-0A00-0000015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6711043</xdr:colOff>
          <xdr:row>5</xdr:row>
          <xdr:rowOff>4729843</xdr:rowOff>
        </xdr:to>
        <xdr:sp macro="" textlink="">
          <xdr:nvSpPr>
            <xdr:cNvPr id="21506" name="Object 2" hidden="1">
              <a:extLst>
                <a:ext uri="{63B3BB69-23CF-44E3-9099-C40C66FF867C}">
                  <a14:compatExt spid="_x0000_s21506"/>
                </a:ext>
                <a:ext uri="{FF2B5EF4-FFF2-40B4-BE49-F238E27FC236}">
                  <a16:creationId xmlns:a16="http://schemas.microsoft.com/office/drawing/2014/main" id="{00000000-0008-0000-0A00-0000025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6711043</xdr:colOff>
          <xdr:row>5</xdr:row>
          <xdr:rowOff>4729843</xdr:rowOff>
        </xdr:to>
        <xdr:sp macro="" textlink="">
          <xdr:nvSpPr>
            <xdr:cNvPr id="21507" name="Object 3" hidden="1">
              <a:extLst>
                <a:ext uri="{63B3BB69-23CF-44E3-9099-C40C66FF867C}">
                  <a14:compatExt spid="_x0000_s21507"/>
                </a:ext>
                <a:ext uri="{FF2B5EF4-FFF2-40B4-BE49-F238E27FC236}">
                  <a16:creationId xmlns:a16="http://schemas.microsoft.com/office/drawing/2014/main" id="{00000000-0008-0000-0A00-0000035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1</xdr:col>
          <xdr:colOff>6471557</xdr:colOff>
          <xdr:row>3</xdr:row>
          <xdr:rowOff>4441371</xdr:rowOff>
        </xdr:to>
        <xdr:sp macro="" textlink="">
          <xdr:nvSpPr>
            <xdr:cNvPr id="21508" name="Object 4" hidden="1">
              <a:extLst>
                <a:ext uri="{63B3BB69-23CF-44E3-9099-C40C66FF867C}">
                  <a14:compatExt spid="_x0000_s21508"/>
                </a:ext>
                <a:ext uri="{FF2B5EF4-FFF2-40B4-BE49-F238E27FC236}">
                  <a16:creationId xmlns:a16="http://schemas.microsoft.com/office/drawing/2014/main" id="{00000000-0008-0000-0A00-0000045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0</xdr:rowOff>
        </xdr:from>
        <xdr:to>
          <xdr:col>3</xdr:col>
          <xdr:colOff>6471557</xdr:colOff>
          <xdr:row>3</xdr:row>
          <xdr:rowOff>4441371</xdr:rowOff>
        </xdr:to>
        <xdr:sp macro="" textlink="">
          <xdr:nvSpPr>
            <xdr:cNvPr id="21509" name="Object 5" hidden="1">
              <a:extLst>
                <a:ext uri="{63B3BB69-23CF-44E3-9099-C40C66FF867C}">
                  <a14:compatExt spid="_x0000_s21509"/>
                </a:ext>
                <a:ext uri="{FF2B5EF4-FFF2-40B4-BE49-F238E27FC236}">
                  <a16:creationId xmlns:a16="http://schemas.microsoft.com/office/drawing/2014/main" id="{00000000-0008-0000-0A00-0000055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xdr:row>
          <xdr:rowOff>0</xdr:rowOff>
        </xdr:from>
        <xdr:to>
          <xdr:col>5</xdr:col>
          <xdr:colOff>6471557</xdr:colOff>
          <xdr:row>3</xdr:row>
          <xdr:rowOff>4441371</xdr:rowOff>
        </xdr:to>
        <xdr:sp macro="" textlink="">
          <xdr:nvSpPr>
            <xdr:cNvPr id="21510" name="Object 6" hidden="1">
              <a:extLst>
                <a:ext uri="{63B3BB69-23CF-44E3-9099-C40C66FF867C}">
                  <a14:compatExt spid="_x0000_s21510"/>
                </a:ext>
                <a:ext uri="{FF2B5EF4-FFF2-40B4-BE49-F238E27FC236}">
                  <a16:creationId xmlns:a16="http://schemas.microsoft.com/office/drawing/2014/main" id="{00000000-0008-0000-0A00-0000065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152400</xdr:rowOff>
    </xdr:from>
    <xdr:to>
      <xdr:col>1</xdr:col>
      <xdr:colOff>592455</xdr:colOff>
      <xdr:row>2</xdr:row>
      <xdr:rowOff>83771</xdr:rowOff>
    </xdr:to>
    <xdr:pic>
      <xdr:nvPicPr>
        <xdr:cNvPr id="2" name="Picture 1" descr="ti logo">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2400"/>
          <a:ext cx="2306955" cy="3028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200025</xdr:colOff>
      <xdr:row>0</xdr:row>
      <xdr:rowOff>114300</xdr:rowOff>
    </xdr:from>
    <xdr:ext cx="3752850" cy="38170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914525" y="114300"/>
          <a:ext cx="3752850" cy="3817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1600">
              <a:latin typeface="Arial Black" panose="020B0A04020102020204" pitchFamily="34" charset="0"/>
            </a:rPr>
            <a:t>About this tool...</a:t>
          </a:r>
        </a:p>
      </xdr:txBody>
    </xdr:sp>
    <xdr:clientData/>
  </xdr:oneCellAnchor>
  <xdr:oneCellAnchor>
    <xdr:from>
      <xdr:col>3</xdr:col>
      <xdr:colOff>323850</xdr:colOff>
      <xdr:row>1</xdr:row>
      <xdr:rowOff>28575</xdr:rowOff>
    </xdr:from>
    <xdr:ext cx="4719497" cy="254557"/>
    <xdr:sp macro="" textlink="">
      <xdr:nvSpPr>
        <xdr:cNvPr id="4" name="TextBox 3">
          <a:hlinkClick xmlns:r="http://schemas.openxmlformats.org/officeDocument/2006/relationships" r:id="rId3"/>
          <a:extLst>
            <a:ext uri="{FF2B5EF4-FFF2-40B4-BE49-F238E27FC236}">
              <a16:creationId xmlns:a16="http://schemas.microsoft.com/office/drawing/2014/main" id="{00000000-0008-0000-0100-000004000000}"/>
            </a:ext>
          </a:extLst>
        </xdr:cNvPr>
        <xdr:cNvSpPr txBox="1"/>
      </xdr:nvSpPr>
      <xdr:spPr>
        <a:xfrm>
          <a:off x="6419850" y="209550"/>
          <a:ext cx="4719497"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0" i="0" u="none" strike="noStrike">
              <a:solidFill>
                <a:schemeClr val="tx1"/>
              </a:solidFill>
              <a:effectLst/>
              <a:latin typeface="Arial" panose="020B0604020202020204" pitchFamily="34" charset="0"/>
              <a:ea typeface="+mn-ea"/>
              <a:cs typeface="Arial" panose="020B0604020202020204" pitchFamily="34" charset="0"/>
              <a:hlinkClick xmlns:r="http://schemas.openxmlformats.org/officeDocument/2006/relationships" r:id=""/>
            </a:rPr>
            <a:t>© Copyright 2021</a:t>
          </a:r>
          <a:r>
            <a:rPr lang="en-US" sz="1100" b="0" i="0">
              <a:solidFill>
                <a:schemeClr val="tx1"/>
              </a:solidFill>
              <a:effectLst/>
              <a:latin typeface="Arial" panose="020B0604020202020204" pitchFamily="34" charset="0"/>
              <a:ea typeface="+mn-ea"/>
              <a:cs typeface="Arial" panose="020B0604020202020204" pitchFamily="34" charset="0"/>
            </a:rPr>
            <a:t> Texas Instruments Incorporated. All rights reserved.</a:t>
          </a:r>
          <a:endParaRPr lang="en-US" sz="1100" b="0">
            <a:latin typeface="Arial" panose="020B0604020202020204" pitchFamily="34" charset="0"/>
            <a:cs typeface="Arial" panose="020B0604020202020204" pitchFamily="34" charset="0"/>
          </a:endParaRPr>
        </a:p>
      </xdr:txBody>
    </xdr:sp>
    <xdr:clientData/>
  </xdr:oneCellAnchor>
  <xdr:oneCellAnchor>
    <xdr:from>
      <xdr:col>0</xdr:col>
      <xdr:colOff>95247</xdr:colOff>
      <xdr:row>6</xdr:row>
      <xdr:rowOff>47623</xdr:rowOff>
    </xdr:from>
    <xdr:ext cx="11229977" cy="4086227"/>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95247" y="1114423"/>
          <a:ext cx="11229977" cy="4086227"/>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00" b="1">
              <a:latin typeface="Arial" panose="020B0604020202020204" pitchFamily="34" charset="0"/>
              <a:cs typeface="Arial" panose="020B0604020202020204" pitchFamily="34" charset="0"/>
            </a:rPr>
            <a:t>LICENSE INFORMATION:</a:t>
          </a:r>
        </a:p>
        <a:p>
          <a:r>
            <a:rPr lang="en-US" sz="900">
              <a:solidFill>
                <a:schemeClr val="tx1"/>
              </a:solidFill>
              <a:effectLst/>
              <a:latin typeface="Arial" panose="020B0604020202020204" pitchFamily="34" charset="0"/>
              <a:ea typeface="+mn-ea"/>
              <a:cs typeface="Arial" panose="020B0604020202020204" pitchFamily="34" charset="0"/>
            </a:rPr>
            <a:t>Copyright (c) 2021 Texas Instruments Incorporated</a:t>
          </a:r>
        </a:p>
        <a:p>
          <a:r>
            <a:rPr lang="en-US" sz="900">
              <a:solidFill>
                <a:schemeClr val="tx1"/>
              </a:solidFill>
              <a:effectLst/>
              <a:latin typeface="Arial" panose="020B0604020202020204" pitchFamily="34" charset="0"/>
              <a:ea typeface="+mn-ea"/>
              <a:cs typeface="Arial" panose="020B0604020202020204" pitchFamily="34" charset="0"/>
            </a:rPr>
            <a:t> </a:t>
          </a:r>
        </a:p>
        <a:p>
          <a:r>
            <a:rPr lang="en-US" sz="900">
              <a:solidFill>
                <a:schemeClr val="tx1"/>
              </a:solidFill>
              <a:effectLst/>
              <a:latin typeface="Arial" panose="020B0604020202020204" pitchFamily="34" charset="0"/>
              <a:ea typeface="+mn-ea"/>
              <a:cs typeface="Arial" panose="020B0604020202020204" pitchFamily="34" charset="0"/>
            </a:rPr>
            <a:t>All rights reserved not granted herein.</a:t>
          </a:r>
        </a:p>
        <a:p>
          <a:r>
            <a:rPr lang="en-US" sz="900">
              <a:solidFill>
                <a:schemeClr val="tx1"/>
              </a:solidFill>
              <a:effectLst/>
              <a:latin typeface="Arial" panose="020B0604020202020204" pitchFamily="34" charset="0"/>
              <a:ea typeface="+mn-ea"/>
              <a:cs typeface="Arial" panose="020B0604020202020204" pitchFamily="34" charset="0"/>
            </a:rPr>
            <a:t> </a:t>
          </a:r>
        </a:p>
        <a:p>
          <a:r>
            <a:rPr lang="en-US" sz="900">
              <a:solidFill>
                <a:schemeClr val="tx1"/>
              </a:solidFill>
              <a:effectLst/>
              <a:latin typeface="Arial" panose="020B0604020202020204" pitchFamily="34" charset="0"/>
              <a:ea typeface="+mn-ea"/>
              <a:cs typeface="Arial" panose="020B0604020202020204" pitchFamily="34" charset="0"/>
            </a:rPr>
            <a:t>Limited License.  </a:t>
          </a:r>
        </a:p>
        <a:p>
          <a:r>
            <a:rPr lang="en-US" sz="900">
              <a:solidFill>
                <a:schemeClr val="tx1"/>
              </a:solidFill>
              <a:effectLst/>
              <a:latin typeface="Arial" panose="020B0604020202020204" pitchFamily="34" charset="0"/>
              <a:ea typeface="+mn-ea"/>
              <a:cs typeface="Arial" panose="020B0604020202020204" pitchFamily="34" charset="0"/>
            </a:rPr>
            <a:t> </a:t>
          </a:r>
        </a:p>
        <a:p>
          <a:r>
            <a:rPr lang="en-US" sz="900">
              <a:solidFill>
                <a:schemeClr val="tx1"/>
              </a:solidFill>
              <a:effectLst/>
              <a:latin typeface="Arial" panose="020B0604020202020204" pitchFamily="34" charset="0"/>
              <a:ea typeface="+mn-ea"/>
              <a:cs typeface="Arial" panose="020B0604020202020204" pitchFamily="34" charset="0"/>
            </a:rPr>
            <a:t>Texas Instruments Incorporated grants a world-wide, royalty-free, non-exclusive license under copyrights and patents it now or hereafter owns or controls to make, have made, use, import, offer to sell and sell ("Utilize") this software subject to the terms herein.  With respect to the foregoing patent license, such license is granted  solely to the extent that any such patent is necessary to Utilize the software alone.  The patent license shall not apply to any combinations which include this software, other than combinations with devices manufactured by or for TI (“TI Devices”).  No hardware patent is licensed hereunder.</a:t>
          </a:r>
        </a:p>
        <a:p>
          <a:r>
            <a:rPr lang="en-US" sz="900">
              <a:solidFill>
                <a:schemeClr val="tx1"/>
              </a:solidFill>
              <a:effectLst/>
              <a:latin typeface="Arial" panose="020B0604020202020204" pitchFamily="34" charset="0"/>
              <a:ea typeface="+mn-ea"/>
              <a:cs typeface="Arial" panose="020B0604020202020204" pitchFamily="34" charset="0"/>
            </a:rPr>
            <a:t> </a:t>
          </a:r>
        </a:p>
        <a:p>
          <a:r>
            <a:rPr lang="en-US" sz="900">
              <a:solidFill>
                <a:schemeClr val="tx1"/>
              </a:solidFill>
              <a:effectLst/>
              <a:latin typeface="Arial" panose="020B0604020202020204" pitchFamily="34" charset="0"/>
              <a:ea typeface="+mn-ea"/>
              <a:cs typeface="Arial" panose="020B0604020202020204" pitchFamily="34" charset="0"/>
            </a:rPr>
            <a:t>Redistributions must preserve existing copyright notices and reproduce this license (including the above copyright notice and the disclaimer and (if applicable) source code license limitations below) in the documentation and/or other materials provided with the distribution</a:t>
          </a:r>
        </a:p>
        <a:p>
          <a:r>
            <a:rPr lang="en-US" sz="900">
              <a:solidFill>
                <a:schemeClr val="tx1"/>
              </a:solidFill>
              <a:effectLst/>
              <a:latin typeface="Arial" panose="020B0604020202020204" pitchFamily="34" charset="0"/>
              <a:ea typeface="+mn-ea"/>
              <a:cs typeface="Arial" panose="020B0604020202020204" pitchFamily="34" charset="0"/>
            </a:rPr>
            <a:t> </a:t>
          </a:r>
        </a:p>
        <a:p>
          <a:r>
            <a:rPr lang="en-US" sz="900">
              <a:solidFill>
                <a:schemeClr val="tx1"/>
              </a:solidFill>
              <a:effectLst/>
              <a:latin typeface="Arial" panose="020B0604020202020204" pitchFamily="34" charset="0"/>
              <a:ea typeface="+mn-ea"/>
              <a:cs typeface="Arial" panose="020B0604020202020204" pitchFamily="34" charset="0"/>
            </a:rPr>
            <a:t>Redistribution and use in binary form, without modification, are permitted provided that the following conditions are met:</a:t>
          </a:r>
        </a:p>
        <a:p>
          <a:r>
            <a:rPr lang="en-US" sz="900">
              <a:solidFill>
                <a:schemeClr val="tx1"/>
              </a:solidFill>
              <a:effectLst/>
              <a:latin typeface="Arial" panose="020B0604020202020204" pitchFamily="34" charset="0"/>
              <a:ea typeface="+mn-ea"/>
              <a:cs typeface="Arial" panose="020B0604020202020204" pitchFamily="34" charset="0"/>
            </a:rPr>
            <a:t>*	No reverse engineering, decompilation, or disassembly of this software is permitted with respect to any software provided in binary form. </a:t>
          </a:r>
        </a:p>
        <a:p>
          <a:r>
            <a:rPr lang="en-US" sz="900">
              <a:solidFill>
                <a:schemeClr val="tx1"/>
              </a:solidFill>
              <a:effectLst/>
              <a:latin typeface="Arial" panose="020B0604020202020204" pitchFamily="34" charset="0"/>
              <a:ea typeface="+mn-ea"/>
              <a:cs typeface="Arial" panose="020B0604020202020204" pitchFamily="34" charset="0"/>
            </a:rPr>
            <a:t>*	Any redistribution and use are licensed by TI for use only with TI Devices.</a:t>
          </a:r>
        </a:p>
        <a:p>
          <a:r>
            <a:rPr lang="en-US" sz="900">
              <a:solidFill>
                <a:schemeClr val="tx1"/>
              </a:solidFill>
              <a:effectLst/>
              <a:latin typeface="Arial" panose="020B0604020202020204" pitchFamily="34" charset="0"/>
              <a:ea typeface="+mn-ea"/>
              <a:cs typeface="Arial" panose="020B0604020202020204" pitchFamily="34" charset="0"/>
            </a:rPr>
            <a:t>*	Nothing shall obligate TI to provide you with source code for the software licensed and provided to you in object code.</a:t>
          </a:r>
        </a:p>
        <a:p>
          <a:r>
            <a:rPr lang="en-US" sz="900">
              <a:solidFill>
                <a:schemeClr val="tx1"/>
              </a:solidFill>
              <a:effectLst/>
              <a:latin typeface="Arial" panose="020B0604020202020204" pitchFamily="34" charset="0"/>
              <a:ea typeface="+mn-ea"/>
              <a:cs typeface="Arial" panose="020B0604020202020204" pitchFamily="34" charset="0"/>
            </a:rPr>
            <a:t> </a:t>
          </a:r>
        </a:p>
        <a:p>
          <a:r>
            <a:rPr lang="en-US" sz="900">
              <a:solidFill>
                <a:schemeClr val="tx1"/>
              </a:solidFill>
              <a:effectLst/>
              <a:latin typeface="Arial" panose="020B0604020202020204" pitchFamily="34" charset="0"/>
              <a:ea typeface="+mn-ea"/>
              <a:cs typeface="Arial" panose="020B0604020202020204" pitchFamily="34" charset="0"/>
            </a:rPr>
            <a:t>If software source code is provided to you, modification and redistribution of the source code are permitted provided that the following conditions are met:</a:t>
          </a:r>
        </a:p>
        <a:p>
          <a:r>
            <a:rPr lang="en-US" sz="900">
              <a:solidFill>
                <a:schemeClr val="tx1"/>
              </a:solidFill>
              <a:effectLst/>
              <a:latin typeface="Arial" panose="020B0604020202020204" pitchFamily="34" charset="0"/>
              <a:ea typeface="+mn-ea"/>
              <a:cs typeface="Arial" panose="020B0604020202020204" pitchFamily="34" charset="0"/>
            </a:rPr>
            <a:t>*	Any redistribution and use of the source code, including any resulting derivative works, are licensed by TI for use only with TI Devices.</a:t>
          </a:r>
        </a:p>
        <a:p>
          <a:r>
            <a:rPr lang="en-US" sz="900">
              <a:solidFill>
                <a:schemeClr val="tx1"/>
              </a:solidFill>
              <a:effectLst/>
              <a:latin typeface="Arial" panose="020B0604020202020204" pitchFamily="34" charset="0"/>
              <a:ea typeface="+mn-ea"/>
              <a:cs typeface="Arial" panose="020B0604020202020204" pitchFamily="34" charset="0"/>
            </a:rPr>
            <a:t>*	Any redistribution and use of any object code compiled from the source code and any resulting derivative works, are licensed by TI for use only with TI Devices.</a:t>
          </a:r>
        </a:p>
        <a:p>
          <a:endParaRPr lang="en-US" sz="900">
            <a:solidFill>
              <a:schemeClr val="tx1"/>
            </a:solidFill>
            <a:effectLst/>
            <a:latin typeface="Arial" panose="020B0604020202020204" pitchFamily="34" charset="0"/>
            <a:ea typeface="+mn-ea"/>
            <a:cs typeface="Arial" panose="020B0604020202020204" pitchFamily="34" charset="0"/>
          </a:endParaRPr>
        </a:p>
        <a:p>
          <a:r>
            <a:rPr lang="en-US" sz="900">
              <a:solidFill>
                <a:schemeClr val="tx1"/>
              </a:solidFill>
              <a:effectLst/>
              <a:latin typeface="Arial" panose="020B0604020202020204" pitchFamily="34" charset="0"/>
              <a:ea typeface="+mn-ea"/>
              <a:cs typeface="Arial" panose="020B0604020202020204" pitchFamily="34" charset="0"/>
            </a:rPr>
            <a:t>Neither the name of Texas Instruments Incorporated nor the names of its suppliers may be used to endorse or promote products derived from this software without specific prior written permission.</a:t>
          </a:r>
          <a:endParaRPr lang="en-US" sz="1000" b="1">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1000" baseline="0">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latin typeface="Arial" panose="020B0604020202020204" pitchFamily="34" charset="0"/>
              <a:cs typeface="Arial" panose="020B0604020202020204" pitchFamily="34" charset="0"/>
            </a:rPr>
            <a:t>DISCLAMER:</a:t>
          </a:r>
        </a:p>
        <a:p>
          <a:pPr marL="0" marR="0" indent="0" defTabSz="914400" eaLnBrk="1" fontAlgn="auto" latinLnBrk="0" hangingPunct="1">
            <a:lnSpc>
              <a:spcPct val="100000"/>
            </a:lnSpc>
            <a:spcBef>
              <a:spcPts val="0"/>
            </a:spcBef>
            <a:spcAft>
              <a:spcPts val="0"/>
            </a:spcAft>
            <a:buClrTx/>
            <a:buSzTx/>
            <a:buFontTx/>
            <a:buNone/>
            <a:tabLst/>
            <a:defRPr/>
          </a:pPr>
          <a:r>
            <a:rPr lang="en-US" sz="800" baseline="0">
              <a:latin typeface="Arial" panose="020B0604020202020204" pitchFamily="34" charset="0"/>
              <a:cs typeface="Arial" panose="020B0604020202020204" pitchFamily="34" charset="0"/>
            </a:rPr>
            <a:t>THIS SOFTWARE IS PROVIDED BY TI AND TI’S LICENSORS "AS IS" AND ANY EXPRESS OR IMPLIED WARRANTIES, INCLUDING, BUT NOT LIMITED TO, THE IMPLIED WARRANTIES OF MERCHANTABILITY AND FITNESS FOR A PARTICULAR PURPOSE ARE DISCLAIMED. IN NO EVENT SHALL TI AND TI’S LICENSORS BE LIABLE FOR ANY DIRECT, INDIRECT, INCIDENTAL, SPECIAL, EXEMPLARY, OR CONSEQUENTIAL DAMAGES (INCLUDING, BUT NOT LIMITED TO, PROCUREMENT OF SUBSTITUTE GOODS OR SERVICES; LOSS OF USE, DATA, OR PROFITS; OR BUSINESS INTERRUPTION) HOWEVER CAUSED AND ON ANY THEORY OF LIABILITY, WHETHER IN CONTRACT, STRICT LIABILITY, OR TORT (INCLUDING NEGLIGENCE OR OTHERWISE) ARISING IN ANY WAY OUT OF THE USE OF THIS SOFTWARE, EVEN IF ADVISED OF THE POSSIBILITY OF SUCH DAMAGE.</a:t>
          </a:r>
        </a:p>
      </xdr:txBody>
    </xdr:sp>
    <xdr:clientData/>
  </xdr:oneCellAnchor>
  <xdr:oneCellAnchor>
    <xdr:from>
      <xdr:col>0</xdr:col>
      <xdr:colOff>95247</xdr:colOff>
      <xdr:row>29</xdr:row>
      <xdr:rowOff>47623</xdr:rowOff>
    </xdr:from>
    <xdr:ext cx="11229977" cy="809627"/>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95247" y="5276848"/>
          <a:ext cx="11229977" cy="809627"/>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solidFill>
                <a:schemeClr val="tx1"/>
              </a:solidFill>
              <a:effectLst/>
              <a:latin typeface="+mn-lt"/>
              <a:ea typeface="+mn-ea"/>
              <a:cs typeface="+mn-cs"/>
            </a:rPr>
            <a:t>IMPORTANT</a:t>
          </a:r>
          <a:r>
            <a:rPr lang="en-US" sz="1100" b="1" baseline="0">
              <a:solidFill>
                <a:schemeClr val="tx1"/>
              </a:solidFill>
              <a:effectLst/>
              <a:latin typeface="+mn-lt"/>
              <a:ea typeface="+mn-ea"/>
              <a:cs typeface="+mn-cs"/>
            </a:rPr>
            <a:t>:   </a:t>
          </a:r>
          <a:endParaRPr lang="en-US" sz="800">
            <a:effectLst/>
          </a:endParaRPr>
        </a:p>
        <a:p>
          <a:r>
            <a:rPr lang="en-US" sz="1100" baseline="0">
              <a:solidFill>
                <a:schemeClr val="tx1"/>
              </a:solidFill>
              <a:effectLst/>
              <a:latin typeface="+mn-lt"/>
              <a:ea typeface="+mn-ea"/>
              <a:cs typeface="+mn-cs"/>
            </a:rPr>
            <a:t>1.  Do not delete this worksheet!</a:t>
          </a:r>
          <a:endParaRPr lang="en-US" sz="800">
            <a:effectLst/>
          </a:endParaRPr>
        </a:p>
        <a:p>
          <a:pPr eaLnBrk="1" fontAlgn="auto" latinLnBrk="0" hangingPunct="1"/>
          <a:r>
            <a:rPr lang="en-US" sz="1100" baseline="0">
              <a:solidFill>
                <a:schemeClr val="tx1"/>
              </a:solidFill>
              <a:effectLst/>
              <a:latin typeface="+mn-lt"/>
              <a:ea typeface="+mn-ea"/>
              <a:cs typeface="+mn-cs"/>
            </a:rPr>
            <a:t>2.  Redistributions must retain the above copyright and the following disclaimer.</a:t>
          </a:r>
          <a:endParaRPr lang="en-US" sz="800">
            <a:effectLst/>
          </a:endParaRPr>
        </a:p>
        <a:p>
          <a:endParaRPr lang="en-US" sz="800" baseline="0">
            <a:latin typeface="Arial" panose="020B0604020202020204" pitchFamily="34" charset="0"/>
            <a:cs typeface="Arial" panose="020B0604020202020204" pitchFamily="34" charset="0"/>
          </a:endParaRPr>
        </a:p>
      </xdr:txBody>
    </xdr:sp>
    <xdr:clientData/>
  </xdr:oneCellAnchor>
  <xdr:twoCellAnchor editAs="oneCell">
    <xdr:from>
      <xdr:col>0</xdr:col>
      <xdr:colOff>0</xdr:colOff>
      <xdr:row>0</xdr:row>
      <xdr:rowOff>152400</xdr:rowOff>
    </xdr:from>
    <xdr:to>
      <xdr:col>1</xdr:col>
      <xdr:colOff>592455</xdr:colOff>
      <xdr:row>2</xdr:row>
      <xdr:rowOff>93296</xdr:rowOff>
    </xdr:to>
    <xdr:pic>
      <xdr:nvPicPr>
        <xdr:cNvPr id="7" name="Picture 6" descr="ti logo">
          <a:hlinkClick xmlns:r="http://schemas.openxmlformats.org/officeDocument/2006/relationships" r:id="rId1"/>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2400"/>
          <a:ext cx="2306955" cy="3028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200025</xdr:colOff>
      <xdr:row>0</xdr:row>
      <xdr:rowOff>114300</xdr:rowOff>
    </xdr:from>
    <xdr:ext cx="3752850" cy="381708"/>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914525" y="114300"/>
          <a:ext cx="3752850" cy="381708"/>
        </a:xfrm>
        <a:prstGeom prst="rect">
          <a:avLst/>
        </a:prstGeom>
        <a:noFill/>
        <a:ln>
          <a:noFill/>
        </a:ln>
        <a:effectLst/>
      </xdr:spPr>
      <xdr:txBody>
        <a:bodyPr vertOverflow="clip" horzOverflow="clip" wrap="square" rtlCol="0" anchor="t">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Arial Black" panose="020B0A04020102020204" pitchFamily="34" charset="0"/>
              <a:ea typeface="+mn-ea"/>
              <a:cs typeface="+mn-cs"/>
            </a:rPr>
            <a:t>About this tool...</a:t>
          </a:r>
        </a:p>
      </xdr:txBody>
    </xdr:sp>
    <xdr:clientData/>
  </xdr:oneCellAnchor>
  <xdr:oneCellAnchor>
    <xdr:from>
      <xdr:col>3</xdr:col>
      <xdr:colOff>323850</xdr:colOff>
      <xdr:row>1</xdr:row>
      <xdr:rowOff>28575</xdr:rowOff>
    </xdr:from>
    <xdr:ext cx="4719497" cy="254557"/>
    <xdr:sp macro="" textlink="">
      <xdr:nvSpPr>
        <xdr:cNvPr id="9" name="TextBox 8">
          <a:hlinkClick xmlns:r="http://schemas.openxmlformats.org/officeDocument/2006/relationships" r:id="rId3"/>
          <a:extLst>
            <a:ext uri="{FF2B5EF4-FFF2-40B4-BE49-F238E27FC236}">
              <a16:creationId xmlns:a16="http://schemas.microsoft.com/office/drawing/2014/main" id="{00000000-0008-0000-0100-000009000000}"/>
            </a:ext>
          </a:extLst>
        </xdr:cNvPr>
        <xdr:cNvSpPr txBox="1"/>
      </xdr:nvSpPr>
      <xdr:spPr>
        <a:xfrm>
          <a:off x="6419850" y="209550"/>
          <a:ext cx="4719497" cy="254557"/>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hlinkClick xmlns:r="http://schemas.openxmlformats.org/officeDocument/2006/relationships" r:id=""/>
            </a:rPr>
            <a:t>© Copyright 2021</a:t>
          </a:r>
          <a:r>
            <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Texas Instruments Incorporated. All rights reserved.</a:t>
          </a:r>
        </a:p>
      </xdr:txBody>
    </xdr:sp>
    <xdr:clientData/>
  </xdr:oneCellAnchor>
  <xdr:oneCellAnchor>
    <xdr:from>
      <xdr:col>0</xdr:col>
      <xdr:colOff>95247</xdr:colOff>
      <xdr:row>6</xdr:row>
      <xdr:rowOff>47623</xdr:rowOff>
    </xdr:from>
    <xdr:ext cx="11229977" cy="4086227"/>
    <xdr:sp macro="" textlink="">
      <xdr:nvSpPr>
        <xdr:cNvPr id="10" name="TextBox 9">
          <a:extLst>
            <a:ext uri="{FF2B5EF4-FFF2-40B4-BE49-F238E27FC236}">
              <a16:creationId xmlns:a16="http://schemas.microsoft.com/office/drawing/2014/main" id="{00000000-0008-0000-0100-00000A000000}"/>
            </a:ext>
          </a:extLst>
        </xdr:cNvPr>
        <xdr:cNvSpPr txBox="1"/>
      </xdr:nvSpPr>
      <xdr:spPr>
        <a:xfrm>
          <a:off x="95247" y="1114423"/>
          <a:ext cx="11229977" cy="4086227"/>
        </a:xfrm>
        <a:prstGeom prst="rect">
          <a:avLst/>
        </a:prstGeom>
        <a:solidFill>
          <a:sysClr val="window" lastClr="FFFFFF">
            <a:lumMod val="85000"/>
          </a:sysClr>
        </a:solid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LICENSE INFORMATION:</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Copyright (c) 2021 Texas Instruments Incorporated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All rights reserved not granted herein.</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Limited License.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Texas Instruments Incorporated grants a world-wide, royalty-free, non-exclusive license under copyrights and patents it now or hereafter owns or controls to make, have made, use, import, offer to sell and sell ("Utilize") this software subject to the terms herein.  With respect to the foregoing patent license, such license is granted  solely to the extent that any such patent is necessary to Utilize the software alone.  The patent license shall not apply to any combinations which include this software, other than combinations with devices manufactured by or for TI (“TI Devices”).  No hardware patent is licensed hereunder.</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Redistributions must preserve existing copyright notices and reproduce this license (including the above copyright notice and the disclaimer and (if applicable) source code license limitations below) in the documentation and/or other materials provided with the distribution</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Redistribution and use in binary form, without modification, are permitted provided that the following conditions are met: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No reverse engineering, decompilation, or disassembly of this software is permitted with respect to any software provided in binary form.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Any redistribution and use are licensed by TI for use only with TI Devices.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Nothing shall obligate TI to provide you with source code for the software licensed and provided to you in object code.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If software source code is provided to you, modification and redistribution of the source code are permitted provided that the following conditions are met: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Any redistribution and use of the source code, including any resulting derivative works, are licensed by TI for use only with TI Devices.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Any redistribution and use of any object code compiled from the source code and any resulting derivative works, are licensed by TI for use only with TI Devices.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Neither the name of Texas Instruments Incorporated nor the names of its suppliers may be used to endorse or promote products derived from this software without specific prior written permission.</a:t>
          </a:r>
          <a:endParaRPr kumimoji="0" lang="en-US" sz="1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DISCLAMER:</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THIS SOFTWARE IS PROVIDED BY TI AND TI’S LICENSORS "AS IS" AND ANY EXPRESS OR IMPLIED WARRANTIES, INCLUDING, BUT NOT LIMITED TO, THE IMPLIED WARRANTIES OF MERCHANTABILITY AND FITNESS FOR A PARTICULAR PURPOSE ARE DISCLAIMED. IN NO EVENT SHALL TI AND TI’S LICENSORS BE LIABLE FOR ANY DIRECT, INDIRECT, INCIDENTAL, SPECIAL, EXEMPLARY, OR CONSEQUENTIAL DAMAGES (INCLUDING, BUT NOT LIMITED TO, PROCUREMENT OF SUBSTITUTE GOODS OR SERVICES; LOSS OF USE, DATA, OR PROFITS; OR BUSINESS INTERRUPTION) HOWEVER CAUSED AND ON ANY THEORY OF LIABILITY, WHETHER IN CONTRACT, STRICT LIABILITY, OR TORT (INCLUDING NEGLIGENCE OR OTHERWISE) ARISING IN ANY WAY OUT OF THE USE OF THIS SOFTWARE, EVEN IF ADVISED OF THE POSSIBILITY OF SUCH DAMAGE.</a:t>
          </a:r>
        </a:p>
      </xdr:txBody>
    </xdr:sp>
    <xdr:clientData/>
  </xdr:oneCellAnchor>
  <xdr:oneCellAnchor>
    <xdr:from>
      <xdr:col>0</xdr:col>
      <xdr:colOff>95247</xdr:colOff>
      <xdr:row>29</xdr:row>
      <xdr:rowOff>47623</xdr:rowOff>
    </xdr:from>
    <xdr:ext cx="11229977" cy="809627"/>
    <xdr:sp macro="" textlink="">
      <xdr:nvSpPr>
        <xdr:cNvPr id="11" name="TextBox 10">
          <a:extLst>
            <a:ext uri="{FF2B5EF4-FFF2-40B4-BE49-F238E27FC236}">
              <a16:creationId xmlns:a16="http://schemas.microsoft.com/office/drawing/2014/main" id="{00000000-0008-0000-0100-00000B000000}"/>
            </a:ext>
          </a:extLst>
        </xdr:cNvPr>
        <xdr:cNvSpPr txBox="1"/>
      </xdr:nvSpPr>
      <xdr:spPr>
        <a:xfrm>
          <a:off x="95247" y="5276848"/>
          <a:ext cx="11229977" cy="809627"/>
        </a:xfrm>
        <a:prstGeom prst="rect">
          <a:avLst/>
        </a:prstGeom>
        <a:solidFill>
          <a:sysClr val="window" lastClr="FFFFFF">
            <a:lumMod val="95000"/>
          </a:sysClr>
        </a:solid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a:ea typeface="+mn-ea"/>
              <a:cs typeface="+mn-cs"/>
            </a:rPr>
            <a:t>IMPORTANT:   </a:t>
          </a:r>
          <a:endParaRPr kumimoji="0" lang="en-US" sz="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1.  Do not delete this worksheet!</a:t>
          </a:r>
          <a:endParaRPr kumimoji="0" lang="en-US" sz="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2.  Redistributions must retain the above copyright and the following disclaimer.</a:t>
          </a:r>
          <a:endParaRPr kumimoji="0" lang="en-US" sz="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59871</xdr:colOff>
          <xdr:row>129</xdr:row>
          <xdr:rowOff>136071</xdr:rowOff>
        </xdr:from>
        <xdr:to>
          <xdr:col>13</xdr:col>
          <xdr:colOff>157843</xdr:colOff>
          <xdr:row>132</xdr:row>
          <xdr:rowOff>21771</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8</xdr:col>
      <xdr:colOff>842683</xdr:colOff>
      <xdr:row>242</xdr:row>
      <xdr:rowOff>17930</xdr:rowOff>
    </xdr:from>
    <xdr:to>
      <xdr:col>14</xdr:col>
      <xdr:colOff>475130</xdr:colOff>
      <xdr:row>250</xdr:row>
      <xdr:rowOff>0</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9798424" y="23523389"/>
          <a:ext cx="3541059" cy="13357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Loop</a:t>
          </a:r>
          <a:r>
            <a:rPr lang="en-US" sz="1100" baseline="0"/>
            <a:t> compensation is calculated for the minimum input voltage. This ensure stability over the input votlage range</a:t>
          </a:r>
          <a:endParaRPr lang="en-US" sz="1100"/>
        </a:p>
      </xdr:txBody>
    </xdr:sp>
    <xdr:clientData/>
  </xdr:twoCellAnchor>
  <xdr:twoCellAnchor editAs="oneCell">
    <xdr:from>
      <xdr:col>8</xdr:col>
      <xdr:colOff>842683</xdr:colOff>
      <xdr:row>50</xdr:row>
      <xdr:rowOff>62753</xdr:rowOff>
    </xdr:from>
    <xdr:to>
      <xdr:col>12</xdr:col>
      <xdr:colOff>447547</xdr:colOff>
      <xdr:row>53</xdr:row>
      <xdr:rowOff>88800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9798424" y="6553200"/>
          <a:ext cx="2392888" cy="563929"/>
        </a:xfrm>
        <a:prstGeom prst="rect">
          <a:avLst/>
        </a:prstGeom>
      </xdr:spPr>
    </xdr:pic>
    <xdr:clientData/>
  </xdr:twoCellAnchor>
  <xdr:twoCellAnchor editAs="oneCell">
    <xdr:from>
      <xdr:col>9</xdr:col>
      <xdr:colOff>0</xdr:colOff>
      <xdr:row>62</xdr:row>
      <xdr:rowOff>0</xdr:rowOff>
    </xdr:from>
    <xdr:to>
      <xdr:col>14</xdr:col>
      <xdr:colOff>721</xdr:colOff>
      <xdr:row>66</xdr:row>
      <xdr:rowOff>31893</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9816353" y="7395882"/>
          <a:ext cx="3147333" cy="7849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14</xdr:col>
      <xdr:colOff>1051560</xdr:colOff>
      <xdr:row>49</xdr:row>
      <xdr:rowOff>45720</xdr:rowOff>
    </xdr:from>
    <xdr:to>
      <xdr:col>25</xdr:col>
      <xdr:colOff>563880</xdr:colOff>
      <xdr:row>73</xdr:row>
      <xdr:rowOff>19050</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252153</xdr:colOff>
      <xdr:row>49</xdr:row>
      <xdr:rowOff>50916</xdr:rowOff>
    </xdr:from>
    <xdr:to>
      <xdr:col>38</xdr:col>
      <xdr:colOff>290945</xdr:colOff>
      <xdr:row>73</xdr:row>
      <xdr:rowOff>24247</xdr:rowOff>
    </xdr:to>
    <xdr:graphicFrame macro="">
      <xdr:nvGraphicFramePr>
        <xdr:cNvPr id="5" name="Chart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1036494</xdr:colOff>
      <xdr:row>20</xdr:row>
      <xdr:rowOff>65809</xdr:rowOff>
    </xdr:from>
    <xdr:to>
      <xdr:col>33</xdr:col>
      <xdr:colOff>315191</xdr:colOff>
      <xdr:row>49</xdr:row>
      <xdr:rowOff>1</xdr:rowOff>
    </xdr:to>
    <xdr:graphicFrame macro="">
      <xdr:nvGraphicFramePr>
        <xdr:cNvPr id="7" name="Chart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14</xdr:col>
      <xdr:colOff>1051560</xdr:colOff>
      <xdr:row>49</xdr:row>
      <xdr:rowOff>45720</xdr:rowOff>
    </xdr:from>
    <xdr:to>
      <xdr:col>25</xdr:col>
      <xdr:colOff>563880</xdr:colOff>
      <xdr:row>73</xdr:row>
      <xdr:rowOff>19050</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32</xdr:col>
      <xdr:colOff>186690</xdr:colOff>
      <xdr:row>39</xdr:row>
      <xdr:rowOff>167640</xdr:rowOff>
    </xdr:from>
    <xdr:to>
      <xdr:col>34</xdr:col>
      <xdr:colOff>515247</xdr:colOff>
      <xdr:row>45</xdr:row>
      <xdr:rowOff>69934</xdr:rowOff>
    </xdr:to>
    <xdr:pic>
      <xdr:nvPicPr>
        <xdr:cNvPr id="7" name="Picture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21541740" y="5482590"/>
          <a:ext cx="1840230" cy="1045293"/>
        </a:xfrm>
        <a:prstGeom prst="rect">
          <a:avLst/>
        </a:prstGeom>
      </xdr:spPr>
    </xdr:pic>
    <xdr:clientData/>
  </xdr:twoCellAnchor>
  <xdr:twoCellAnchor editAs="oneCell">
    <xdr:from>
      <xdr:col>34</xdr:col>
      <xdr:colOff>247650</xdr:colOff>
      <xdr:row>40</xdr:row>
      <xdr:rowOff>60960</xdr:rowOff>
    </xdr:from>
    <xdr:to>
      <xdr:col>38</xdr:col>
      <xdr:colOff>567929</xdr:colOff>
      <xdr:row>44</xdr:row>
      <xdr:rowOff>129612</xdr:rowOff>
    </xdr:to>
    <xdr:pic>
      <xdr:nvPicPr>
        <xdr:cNvPr id="8" name="Picture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3"/>
        <a:stretch>
          <a:fillRect/>
        </a:stretch>
      </xdr:blipFill>
      <xdr:spPr>
        <a:xfrm>
          <a:off x="23888700" y="5566410"/>
          <a:ext cx="2758679" cy="830649"/>
        </a:xfrm>
        <a:prstGeom prst="rect">
          <a:avLst/>
        </a:prstGeom>
      </xdr:spPr>
    </xdr:pic>
    <xdr:clientData/>
  </xdr:twoCellAnchor>
  <xdr:twoCellAnchor>
    <xdr:from>
      <xdr:col>31</xdr:col>
      <xdr:colOff>30480</xdr:colOff>
      <xdr:row>49</xdr:row>
      <xdr:rowOff>64770</xdr:rowOff>
    </xdr:from>
    <xdr:to>
      <xdr:col>42</xdr:col>
      <xdr:colOff>144780</xdr:colOff>
      <xdr:row>73</xdr:row>
      <xdr:rowOff>38100</xdr:rowOff>
    </xdr:to>
    <xdr:graphicFrame macro="">
      <xdr:nvGraphicFramePr>
        <xdr:cNvPr id="9" name="Chart 8">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7620</xdr:colOff>
      <xdr:row>21</xdr:row>
      <xdr:rowOff>121920</xdr:rowOff>
    </xdr:from>
    <xdr:to>
      <xdr:col>26</xdr:col>
      <xdr:colOff>45720</xdr:colOff>
      <xdr:row>45</xdr:row>
      <xdr:rowOff>80010</xdr:rowOff>
    </xdr:to>
    <xdr:graphicFrame macro="">
      <xdr:nvGraphicFramePr>
        <xdr:cNvPr id="10" name="Chart 9">
          <a:extLst>
            <a:ext uri="{FF2B5EF4-FFF2-40B4-BE49-F238E27FC236}">
              <a16:creationId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22</xdr:row>
      <xdr:rowOff>147917</xdr:rowOff>
    </xdr:from>
    <xdr:to>
      <xdr:col>13</xdr:col>
      <xdr:colOff>397584</xdr:colOff>
      <xdr:row>49</xdr:row>
      <xdr:rowOff>125762</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53</xdr:row>
      <xdr:rowOff>0</xdr:rowOff>
    </xdr:from>
    <xdr:to>
      <xdr:col>13</xdr:col>
      <xdr:colOff>397584</xdr:colOff>
      <xdr:row>79</xdr:row>
      <xdr:rowOff>157954</xdr:rowOff>
    </xdr:to>
    <xdr:graphicFrame macro="">
      <xdr:nvGraphicFramePr>
        <xdr:cNvPr id="4" name="Chart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82</xdr:row>
      <xdr:rowOff>0</xdr:rowOff>
    </xdr:from>
    <xdr:to>
      <xdr:col>13</xdr:col>
      <xdr:colOff>397584</xdr:colOff>
      <xdr:row>108</xdr:row>
      <xdr:rowOff>157953</xdr:rowOff>
    </xdr:to>
    <xdr:graphicFrame macro="">
      <xdr:nvGraphicFramePr>
        <xdr:cNvPr id="5" name="Chart 4">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548640</xdr:colOff>
      <xdr:row>10</xdr:row>
      <xdr:rowOff>0</xdr:rowOff>
    </xdr:from>
    <xdr:to>
      <xdr:col>12</xdr:col>
      <xdr:colOff>449580</xdr:colOff>
      <xdr:row>12</xdr:row>
      <xdr:rowOff>123546</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7269480" y="1638300"/>
          <a:ext cx="2948940" cy="489306"/>
        </a:xfrm>
        <a:prstGeom prst="rect">
          <a:avLst/>
        </a:prstGeom>
      </xdr:spPr>
    </xdr:pic>
    <xdr:clientData/>
  </xdr:twoCellAnchor>
  <xdr:twoCellAnchor editAs="oneCell">
    <xdr:from>
      <xdr:col>8</xdr:col>
      <xdr:colOff>7620</xdr:colOff>
      <xdr:row>14</xdr:row>
      <xdr:rowOff>132742</xdr:rowOff>
    </xdr:from>
    <xdr:to>
      <xdr:col>13</xdr:col>
      <xdr:colOff>350520</xdr:colOff>
      <xdr:row>18</xdr:row>
      <xdr:rowOff>76286</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7338060" y="2502562"/>
          <a:ext cx="3390900" cy="675064"/>
        </a:xfrm>
        <a:prstGeom prst="rect">
          <a:avLst/>
        </a:prstGeom>
      </xdr:spPr>
    </xdr:pic>
    <xdr:clientData/>
  </xdr:twoCellAnchor>
  <xdr:twoCellAnchor editAs="oneCell">
    <xdr:from>
      <xdr:col>9</xdr:col>
      <xdr:colOff>129540</xdr:colOff>
      <xdr:row>24</xdr:row>
      <xdr:rowOff>0</xdr:rowOff>
    </xdr:from>
    <xdr:to>
      <xdr:col>13</xdr:col>
      <xdr:colOff>76200</xdr:colOff>
      <xdr:row>32</xdr:row>
      <xdr:rowOff>45369</xdr:rowOff>
    </xdr:to>
    <xdr:pic>
      <xdr:nvPicPr>
        <xdr:cNvPr id="4" name="Picture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69580" y="4198620"/>
          <a:ext cx="2385060" cy="152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625927</xdr:colOff>
      <xdr:row>2</xdr:row>
      <xdr:rowOff>0</xdr:rowOff>
    </xdr:from>
    <xdr:to>
      <xdr:col>2</xdr:col>
      <xdr:colOff>9701892</xdr:colOff>
      <xdr:row>3</xdr:row>
      <xdr:rowOff>0</xdr:rowOff>
    </xdr:to>
    <xdr:graphicFrame macro="">
      <xdr:nvGraphicFramePr>
        <xdr:cNvPr id="4" name="Chart 3">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31103</xdr:colOff>
      <xdr:row>5</xdr:row>
      <xdr:rowOff>23328</xdr:rowOff>
    </xdr:from>
    <xdr:to>
      <xdr:col>3</xdr:col>
      <xdr:colOff>0</xdr:colOff>
      <xdr:row>5</xdr:row>
      <xdr:rowOff>4803322</xdr:rowOff>
    </xdr:to>
    <xdr:graphicFrame macro="">
      <xdr:nvGraphicFramePr>
        <xdr:cNvPr id="5" name="Chart 4">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625927</xdr:colOff>
      <xdr:row>8</xdr:row>
      <xdr:rowOff>0</xdr:rowOff>
    </xdr:from>
    <xdr:to>
      <xdr:col>2</xdr:col>
      <xdr:colOff>9701893</xdr:colOff>
      <xdr:row>8</xdr:row>
      <xdr:rowOff>4789714</xdr:rowOff>
    </xdr:to>
    <xdr:graphicFrame macro="">
      <xdr:nvGraphicFramePr>
        <xdr:cNvPr id="6" name="Chart 5">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9</xdr:col>
          <xdr:colOff>0</xdr:colOff>
          <xdr:row>2</xdr:row>
          <xdr:rowOff>0</xdr:rowOff>
        </xdr:from>
        <xdr:to>
          <xdr:col>27</xdr:col>
          <xdr:colOff>311243</xdr:colOff>
          <xdr:row>5</xdr:row>
          <xdr:rowOff>681746</xdr:rowOff>
        </xdr:to>
        <xdr:pic>
          <xdr:nvPicPr>
            <xdr:cNvPr id="7" name="Picture 8888">
              <a:extLst>
                <a:ext uri="{FF2B5EF4-FFF2-40B4-BE49-F238E27FC236}">
                  <a16:creationId xmlns:a16="http://schemas.microsoft.com/office/drawing/2014/main" id="{00000000-0008-0000-0700-000007000000}"/>
                </a:ext>
              </a:extLst>
            </xdr:cNvPr>
            <xdr:cNvPicPr>
              <a:picLocks noChangeAspect="1" noChangeArrowheads="1"/>
              <a:extLst>
                <a:ext uri="{84589F7E-364E-4C9E-8A38-B11213B215E9}">
                  <a14:cameraTool cellRange="display_eff" spid="_x0000_s16618"/>
                </a:ext>
              </a:extLst>
            </xdr:cNvPicPr>
          </xdr:nvPicPr>
          <xdr:blipFill>
            <a:blip xmlns:r="http://schemas.openxmlformats.org/officeDocument/2006/relationships" r:embed="rId4"/>
            <a:srcRect/>
            <a:stretch>
              <a:fillRect/>
            </a:stretch>
          </xdr:blipFill>
          <xdr:spPr bwMode="auto">
            <a:xfrm>
              <a:off x="15543244" y="365449"/>
              <a:ext cx="12067815" cy="5875787"/>
            </a:xfrm>
            <a:prstGeom prst="rect">
              <a:avLst/>
            </a:prstGeom>
            <a:noFill/>
            <a:ln w="15875">
              <a:noFill/>
              <a:miter lim="800000"/>
              <a:headEnd/>
              <a:tailEnd/>
            </a:ln>
            <a:extLst>
              <a:ext uri="{909E8E84-426E-40DD-AFC4-6F175D3DCCD1}">
                <a14:hiddenFill>
                  <a:solidFill>
                    <a:srgbClr val="FFFFFF" mc:Ignorable="a14" a14:legacySpreadsheetColorIndex="65"/>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xdr:col>
      <xdr:colOff>281750</xdr:colOff>
      <xdr:row>1</xdr:row>
      <xdr:rowOff>134469</xdr:rowOff>
    </xdr:from>
    <xdr:to>
      <xdr:col>1</xdr:col>
      <xdr:colOff>10245380</xdr:colOff>
      <xdr:row>2</xdr:row>
      <xdr:rowOff>4738487</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3</xdr:col>
          <xdr:colOff>76840</xdr:colOff>
          <xdr:row>2</xdr:row>
          <xdr:rowOff>384202</xdr:rowOff>
        </xdr:from>
        <xdr:to>
          <xdr:col>12</xdr:col>
          <xdr:colOff>593884</xdr:colOff>
          <xdr:row>2</xdr:row>
          <xdr:rowOff>2971159</xdr:rowOff>
        </xdr:to>
        <xdr:pic>
          <xdr:nvPicPr>
            <xdr:cNvPr id="6" name="Picture 5">
              <a:extLst>
                <a:ext uri="{FF2B5EF4-FFF2-40B4-BE49-F238E27FC236}">
                  <a16:creationId xmlns:a16="http://schemas.microsoft.com/office/drawing/2014/main" id="{00000000-0008-0000-0900-000006000000}"/>
                </a:ext>
              </a:extLst>
            </xdr:cNvPr>
            <xdr:cNvPicPr>
              <a:picLocks noChangeAspect="1" noChangeArrowheads="1"/>
              <a:extLst>
                <a:ext uri="{84589F7E-364E-4C9E-8A38-B11213B215E9}">
                  <a14:cameraTool cellRange="LoopLookup" spid="_x0000_s18672"/>
                </a:ext>
              </a:extLst>
            </xdr:cNvPicPr>
          </xdr:nvPicPr>
          <xdr:blipFill>
            <a:blip xmlns:r="http://schemas.openxmlformats.org/officeDocument/2006/relationships" r:embed="rId2"/>
            <a:srcRect/>
            <a:stretch>
              <a:fillRect/>
            </a:stretch>
          </xdr:blipFill>
          <xdr:spPr bwMode="auto">
            <a:xfrm>
              <a:off x="13690386" y="749194"/>
              <a:ext cx="6164809" cy="2586957"/>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0</xdr:colOff>
      <xdr:row>3</xdr:row>
      <xdr:rowOff>0</xdr:rowOff>
    </xdr:from>
    <xdr:to>
      <xdr:col>1</xdr:col>
      <xdr:colOff>10808874</xdr:colOff>
      <xdr:row>3</xdr:row>
      <xdr:rowOff>4386303</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8" Type="http://schemas.openxmlformats.org/officeDocument/2006/relationships/package" Target="../embeddings/Microsoft_Visio_Drawing2.vsdx"/><Relationship Id="rId13" Type="http://schemas.openxmlformats.org/officeDocument/2006/relationships/image" Target="../media/image20.emf"/><Relationship Id="rId3" Type="http://schemas.openxmlformats.org/officeDocument/2006/relationships/vmlDrawing" Target="../drawings/vmlDrawing8.vml"/><Relationship Id="rId7" Type="http://schemas.openxmlformats.org/officeDocument/2006/relationships/image" Target="../media/image17.emf"/><Relationship Id="rId12" Type="http://schemas.openxmlformats.org/officeDocument/2006/relationships/package" Target="../embeddings/Microsoft_Visio_Drawing4.vsdx"/><Relationship Id="rId2" Type="http://schemas.openxmlformats.org/officeDocument/2006/relationships/drawing" Target="../drawings/drawing10.xml"/><Relationship Id="rId1" Type="http://schemas.openxmlformats.org/officeDocument/2006/relationships/printerSettings" Target="../printerSettings/printerSettings8.bin"/><Relationship Id="rId6" Type="http://schemas.openxmlformats.org/officeDocument/2006/relationships/package" Target="../embeddings/Microsoft_Visio_Drawing1.vsdx"/><Relationship Id="rId11" Type="http://schemas.openxmlformats.org/officeDocument/2006/relationships/image" Target="../media/image19.emf"/><Relationship Id="rId5" Type="http://schemas.openxmlformats.org/officeDocument/2006/relationships/image" Target="../media/image16.emf"/><Relationship Id="rId15" Type="http://schemas.openxmlformats.org/officeDocument/2006/relationships/image" Target="../media/image21.emf"/><Relationship Id="rId10" Type="http://schemas.openxmlformats.org/officeDocument/2006/relationships/package" Target="../embeddings/Microsoft_Visio_Drawing3.vsdx"/><Relationship Id="rId4" Type="http://schemas.openxmlformats.org/officeDocument/2006/relationships/package" Target="../embeddings/Microsoft_Visio_Drawing.vsdx"/><Relationship Id="rId9" Type="http://schemas.openxmlformats.org/officeDocument/2006/relationships/image" Target="../media/image18.emf"/><Relationship Id="rId14" Type="http://schemas.openxmlformats.org/officeDocument/2006/relationships/package" Target="../embeddings/Microsoft_Visio_Drawing5.vsdx"/></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image" Target="../media/image8.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F123"/>
  <sheetViews>
    <sheetView tabSelected="1" topLeftCell="A49" zoomScale="110" zoomScaleNormal="110" workbookViewId="0">
      <selection activeCell="H87" sqref="H87"/>
    </sheetView>
  </sheetViews>
  <sheetFormatPr defaultColWidth="8.84375" defaultRowHeight="14.6" x14ac:dyDescent="0.4"/>
  <cols>
    <col min="1" max="6" width="8.84375" style="103" customWidth="1"/>
    <col min="7" max="7" width="8.84375" style="157" customWidth="1"/>
    <col min="8" max="8" width="12" style="103" bestFit="1" customWidth="1"/>
    <col min="9" max="9" width="4.3046875" style="103" customWidth="1"/>
    <col min="10" max="10" width="2.69140625" style="103" customWidth="1"/>
    <col min="11" max="11" width="6" style="103" customWidth="1"/>
    <col min="12" max="12" width="15.84375" style="103" customWidth="1"/>
    <col min="13" max="13" width="21.3046875" style="103" customWidth="1"/>
    <col min="14" max="14" width="12.84375" style="103" customWidth="1"/>
    <col min="15" max="16" width="3.84375" style="103" customWidth="1"/>
    <col min="17" max="17" width="6.07421875" style="103" customWidth="1"/>
    <col min="18" max="18" width="3" style="103" customWidth="1"/>
    <col min="19" max="19" width="14.3046875" style="103" customWidth="1"/>
    <col min="20" max="20" width="14.07421875" style="103" customWidth="1"/>
    <col min="21" max="21" width="4.07421875" style="103" customWidth="1"/>
    <col min="22" max="22" width="9.69140625" style="103" customWidth="1"/>
    <col min="23" max="23" width="4.69140625" style="103" customWidth="1"/>
    <col min="24" max="24" width="3" style="107" customWidth="1"/>
    <col min="25" max="25" width="7.3046875" style="103" hidden="1" customWidth="1"/>
    <col min="26" max="26" width="7.3046875" style="103" customWidth="1"/>
    <col min="27" max="27" width="13.69140625" style="103" customWidth="1"/>
    <col min="28" max="28" width="10.84375" style="103" customWidth="1"/>
    <col min="29" max="29" width="4.84375" style="103" customWidth="1"/>
    <col min="30" max="31" width="8.84375" style="103" customWidth="1"/>
    <col min="32" max="32" width="1.69140625" style="158" customWidth="1"/>
    <col min="33" max="16384" width="8.84375" style="103"/>
  </cols>
  <sheetData>
    <row r="1" spans="1:32" ht="46.95" customHeight="1" x14ac:dyDescent="0.4">
      <c r="A1" s="98"/>
      <c r="B1" s="98"/>
      <c r="C1" s="98"/>
      <c r="D1" s="98"/>
      <c r="E1" s="99" t="s">
        <v>670</v>
      </c>
      <c r="F1" s="98"/>
      <c r="G1" s="100"/>
      <c r="H1" s="98"/>
      <c r="I1" s="98"/>
      <c r="J1" s="98"/>
      <c r="K1" s="98"/>
      <c r="L1" s="98"/>
      <c r="M1" s="98"/>
      <c r="N1" s="98"/>
      <c r="O1" s="98"/>
      <c r="P1" s="98"/>
      <c r="Q1" s="98"/>
      <c r="R1" s="98"/>
      <c r="S1" s="98"/>
      <c r="T1" s="98"/>
      <c r="U1" s="98"/>
      <c r="V1" s="98"/>
      <c r="W1" s="98"/>
      <c r="X1" s="101"/>
      <c r="Y1" s="98"/>
      <c r="Z1" s="98"/>
      <c r="AA1" s="98"/>
      <c r="AB1" s="98"/>
      <c r="AC1" s="98"/>
      <c r="AD1" s="98"/>
      <c r="AE1" s="98"/>
      <c r="AF1" s="102"/>
    </row>
    <row r="2" spans="1:32" s="107" customFormat="1" x14ac:dyDescent="0.4">
      <c r="A2" s="104"/>
      <c r="B2" s="104"/>
      <c r="C2" s="104"/>
      <c r="D2" s="104"/>
      <c r="E2" s="104"/>
      <c r="F2" s="104"/>
      <c r="G2" s="105"/>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6"/>
    </row>
    <row r="3" spans="1:32" s="107" customFormat="1" x14ac:dyDescent="0.4">
      <c r="A3" s="108" t="s">
        <v>1</v>
      </c>
      <c r="B3" s="104"/>
      <c r="C3" s="104"/>
      <c r="D3" s="104"/>
      <c r="E3" s="109"/>
      <c r="F3" s="110" t="s">
        <v>2</v>
      </c>
      <c r="G3" s="105"/>
      <c r="H3" s="104"/>
      <c r="I3" s="104"/>
      <c r="J3" s="104"/>
      <c r="K3" s="104"/>
      <c r="L3" s="104"/>
      <c r="M3" s="104"/>
      <c r="N3" s="104"/>
      <c r="O3" s="104"/>
      <c r="P3" s="278" t="s">
        <v>0</v>
      </c>
      <c r="Q3" s="278"/>
      <c r="R3" s="278"/>
      <c r="S3" s="104"/>
      <c r="T3" s="104"/>
      <c r="U3" s="104"/>
      <c r="V3" s="104"/>
      <c r="W3" s="104"/>
      <c r="X3" s="104"/>
      <c r="Y3" s="104"/>
      <c r="Z3" s="104"/>
      <c r="AA3" s="104"/>
      <c r="AB3" s="104"/>
      <c r="AC3" s="104"/>
      <c r="AD3" s="104"/>
      <c r="AE3" s="104"/>
      <c r="AF3" s="106"/>
    </row>
    <row r="4" spans="1:32" s="114" customFormat="1" x14ac:dyDescent="0.4">
      <c r="A4" s="111"/>
      <c r="B4" s="111"/>
      <c r="C4" s="111"/>
      <c r="D4" s="111"/>
      <c r="E4" s="111"/>
      <c r="F4" s="111"/>
      <c r="G4" s="112"/>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3"/>
    </row>
    <row r="5" spans="1:32" s="107" customFormat="1" x14ac:dyDescent="0.4">
      <c r="A5" s="118"/>
      <c r="B5" s="118"/>
      <c r="C5" s="118"/>
      <c r="D5" s="118"/>
      <c r="E5" s="118"/>
      <c r="F5" s="118"/>
      <c r="G5" s="132"/>
      <c r="H5" s="118"/>
      <c r="I5" s="118"/>
      <c r="J5" s="118"/>
      <c r="K5" s="118"/>
      <c r="L5" s="118"/>
      <c r="M5" s="118"/>
      <c r="N5" s="118"/>
      <c r="O5" s="118"/>
      <c r="P5" s="132" t="s">
        <v>706</v>
      </c>
      <c r="Q5" s="272" t="s">
        <v>710</v>
      </c>
      <c r="R5" s="118"/>
      <c r="S5" s="118"/>
      <c r="T5" s="118"/>
      <c r="U5" s="118"/>
      <c r="V5" s="118"/>
      <c r="W5" s="118"/>
      <c r="X5" s="118"/>
      <c r="Y5" s="118"/>
      <c r="Z5" s="118"/>
      <c r="AA5" s="118"/>
      <c r="AB5" s="118"/>
      <c r="AC5" s="118"/>
      <c r="AD5" s="118" t="s">
        <v>3</v>
      </c>
      <c r="AE5" s="247" t="s">
        <v>698</v>
      </c>
      <c r="AF5" s="106"/>
    </row>
    <row r="6" spans="1:32" ht="18.899999999999999" thickBot="1" x14ac:dyDescent="0.55000000000000004">
      <c r="A6" s="249" t="s">
        <v>4</v>
      </c>
      <c r="B6" s="115"/>
      <c r="C6" s="115"/>
      <c r="D6" s="115"/>
      <c r="E6" s="115"/>
      <c r="F6" s="115"/>
      <c r="G6" s="116"/>
      <c r="H6" s="115"/>
      <c r="I6" s="115"/>
      <c r="J6" s="115"/>
      <c r="K6" s="115"/>
      <c r="L6" s="115"/>
      <c r="M6" s="234" t="s">
        <v>644</v>
      </c>
      <c r="N6" s="231"/>
      <c r="O6" s="231"/>
      <c r="P6" s="115"/>
      <c r="Q6" s="115"/>
      <c r="R6" s="115"/>
      <c r="S6" s="115"/>
      <c r="T6" s="115"/>
      <c r="U6" s="115"/>
      <c r="V6" s="115"/>
      <c r="W6" s="115"/>
      <c r="X6" s="118"/>
      <c r="Y6" s="115"/>
      <c r="Z6" s="115"/>
      <c r="AA6" s="115"/>
      <c r="AB6" s="115"/>
      <c r="AC6" s="115"/>
      <c r="AD6" s="115"/>
      <c r="AE6" s="115"/>
      <c r="AF6" s="102"/>
    </row>
    <row r="7" spans="1:32" ht="15" x14ac:dyDescent="0.45">
      <c r="A7" s="119"/>
      <c r="B7" s="120"/>
      <c r="C7" s="120"/>
      <c r="D7" s="120"/>
      <c r="E7" s="120"/>
      <c r="F7" s="120"/>
      <c r="G7" s="121" t="s">
        <v>5</v>
      </c>
      <c r="H7" s="160">
        <v>14</v>
      </c>
      <c r="I7" s="183" t="s">
        <v>11</v>
      </c>
      <c r="J7" s="115"/>
      <c r="K7" s="115"/>
      <c r="L7" s="245"/>
      <c r="M7" s="121" t="s">
        <v>8</v>
      </c>
      <c r="N7" s="160">
        <v>1500</v>
      </c>
      <c r="O7" s="122" t="s">
        <v>11</v>
      </c>
      <c r="P7" s="115"/>
      <c r="Q7" s="115"/>
      <c r="R7" s="117"/>
      <c r="S7" s="115"/>
      <c r="T7" s="115"/>
      <c r="U7" s="115"/>
      <c r="V7" s="115"/>
      <c r="W7" s="115"/>
      <c r="X7" s="118"/>
      <c r="Y7" s="115"/>
      <c r="Z7" s="115"/>
      <c r="AA7" s="115"/>
      <c r="AB7" s="115"/>
      <c r="AC7" s="115"/>
      <c r="AD7" s="115"/>
      <c r="AE7" s="115"/>
      <c r="AF7" s="102"/>
    </row>
    <row r="8" spans="1:32" ht="15" x14ac:dyDescent="0.45">
      <c r="A8" s="123"/>
      <c r="B8" s="118"/>
      <c r="C8" s="118"/>
      <c r="D8" s="118"/>
      <c r="E8" s="118"/>
      <c r="F8" s="118"/>
      <c r="G8" s="124" t="s">
        <v>6</v>
      </c>
      <c r="H8" s="161">
        <v>15</v>
      </c>
      <c r="I8" s="163" t="s">
        <v>11</v>
      </c>
      <c r="J8" s="115"/>
      <c r="K8" s="115"/>
      <c r="L8" s="123"/>
      <c r="M8" s="124" t="s">
        <v>9</v>
      </c>
      <c r="N8" s="161">
        <v>0.05</v>
      </c>
      <c r="O8" s="125" t="s">
        <v>12</v>
      </c>
      <c r="P8" s="115"/>
      <c r="Q8" s="115"/>
      <c r="R8" s="117"/>
      <c r="S8" s="115"/>
      <c r="T8" s="115"/>
      <c r="U8" s="115"/>
      <c r="V8" s="115"/>
      <c r="W8" s="115"/>
      <c r="X8" s="118"/>
      <c r="Y8" s="115"/>
      <c r="Z8" s="115"/>
      <c r="AA8" s="115"/>
      <c r="AB8" s="115"/>
      <c r="AC8" s="115"/>
      <c r="AD8" s="115"/>
      <c r="AE8" s="115"/>
      <c r="AF8" s="102"/>
    </row>
    <row r="9" spans="1:32" ht="17.149999999999999" x14ac:dyDescent="0.55000000000000004">
      <c r="A9" s="123"/>
      <c r="B9" s="118"/>
      <c r="C9" s="118"/>
      <c r="D9" s="118"/>
      <c r="E9" s="118"/>
      <c r="F9" s="118"/>
      <c r="G9" s="124" t="s">
        <v>7</v>
      </c>
      <c r="H9" s="161">
        <v>16.8</v>
      </c>
      <c r="I9" s="163" t="s">
        <v>11</v>
      </c>
      <c r="J9" s="115"/>
      <c r="K9" s="115"/>
      <c r="L9" s="123"/>
      <c r="M9" s="132" t="s">
        <v>678</v>
      </c>
      <c r="N9" s="162">
        <f>Variable_Management!B53</f>
        <v>8.0645161290322509</v>
      </c>
      <c r="O9" s="125"/>
      <c r="P9" s="115"/>
      <c r="Q9" s="115"/>
      <c r="R9" s="117"/>
      <c r="S9" s="115"/>
      <c r="T9" s="115"/>
      <c r="U9" s="115"/>
      <c r="V9" s="115"/>
      <c r="W9" s="115"/>
      <c r="X9" s="118"/>
      <c r="Y9" s="115"/>
      <c r="Z9" s="115"/>
      <c r="AA9" s="115"/>
      <c r="AB9" s="115"/>
      <c r="AC9" s="115"/>
      <c r="AD9" s="115"/>
      <c r="AE9" s="115"/>
      <c r="AF9" s="102"/>
    </row>
    <row r="10" spans="1:32" ht="17.149999999999999" x14ac:dyDescent="0.55000000000000004">
      <c r="A10" s="123"/>
      <c r="B10" s="118"/>
      <c r="C10" s="118"/>
      <c r="D10" s="118"/>
      <c r="E10" s="118"/>
      <c r="F10" s="118"/>
      <c r="G10" s="124" t="s">
        <v>642</v>
      </c>
      <c r="H10" s="163"/>
      <c r="I10" s="163"/>
      <c r="J10" s="115"/>
      <c r="K10" s="115"/>
      <c r="L10" s="123"/>
      <c r="M10" s="132" t="s">
        <v>677</v>
      </c>
      <c r="N10" s="161">
        <v>8</v>
      </c>
      <c r="O10" s="125"/>
      <c r="P10" s="115"/>
      <c r="Q10" s="115"/>
      <c r="R10" s="117"/>
      <c r="S10" s="115"/>
      <c r="T10" s="115"/>
      <c r="U10" s="115"/>
      <c r="V10" s="115"/>
      <c r="W10" s="115"/>
      <c r="X10" s="118"/>
      <c r="Y10" s="115"/>
      <c r="Z10" s="115"/>
      <c r="AA10" s="115"/>
      <c r="AB10" s="115"/>
      <c r="AC10" s="115"/>
      <c r="AD10" s="115"/>
      <c r="AE10" s="115"/>
      <c r="AF10" s="102"/>
    </row>
    <row r="11" spans="1:32" ht="17.600000000000001" thickBot="1" x14ac:dyDescent="0.6">
      <c r="A11" s="123"/>
      <c r="B11" s="118"/>
      <c r="C11" s="118"/>
      <c r="D11" s="118"/>
      <c r="E11" s="118"/>
      <c r="F11" s="118"/>
      <c r="G11" s="124"/>
      <c r="H11" s="163"/>
      <c r="I11" s="163"/>
      <c r="J11" s="115"/>
      <c r="K11" s="115"/>
      <c r="L11" s="130"/>
      <c r="M11" s="134" t="s">
        <v>676</v>
      </c>
      <c r="N11" s="166">
        <v>27000</v>
      </c>
      <c r="O11" s="128" t="s">
        <v>81</v>
      </c>
      <c r="P11" s="115"/>
      <c r="Q11" s="115"/>
      <c r="R11" s="117"/>
      <c r="S11" s="115"/>
      <c r="T11" s="115"/>
      <c r="U11" s="115"/>
      <c r="V11" s="115"/>
      <c r="W11" s="115"/>
      <c r="X11" s="118"/>
      <c r="Y11" s="115"/>
      <c r="Z11" s="115"/>
      <c r="AA11" s="115"/>
      <c r="AB11" s="115"/>
      <c r="AC11" s="115"/>
      <c r="AD11" s="115"/>
      <c r="AE11" s="115"/>
      <c r="AF11" s="102"/>
    </row>
    <row r="12" spans="1:32" x14ac:dyDescent="0.4">
      <c r="A12" s="123"/>
      <c r="B12" s="118"/>
      <c r="C12" s="118"/>
      <c r="D12" s="118"/>
      <c r="E12" s="118"/>
      <c r="F12" s="118"/>
      <c r="G12" s="229" t="s">
        <v>513</v>
      </c>
      <c r="H12" s="163"/>
      <c r="I12" s="163"/>
      <c r="J12" s="115"/>
      <c r="K12" s="115"/>
      <c r="L12" s="118"/>
      <c r="M12" s="118"/>
      <c r="N12" s="118"/>
      <c r="O12" s="118"/>
      <c r="P12" s="115"/>
      <c r="Q12" s="115"/>
      <c r="R12" s="117"/>
      <c r="S12" s="115"/>
      <c r="T12" s="115"/>
      <c r="U12" s="115"/>
      <c r="V12" s="115"/>
      <c r="W12" s="115"/>
      <c r="X12" s="118"/>
      <c r="Y12" s="115"/>
      <c r="Z12" s="115"/>
      <c r="AA12" s="115"/>
      <c r="AB12" s="115"/>
      <c r="AC12" s="115"/>
      <c r="AD12" s="115"/>
      <c r="AE12" s="115"/>
      <c r="AF12" s="102"/>
    </row>
    <row r="13" spans="1:32" ht="16.3" thickBot="1" x14ac:dyDescent="0.5">
      <c r="A13" s="123"/>
      <c r="B13" s="118"/>
      <c r="C13" s="118"/>
      <c r="D13" s="118"/>
      <c r="E13" s="118"/>
      <c r="F13" s="118"/>
      <c r="G13" s="124"/>
      <c r="H13" s="190"/>
      <c r="I13" s="163"/>
      <c r="J13" s="115"/>
      <c r="K13" s="115"/>
      <c r="L13" s="118"/>
      <c r="M13" s="234" t="s">
        <v>643</v>
      </c>
      <c r="N13" s="231"/>
      <c r="O13" s="231"/>
      <c r="P13" s="115"/>
      <c r="Q13" s="115"/>
      <c r="R13" s="117"/>
      <c r="S13" s="115"/>
      <c r="T13" s="115"/>
      <c r="U13" s="115"/>
      <c r="V13" s="115"/>
      <c r="W13" s="115"/>
      <c r="X13" s="118"/>
      <c r="Y13" s="115"/>
      <c r="Z13" s="115"/>
      <c r="AA13" s="115"/>
      <c r="AB13" s="115"/>
      <c r="AC13" s="115"/>
      <c r="AD13" s="115"/>
      <c r="AE13" s="115"/>
      <c r="AF13" s="102"/>
    </row>
    <row r="14" spans="1:32" ht="15" x14ac:dyDescent="0.45">
      <c r="A14" s="123"/>
      <c r="B14" s="118"/>
      <c r="C14" s="118"/>
      <c r="D14" s="118"/>
      <c r="E14" s="118"/>
      <c r="F14" s="118"/>
      <c r="G14" s="124" t="s">
        <v>10</v>
      </c>
      <c r="H14" s="160">
        <v>100</v>
      </c>
      <c r="I14" s="183" t="s">
        <v>13</v>
      </c>
      <c r="J14" s="115"/>
      <c r="K14" s="115"/>
      <c r="L14" s="119"/>
      <c r="M14" s="121" t="s">
        <v>640</v>
      </c>
      <c r="N14" s="160">
        <v>10</v>
      </c>
      <c r="O14" s="122" t="s">
        <v>11</v>
      </c>
      <c r="P14" s="115"/>
      <c r="Q14" s="115"/>
      <c r="R14" s="117"/>
      <c r="S14" s="115"/>
      <c r="T14" s="115"/>
      <c r="U14" s="115"/>
      <c r="V14" s="115"/>
      <c r="W14" s="115"/>
      <c r="X14" s="118"/>
      <c r="Y14" s="115"/>
      <c r="Z14" s="115"/>
      <c r="AA14" s="115"/>
      <c r="AB14" s="115"/>
      <c r="AC14" s="115"/>
      <c r="AD14" s="115"/>
      <c r="AE14" s="115"/>
      <c r="AF14" s="102"/>
    </row>
    <row r="15" spans="1:32" ht="15.45" thickBot="1" x14ac:dyDescent="0.5">
      <c r="A15" s="123"/>
      <c r="B15" s="118"/>
      <c r="C15" s="118"/>
      <c r="D15" s="118"/>
      <c r="E15" s="118"/>
      <c r="F15" s="118"/>
      <c r="G15" s="124" t="s">
        <v>67</v>
      </c>
      <c r="H15" s="165">
        <f>RT/1000</f>
        <v>220.04499999999999</v>
      </c>
      <c r="I15" s="177" t="s">
        <v>68</v>
      </c>
      <c r="J15" s="115"/>
      <c r="K15" s="115"/>
      <c r="L15" s="123"/>
      <c r="M15" s="124" t="s">
        <v>639</v>
      </c>
      <c r="N15" s="161">
        <v>0.02</v>
      </c>
      <c r="O15" s="125" t="s">
        <v>12</v>
      </c>
      <c r="P15" s="115"/>
      <c r="Q15" s="115"/>
      <c r="R15" s="117"/>
      <c r="S15" s="115"/>
      <c r="T15" s="115"/>
      <c r="U15" s="115"/>
      <c r="V15" s="115"/>
      <c r="W15" s="115"/>
      <c r="X15" s="118"/>
      <c r="Y15" s="115"/>
      <c r="Z15" s="115"/>
      <c r="AA15" s="115"/>
      <c r="AB15" s="115"/>
      <c r="AC15" s="115"/>
      <c r="AD15" s="115"/>
      <c r="AE15" s="115"/>
      <c r="AF15" s="102"/>
    </row>
    <row r="16" spans="1:32" ht="17.600000000000001" thickBot="1" x14ac:dyDescent="0.6">
      <c r="A16" s="123"/>
      <c r="B16" s="118"/>
      <c r="C16" s="118"/>
      <c r="D16" s="118"/>
      <c r="E16" s="118"/>
      <c r="F16" s="118"/>
      <c r="G16" s="124"/>
      <c r="H16" s="190"/>
      <c r="I16" s="163"/>
      <c r="J16" s="115"/>
      <c r="K16" s="115"/>
      <c r="L16" s="123"/>
      <c r="M16" s="132" t="s">
        <v>638</v>
      </c>
      <c r="N16" s="162">
        <f>Variable_Management!B63</f>
        <v>0</v>
      </c>
      <c r="O16" s="125"/>
      <c r="P16" s="115"/>
      <c r="Q16" s="115"/>
      <c r="R16" s="117"/>
      <c r="S16" s="115"/>
      <c r="T16" s="115"/>
      <c r="U16" s="115"/>
      <c r="V16" s="115"/>
      <c r="W16" s="115"/>
      <c r="X16" s="118"/>
      <c r="Y16" s="115"/>
      <c r="Z16" s="115"/>
      <c r="AA16" s="115"/>
      <c r="AB16" s="115"/>
      <c r="AC16" s="115"/>
      <c r="AD16" s="115"/>
      <c r="AE16" s="115"/>
      <c r="AF16" s="102"/>
    </row>
    <row r="17" spans="1:32" ht="17.149999999999999" x14ac:dyDescent="0.55000000000000004">
      <c r="A17" s="123"/>
      <c r="B17" s="118"/>
      <c r="C17" s="118"/>
      <c r="D17" s="118"/>
      <c r="E17" s="118"/>
      <c r="F17" s="118"/>
      <c r="G17" s="132" t="s">
        <v>445</v>
      </c>
      <c r="H17" s="160">
        <v>93</v>
      </c>
      <c r="I17" s="183" t="s">
        <v>14</v>
      </c>
      <c r="J17" s="115"/>
      <c r="K17" s="115"/>
      <c r="L17" s="123"/>
      <c r="M17" s="132" t="s">
        <v>641</v>
      </c>
      <c r="N17" s="161">
        <v>0.6</v>
      </c>
      <c r="O17" s="125"/>
      <c r="P17" s="115"/>
      <c r="Q17" s="115"/>
      <c r="R17" s="117"/>
      <c r="S17" s="115"/>
      <c r="T17" s="115"/>
      <c r="U17" s="115"/>
      <c r="V17" s="115"/>
      <c r="W17" s="115"/>
      <c r="X17" s="118"/>
      <c r="Y17" s="115"/>
      <c r="Z17" s="115"/>
      <c r="AA17" s="115"/>
      <c r="AB17" s="115"/>
      <c r="AC17" s="115"/>
      <c r="AD17" s="115"/>
      <c r="AE17" s="115"/>
      <c r="AF17" s="102"/>
    </row>
    <row r="18" spans="1:32" ht="17.149999999999999" x14ac:dyDescent="0.55000000000000004">
      <c r="A18" s="123"/>
      <c r="B18" s="118"/>
      <c r="C18" s="118"/>
      <c r="D18" s="118"/>
      <c r="E18" s="118"/>
      <c r="F18" s="118"/>
      <c r="G18" s="132" t="s">
        <v>472</v>
      </c>
      <c r="H18" s="203">
        <f>Variable_Management!B57*100</f>
        <v>93.052109181141446</v>
      </c>
      <c r="I18" s="163" t="s">
        <v>14</v>
      </c>
      <c r="J18" s="115"/>
      <c r="K18" s="115"/>
      <c r="L18" s="123"/>
      <c r="M18" s="132" t="s">
        <v>603</v>
      </c>
      <c r="N18" s="161">
        <v>12</v>
      </c>
      <c r="O18" s="125" t="s">
        <v>81</v>
      </c>
      <c r="P18" s="115"/>
      <c r="Q18" s="115"/>
      <c r="R18" s="117"/>
      <c r="S18" s="115"/>
      <c r="T18" s="115"/>
      <c r="U18" s="115"/>
      <c r="V18" s="115"/>
      <c r="W18" s="115"/>
      <c r="X18" s="118"/>
      <c r="Y18" s="115"/>
      <c r="Z18" s="115"/>
      <c r="AA18" s="115"/>
      <c r="AB18" s="115"/>
      <c r="AC18" s="115"/>
      <c r="AD18" s="115"/>
      <c r="AE18" s="115"/>
      <c r="AF18" s="102"/>
    </row>
    <row r="19" spans="1:32" ht="17.600000000000001" thickBot="1" x14ac:dyDescent="0.6">
      <c r="A19" s="130"/>
      <c r="B19" s="127"/>
      <c r="C19" s="127"/>
      <c r="D19" s="127"/>
      <c r="E19" s="127"/>
      <c r="F19" s="127"/>
      <c r="G19" s="131" t="s">
        <v>15</v>
      </c>
      <c r="H19" s="177">
        <f>POUT_Total</f>
        <v>75</v>
      </c>
      <c r="I19" s="177" t="s">
        <v>36</v>
      </c>
      <c r="J19" s="115"/>
      <c r="K19" s="115"/>
      <c r="L19" s="130"/>
      <c r="M19" s="134" t="s">
        <v>467</v>
      </c>
      <c r="N19" s="165">
        <f>Variable_Management!B65</f>
        <v>0</v>
      </c>
      <c r="O19" s="128" t="s">
        <v>11</v>
      </c>
      <c r="P19" s="115"/>
      <c r="Q19" s="115"/>
      <c r="R19" s="117"/>
      <c r="S19" s="115"/>
      <c r="T19" s="115"/>
      <c r="U19" s="115"/>
      <c r="V19" s="115"/>
      <c r="W19" s="115"/>
      <c r="X19" s="118"/>
      <c r="Y19" s="115"/>
      <c r="Z19" s="115"/>
      <c r="AA19" s="115"/>
      <c r="AB19" s="115"/>
      <c r="AC19" s="115"/>
      <c r="AD19" s="115"/>
      <c r="AE19" s="115"/>
      <c r="AF19" s="102"/>
    </row>
    <row r="20" spans="1:32" x14ac:dyDescent="0.4">
      <c r="A20" s="115"/>
      <c r="B20" s="115"/>
      <c r="C20" s="115"/>
      <c r="D20" s="115"/>
      <c r="E20" s="115"/>
      <c r="F20" s="115"/>
      <c r="G20" s="116"/>
      <c r="H20" s="115"/>
      <c r="I20" s="115"/>
      <c r="J20" s="115"/>
      <c r="K20" s="115"/>
      <c r="L20" s="118"/>
      <c r="M20" s="118"/>
      <c r="N20" s="118"/>
      <c r="O20" s="118"/>
      <c r="P20" s="115"/>
      <c r="Q20" s="115"/>
      <c r="R20" s="117"/>
      <c r="S20" s="115"/>
      <c r="T20" s="115"/>
      <c r="U20" s="115"/>
      <c r="V20" s="115"/>
      <c r="W20" s="115"/>
      <c r="X20" s="118"/>
      <c r="Y20" s="115"/>
      <c r="Z20" s="115"/>
      <c r="AA20" s="115"/>
      <c r="AB20" s="115"/>
      <c r="AC20" s="115"/>
      <c r="AD20" s="115"/>
      <c r="AE20" s="115"/>
      <c r="AF20" s="102"/>
    </row>
    <row r="21" spans="1:32" ht="18.899999999999999" thickBot="1" x14ac:dyDescent="0.55000000000000004">
      <c r="A21" s="248" t="s">
        <v>438</v>
      </c>
      <c r="B21" s="129"/>
      <c r="C21" s="129"/>
      <c r="D21" s="129"/>
      <c r="E21" s="126"/>
      <c r="F21" s="115"/>
      <c r="G21" s="116"/>
      <c r="H21" s="118"/>
      <c r="I21" s="115"/>
      <c r="J21" s="115"/>
      <c r="K21" s="115"/>
      <c r="L21" s="118"/>
      <c r="M21" s="234" t="s">
        <v>645</v>
      </c>
      <c r="N21" s="141"/>
      <c r="O21" s="118"/>
      <c r="P21" s="115"/>
      <c r="Q21" s="115"/>
      <c r="R21" s="117"/>
      <c r="S21" s="115"/>
      <c r="T21" s="115"/>
      <c r="U21" s="115"/>
      <c r="V21" s="115"/>
      <c r="W21" s="115"/>
      <c r="X21" s="118"/>
      <c r="Y21" s="115"/>
      <c r="Z21" s="115"/>
      <c r="AA21" s="115"/>
      <c r="AB21" s="115"/>
      <c r="AC21" s="115"/>
      <c r="AD21" s="115"/>
      <c r="AE21" s="115"/>
      <c r="AF21" s="102"/>
    </row>
    <row r="22" spans="1:32" ht="15" x14ac:dyDescent="0.45">
      <c r="A22" s="233"/>
      <c r="B22" s="202"/>
      <c r="C22" s="202"/>
      <c r="D22" s="202"/>
      <c r="E22" s="202"/>
      <c r="F22" s="120"/>
      <c r="G22" s="121" t="s">
        <v>412</v>
      </c>
      <c r="H22" s="160">
        <v>70</v>
      </c>
      <c r="I22" s="122" t="s">
        <v>14</v>
      </c>
      <c r="J22" s="118"/>
      <c r="K22" s="115"/>
      <c r="L22" s="119"/>
      <c r="M22" s="121" t="s">
        <v>8</v>
      </c>
      <c r="N22" s="160">
        <v>-7</v>
      </c>
      <c r="O22" s="122" t="s">
        <v>11</v>
      </c>
      <c r="P22" s="115"/>
      <c r="Q22" s="115"/>
      <c r="R22" s="117"/>
      <c r="S22" s="115"/>
      <c r="T22" s="115"/>
      <c r="U22" s="115"/>
      <c r="V22" s="115"/>
      <c r="W22" s="115"/>
      <c r="X22" s="118"/>
      <c r="Y22" s="115"/>
      <c r="Z22" s="115"/>
      <c r="AA22" s="115"/>
      <c r="AB22" s="115"/>
      <c r="AC22" s="115"/>
      <c r="AD22" s="115"/>
      <c r="AE22" s="115"/>
      <c r="AF22" s="102"/>
    </row>
    <row r="23" spans="1:32" ht="15" x14ac:dyDescent="0.45">
      <c r="A23" s="123"/>
      <c r="B23" s="118"/>
      <c r="C23" s="118"/>
      <c r="D23" s="118"/>
      <c r="E23" s="118"/>
      <c r="F23" s="118"/>
      <c r="G23" s="124" t="s">
        <v>439</v>
      </c>
      <c r="H23" s="204">
        <f>Variable_Management!B75*(10^6)</f>
        <v>45.281944794840442</v>
      </c>
      <c r="I23" s="125" t="s">
        <v>79</v>
      </c>
      <c r="J23" s="118"/>
      <c r="K23" s="115"/>
      <c r="L23" s="123"/>
      <c r="M23" s="124" t="s">
        <v>9</v>
      </c>
      <c r="N23" s="161">
        <v>1</v>
      </c>
      <c r="O23" s="125" t="s">
        <v>12</v>
      </c>
      <c r="P23" s="115"/>
      <c r="Q23" s="115"/>
      <c r="R23" s="117"/>
      <c r="S23" s="115"/>
      <c r="T23" s="115"/>
      <c r="U23" s="115"/>
      <c r="V23" s="115"/>
      <c r="W23" s="115"/>
      <c r="X23" s="118"/>
      <c r="Y23" s="115"/>
      <c r="Z23" s="115"/>
      <c r="AA23" s="115"/>
      <c r="AB23" s="115"/>
      <c r="AC23" s="115"/>
      <c r="AD23" s="115"/>
      <c r="AE23" s="115"/>
      <c r="AF23" s="102"/>
    </row>
    <row r="24" spans="1:32" ht="17.149999999999999" x14ac:dyDescent="0.55000000000000004">
      <c r="A24" s="123"/>
      <c r="B24" s="118"/>
      <c r="C24" s="118"/>
      <c r="D24" s="118"/>
      <c r="E24" s="118"/>
      <c r="F24" s="118"/>
      <c r="G24" s="124" t="s">
        <v>440</v>
      </c>
      <c r="H24" s="161">
        <v>45</v>
      </c>
      <c r="I24" s="125" t="s">
        <v>79</v>
      </c>
      <c r="J24" s="118"/>
      <c r="K24" s="115"/>
      <c r="L24" s="123"/>
      <c r="M24" s="132" t="s">
        <v>461</v>
      </c>
      <c r="N24" s="162">
        <f>Variable_Management!B68</f>
        <v>0</v>
      </c>
      <c r="O24" s="125"/>
      <c r="P24" s="115"/>
      <c r="Q24" s="115"/>
      <c r="R24" s="117"/>
      <c r="S24" s="115"/>
      <c r="T24" s="115"/>
      <c r="U24" s="115"/>
      <c r="V24" s="115"/>
      <c r="W24" s="115"/>
      <c r="X24" s="118"/>
      <c r="Y24" s="115"/>
      <c r="Z24" s="115"/>
      <c r="AA24" s="115"/>
      <c r="AB24" s="115"/>
      <c r="AC24" s="115"/>
      <c r="AD24" s="115"/>
      <c r="AE24" s="115"/>
      <c r="AF24" s="102"/>
    </row>
    <row r="25" spans="1:32" ht="17.149999999999999" x14ac:dyDescent="0.55000000000000004">
      <c r="A25" s="123"/>
      <c r="B25" s="118"/>
      <c r="C25" s="118"/>
      <c r="D25" s="118"/>
      <c r="E25" s="118"/>
      <c r="F25" s="118"/>
      <c r="G25" s="124" t="s">
        <v>697</v>
      </c>
      <c r="H25" s="161">
        <v>1150</v>
      </c>
      <c r="I25" s="125" t="s">
        <v>81</v>
      </c>
      <c r="J25" s="118"/>
      <c r="K25" s="115"/>
      <c r="L25" s="123"/>
      <c r="M25" s="132" t="s">
        <v>462</v>
      </c>
      <c r="N25" s="161">
        <v>0.42</v>
      </c>
      <c r="O25" s="125"/>
      <c r="P25" s="115"/>
      <c r="Q25" s="115"/>
      <c r="R25" s="117"/>
      <c r="S25" s="115"/>
      <c r="T25" s="115"/>
      <c r="U25" s="115"/>
      <c r="V25" s="115"/>
      <c r="W25" s="115"/>
      <c r="X25" s="118"/>
      <c r="Y25" s="115"/>
      <c r="Z25" s="115"/>
      <c r="AA25" s="115"/>
      <c r="AB25" s="115"/>
      <c r="AC25" s="115"/>
      <c r="AD25" s="115"/>
      <c r="AE25" s="115"/>
      <c r="AF25" s="102"/>
    </row>
    <row r="26" spans="1:32" ht="15.45" thickBot="1" x14ac:dyDescent="0.5">
      <c r="A26" s="130"/>
      <c r="B26" s="127"/>
      <c r="C26" s="127"/>
      <c r="D26" s="127"/>
      <c r="E26" s="127"/>
      <c r="F26" s="127"/>
      <c r="G26" s="131" t="s">
        <v>672</v>
      </c>
      <c r="H26" s="205">
        <f>ILp_VINmin</f>
        <v>7.2046201110717245</v>
      </c>
      <c r="I26" s="128" t="s">
        <v>12</v>
      </c>
      <c r="J26" s="118"/>
      <c r="K26" s="115"/>
      <c r="L26" s="123"/>
      <c r="M26" s="132" t="s">
        <v>603</v>
      </c>
      <c r="N26" s="161">
        <v>100</v>
      </c>
      <c r="O26" s="125" t="s">
        <v>81</v>
      </c>
      <c r="P26" s="115"/>
      <c r="Q26" s="115"/>
      <c r="R26" s="117"/>
      <c r="S26" s="115"/>
      <c r="T26" s="115"/>
      <c r="U26" s="115"/>
      <c r="V26" s="115"/>
      <c r="W26" s="115"/>
      <c r="X26" s="118"/>
      <c r="Y26" s="115"/>
      <c r="Z26" s="115"/>
      <c r="AA26" s="115"/>
      <c r="AB26" s="115"/>
      <c r="AC26" s="115"/>
      <c r="AD26" s="115"/>
      <c r="AE26" s="115"/>
      <c r="AF26" s="102"/>
    </row>
    <row r="27" spans="1:32" ht="17.600000000000001" thickBot="1" x14ac:dyDescent="0.6">
      <c r="A27" s="118"/>
      <c r="B27" s="118"/>
      <c r="C27" s="118"/>
      <c r="D27" s="115"/>
      <c r="E27" s="115"/>
      <c r="F27" s="115"/>
      <c r="G27" s="116"/>
      <c r="H27" s="115"/>
      <c r="I27" s="115"/>
      <c r="J27" s="115"/>
      <c r="K27" s="115"/>
      <c r="L27" s="130"/>
      <c r="M27" s="134" t="s">
        <v>467</v>
      </c>
      <c r="N27" s="165">
        <f>Variable_Management!B70</f>
        <v>0</v>
      </c>
      <c r="O27" s="128" t="s">
        <v>11</v>
      </c>
      <c r="P27" s="115"/>
      <c r="Q27" s="115"/>
      <c r="R27" s="117"/>
      <c r="S27" s="115"/>
      <c r="T27" s="115"/>
      <c r="U27" s="115"/>
      <c r="V27" s="115"/>
      <c r="W27" s="115"/>
      <c r="X27" s="118"/>
      <c r="Y27" s="115"/>
      <c r="Z27" s="115"/>
      <c r="AA27" s="115"/>
      <c r="AB27" s="115"/>
      <c r="AC27" s="115"/>
      <c r="AD27" s="115"/>
      <c r="AE27" s="115"/>
      <c r="AF27" s="102"/>
    </row>
    <row r="28" spans="1:32" x14ac:dyDescent="0.4">
      <c r="A28" s="118"/>
      <c r="B28" s="118"/>
      <c r="C28" s="118"/>
      <c r="D28" s="115"/>
      <c r="E28" s="115"/>
      <c r="F28" s="115"/>
      <c r="G28" s="116"/>
      <c r="H28" s="115"/>
      <c r="I28" s="115"/>
      <c r="J28" s="115"/>
      <c r="K28" s="115"/>
      <c r="L28" s="118"/>
      <c r="M28" s="132"/>
      <c r="N28" s="182"/>
      <c r="O28" s="118"/>
      <c r="P28" s="115"/>
      <c r="Q28" s="115"/>
      <c r="R28" s="117"/>
      <c r="S28" s="115"/>
      <c r="T28" s="115"/>
      <c r="U28" s="115"/>
      <c r="V28" s="115"/>
      <c r="W28" s="115"/>
      <c r="X28" s="118"/>
      <c r="Y28" s="115"/>
      <c r="Z28" s="115"/>
      <c r="AA28" s="115"/>
      <c r="AB28" s="115"/>
      <c r="AC28" s="115"/>
      <c r="AD28" s="115"/>
      <c r="AE28" s="115"/>
      <c r="AF28" s="102"/>
    </row>
    <row r="29" spans="1:32" ht="18.899999999999999" thickBot="1" x14ac:dyDescent="0.55000000000000004">
      <c r="A29" s="248" t="s">
        <v>97</v>
      </c>
      <c r="B29" s="118"/>
      <c r="C29" s="118"/>
      <c r="D29" s="115"/>
      <c r="E29" s="115"/>
      <c r="F29" s="115"/>
      <c r="G29" s="116"/>
      <c r="H29" s="115"/>
      <c r="I29" s="115"/>
      <c r="J29" s="115"/>
      <c r="K29" s="115"/>
      <c r="L29" s="115"/>
      <c r="M29" s="115"/>
      <c r="N29" s="115"/>
      <c r="O29" s="115"/>
      <c r="P29" s="115"/>
      <c r="Q29" s="115"/>
      <c r="R29" s="117"/>
      <c r="S29" s="115"/>
      <c r="T29" s="115"/>
      <c r="U29" s="115"/>
      <c r="V29" s="115"/>
      <c r="W29" s="115"/>
      <c r="X29" s="118"/>
      <c r="Y29" s="115"/>
      <c r="Z29" s="115"/>
      <c r="AA29" s="115"/>
      <c r="AB29" s="115"/>
      <c r="AC29" s="115"/>
      <c r="AD29" s="115"/>
      <c r="AE29" s="115"/>
      <c r="AF29" s="102"/>
    </row>
    <row r="30" spans="1:32" x14ac:dyDescent="0.4">
      <c r="A30" s="119"/>
      <c r="B30" s="120"/>
      <c r="C30" s="120"/>
      <c r="D30" s="120"/>
      <c r="E30" s="120"/>
      <c r="F30" s="120"/>
      <c r="G30" s="255" t="s">
        <v>413</v>
      </c>
      <c r="H30" s="160">
        <v>30</v>
      </c>
      <c r="I30" s="122" t="s">
        <v>14</v>
      </c>
      <c r="J30" s="115"/>
      <c r="K30" s="115"/>
      <c r="L30" s="115"/>
      <c r="M30" s="115"/>
      <c r="N30" s="115"/>
      <c r="O30" s="115"/>
      <c r="P30" s="115"/>
      <c r="Q30" s="115"/>
      <c r="R30" s="115"/>
      <c r="S30" s="115"/>
      <c r="T30" s="115"/>
      <c r="U30" s="115"/>
      <c r="V30" s="115"/>
      <c r="W30" s="115"/>
      <c r="X30" s="118"/>
      <c r="Y30" s="115"/>
      <c r="Z30" s="115"/>
      <c r="AA30" s="115"/>
      <c r="AB30" s="115"/>
      <c r="AC30" s="115"/>
      <c r="AD30" s="115"/>
      <c r="AE30" s="115"/>
      <c r="AF30" s="102"/>
    </row>
    <row r="31" spans="1:32" ht="17.149999999999999" x14ac:dyDescent="0.55000000000000004">
      <c r="A31" s="123"/>
      <c r="B31" s="118"/>
      <c r="C31" s="118"/>
      <c r="D31" s="118"/>
      <c r="E31" s="118"/>
      <c r="F31" s="118"/>
      <c r="G31" s="132" t="s">
        <v>158</v>
      </c>
      <c r="H31" s="162">
        <f>Ipk_selected</f>
        <v>9.3660061443932427</v>
      </c>
      <c r="I31" s="125" t="s">
        <v>12</v>
      </c>
      <c r="J31" s="118"/>
      <c r="K31" s="115"/>
      <c r="L31" s="118"/>
      <c r="M31" s="115"/>
      <c r="N31" s="115"/>
      <c r="O31" s="115"/>
      <c r="P31" s="115"/>
      <c r="Q31" s="115"/>
      <c r="R31" s="115"/>
      <c r="S31" s="115"/>
      <c r="T31" s="115"/>
      <c r="U31" s="115"/>
      <c r="V31" s="115"/>
      <c r="W31" s="115"/>
      <c r="X31" s="115"/>
      <c r="Y31" s="115"/>
      <c r="Z31" s="115"/>
      <c r="AA31" s="115"/>
      <c r="AB31" s="115"/>
      <c r="AC31" s="118"/>
      <c r="AD31" s="115"/>
      <c r="AE31" s="115"/>
      <c r="AF31" s="102"/>
    </row>
    <row r="32" spans="1:32" ht="17.149999999999999" x14ac:dyDescent="0.55000000000000004">
      <c r="A32" s="123"/>
      <c r="B32" s="118"/>
      <c r="C32" s="118"/>
      <c r="D32" s="118"/>
      <c r="E32" s="118"/>
      <c r="F32" s="118"/>
      <c r="G32" s="132" t="s">
        <v>417</v>
      </c>
      <c r="H32" s="162">
        <f>Variable_Management!B106*1000</f>
        <v>3.2933791994832786</v>
      </c>
      <c r="I32" s="125" t="s">
        <v>81</v>
      </c>
      <c r="J32" s="118"/>
      <c r="K32" s="118"/>
      <c r="L32" s="118"/>
      <c r="M32" s="132"/>
      <c r="N32" s="225"/>
      <c r="O32" s="118"/>
      <c r="P32" s="118"/>
      <c r="Q32" s="115"/>
      <c r="R32" s="115"/>
      <c r="S32" s="115"/>
      <c r="T32" s="115"/>
      <c r="U32" s="115"/>
      <c r="V32" s="115"/>
      <c r="W32" s="115"/>
      <c r="X32" s="115"/>
      <c r="Y32" s="115"/>
      <c r="Z32" s="115"/>
      <c r="AA32" s="115"/>
      <c r="AB32" s="115"/>
      <c r="AC32" s="115"/>
      <c r="AD32" s="115"/>
      <c r="AE32" s="115"/>
      <c r="AF32" s="102"/>
    </row>
    <row r="33" spans="1:32" ht="17.149999999999999" x14ac:dyDescent="0.55000000000000004">
      <c r="A33" s="123"/>
      <c r="B33" s="118"/>
      <c r="C33" s="118"/>
      <c r="D33" s="118"/>
      <c r="E33" s="118"/>
      <c r="F33" s="118"/>
      <c r="G33" s="132" t="s">
        <v>130</v>
      </c>
      <c r="H33" s="164">
        <f>Variable_Management!B107</f>
        <v>2477.2567682910717</v>
      </c>
      <c r="I33" s="133" t="s">
        <v>35</v>
      </c>
      <c r="J33" s="118"/>
      <c r="K33" s="118"/>
      <c r="L33" s="118"/>
      <c r="M33" s="115"/>
      <c r="N33" s="115"/>
      <c r="O33" s="115"/>
      <c r="P33" s="115"/>
      <c r="Q33" s="115"/>
      <c r="R33" s="115"/>
      <c r="S33" s="115"/>
      <c r="T33" s="115"/>
      <c r="U33" s="115"/>
      <c r="V33" s="115"/>
      <c r="W33" s="115"/>
      <c r="X33" s="118"/>
      <c r="Y33" s="115"/>
      <c r="Z33" s="115"/>
      <c r="AA33" s="115"/>
      <c r="AB33" s="115"/>
      <c r="AC33" s="115"/>
      <c r="AD33" s="115"/>
      <c r="AE33" s="115"/>
      <c r="AF33" s="102"/>
    </row>
    <row r="34" spans="1:32" ht="17.149999999999999" x14ac:dyDescent="0.55000000000000004">
      <c r="A34" s="123"/>
      <c r="B34" s="118"/>
      <c r="C34" s="118"/>
      <c r="D34" s="118"/>
      <c r="E34" s="118"/>
      <c r="F34" s="118"/>
      <c r="G34" s="132" t="s">
        <v>418</v>
      </c>
      <c r="H34" s="273">
        <v>4</v>
      </c>
      <c r="I34" s="125" t="s">
        <v>81</v>
      </c>
      <c r="J34" s="118"/>
      <c r="K34" s="118"/>
      <c r="L34" s="118"/>
      <c r="M34" s="115"/>
      <c r="N34" s="115"/>
      <c r="O34" s="115"/>
      <c r="P34" s="115"/>
      <c r="Q34" s="115"/>
      <c r="R34" s="115"/>
      <c r="S34" s="115"/>
      <c r="T34" s="115"/>
      <c r="U34" s="115"/>
      <c r="V34" s="115"/>
      <c r="W34" s="115"/>
      <c r="X34" s="118"/>
      <c r="Y34" s="115"/>
      <c r="Z34" s="115"/>
      <c r="AA34" s="115"/>
      <c r="AB34" s="115"/>
      <c r="AC34" s="115"/>
      <c r="AD34" s="115"/>
      <c r="AE34" s="115"/>
      <c r="AF34" s="102"/>
    </row>
    <row r="35" spans="1:32" ht="17.149999999999999" x14ac:dyDescent="0.55000000000000004">
      <c r="A35" s="123"/>
      <c r="B35" s="118"/>
      <c r="C35" s="118"/>
      <c r="D35" s="118"/>
      <c r="E35" s="118"/>
      <c r="F35" s="118"/>
      <c r="G35" s="132" t="s">
        <v>133</v>
      </c>
      <c r="H35" s="274">
        <v>3240</v>
      </c>
      <c r="I35" s="133" t="s">
        <v>35</v>
      </c>
      <c r="J35" s="118"/>
      <c r="K35" s="118"/>
      <c r="L35" s="118"/>
      <c r="M35" s="115"/>
      <c r="N35" s="115"/>
      <c r="O35" s="115"/>
      <c r="P35" s="115"/>
      <c r="Q35" s="115"/>
      <c r="R35" s="115"/>
      <c r="S35" s="115"/>
      <c r="T35" s="115"/>
      <c r="U35" s="115"/>
      <c r="V35" s="115"/>
      <c r="W35" s="115"/>
      <c r="X35" s="118"/>
      <c r="Y35" s="115"/>
      <c r="Z35" s="115"/>
      <c r="AA35" s="115"/>
      <c r="AB35" s="115"/>
      <c r="AC35" s="115"/>
      <c r="AD35" s="115"/>
      <c r="AE35" s="115"/>
      <c r="AF35" s="102"/>
    </row>
    <row r="36" spans="1:32" ht="15" thickBot="1" x14ac:dyDescent="0.45">
      <c r="A36" s="130"/>
      <c r="B36" s="127"/>
      <c r="C36" s="127"/>
      <c r="D36" s="127"/>
      <c r="E36" s="127"/>
      <c r="F36" s="127"/>
      <c r="G36" s="134" t="s">
        <v>137</v>
      </c>
      <c r="H36" s="165">
        <f>IL_pk_max</f>
        <v>2.6982378854625599</v>
      </c>
      <c r="I36" s="135" t="s">
        <v>12</v>
      </c>
      <c r="J36" s="118"/>
      <c r="K36" s="118"/>
      <c r="L36" s="118"/>
      <c r="M36" s="115"/>
      <c r="N36" s="115"/>
      <c r="O36" s="115"/>
      <c r="P36" s="115"/>
      <c r="Q36" s="115"/>
      <c r="R36" s="115"/>
      <c r="S36" s="115"/>
      <c r="T36" s="115"/>
      <c r="U36" s="115"/>
      <c r="V36" s="115"/>
      <c r="W36" s="115"/>
      <c r="X36" s="118"/>
      <c r="Y36" s="115"/>
      <c r="Z36" s="115"/>
      <c r="AA36" s="115"/>
      <c r="AB36" s="115"/>
      <c r="AC36" s="115"/>
      <c r="AD36" s="115"/>
      <c r="AE36" s="115"/>
      <c r="AF36" s="102"/>
    </row>
    <row r="37" spans="1:32" x14ac:dyDescent="0.4">
      <c r="A37" s="118"/>
      <c r="B37" s="118"/>
      <c r="C37" s="118"/>
      <c r="D37" s="118"/>
      <c r="E37" s="118"/>
      <c r="F37" s="118"/>
      <c r="G37" s="132"/>
      <c r="H37" s="182"/>
      <c r="I37" s="226"/>
      <c r="J37" s="226"/>
      <c r="K37" s="115"/>
      <c r="L37" s="115"/>
      <c r="M37" s="115"/>
      <c r="N37" s="115"/>
      <c r="O37" s="115"/>
      <c r="P37" s="115"/>
      <c r="Q37" s="115"/>
      <c r="R37" s="115"/>
      <c r="S37" s="115"/>
      <c r="T37" s="115"/>
      <c r="U37" s="115"/>
      <c r="V37" s="115"/>
      <c r="W37" s="115"/>
      <c r="X37" s="118"/>
      <c r="Y37" s="115"/>
      <c r="Z37" s="115"/>
      <c r="AA37" s="115"/>
      <c r="AB37" s="115"/>
      <c r="AC37" s="115"/>
      <c r="AD37" s="115"/>
      <c r="AE37" s="115"/>
      <c r="AF37" s="102"/>
    </row>
    <row r="38" spans="1:32" ht="18.45" x14ac:dyDescent="0.5">
      <c r="A38" s="248" t="s">
        <v>146</v>
      </c>
      <c r="B38" s="118"/>
      <c r="C38" s="118"/>
      <c r="D38" s="118"/>
      <c r="E38" s="115"/>
      <c r="F38" s="115"/>
      <c r="G38" s="115"/>
      <c r="H38" s="115"/>
      <c r="I38" s="115"/>
      <c r="J38" s="115"/>
      <c r="K38" s="115"/>
      <c r="L38" s="115"/>
      <c r="M38" s="115"/>
      <c r="N38" s="115"/>
      <c r="O38" s="115"/>
      <c r="P38" s="115"/>
      <c r="Q38" s="115"/>
      <c r="R38" s="115"/>
      <c r="S38" s="115"/>
      <c r="T38" s="115"/>
      <c r="U38" s="115"/>
      <c r="V38" s="115"/>
      <c r="W38" s="115"/>
      <c r="X38" s="118"/>
      <c r="Y38" s="115"/>
      <c r="Z38" s="115"/>
      <c r="AA38" s="115"/>
      <c r="AB38" s="115"/>
      <c r="AC38" s="115"/>
      <c r="AD38" s="115"/>
      <c r="AE38" s="115"/>
      <c r="AF38" s="102"/>
    </row>
    <row r="39" spans="1:32" ht="15" thickBot="1" x14ac:dyDescent="0.45">
      <c r="A39" s="118"/>
      <c r="B39" s="118"/>
      <c r="C39" s="118"/>
      <c r="D39" s="118"/>
      <c r="E39" s="115"/>
      <c r="F39" s="118"/>
      <c r="G39" s="118"/>
      <c r="H39" s="238" t="s">
        <v>644</v>
      </c>
      <c r="I39" s="118"/>
      <c r="J39" s="115"/>
      <c r="K39" s="115"/>
      <c r="L39" s="230"/>
      <c r="M39" s="230"/>
      <c r="N39" s="238" t="s">
        <v>671</v>
      </c>
      <c r="O39" s="231"/>
      <c r="P39" s="232"/>
      <c r="Q39" s="115"/>
      <c r="R39" s="115"/>
      <c r="S39" s="118"/>
      <c r="T39" s="118"/>
      <c r="U39" s="118"/>
      <c r="V39" s="238" t="s">
        <v>679</v>
      </c>
      <c r="W39" s="118"/>
      <c r="X39" s="118"/>
      <c r="Y39" s="115"/>
      <c r="Z39" s="115"/>
      <c r="AA39" s="115"/>
      <c r="AB39" s="115"/>
      <c r="AC39" s="115"/>
      <c r="AD39" s="115"/>
      <c r="AE39" s="115"/>
      <c r="AF39" s="102"/>
    </row>
    <row r="40" spans="1:32" ht="17.149999999999999" x14ac:dyDescent="0.55000000000000004">
      <c r="A40" s="119"/>
      <c r="B40" s="120"/>
      <c r="C40" s="120"/>
      <c r="D40" s="120"/>
      <c r="E40" s="120"/>
      <c r="F40" s="120"/>
      <c r="G40" s="136" t="s">
        <v>590</v>
      </c>
      <c r="H40" s="160">
        <v>100000</v>
      </c>
      <c r="I40" s="122" t="s">
        <v>147</v>
      </c>
      <c r="J40" s="115"/>
      <c r="K40" s="118"/>
      <c r="L40" s="119"/>
      <c r="M40" s="136" t="s">
        <v>590</v>
      </c>
      <c r="N40" s="160">
        <v>100</v>
      </c>
      <c r="O40" s="122" t="s">
        <v>147</v>
      </c>
      <c r="P40" s="115"/>
      <c r="Q40" s="118"/>
      <c r="R40" s="119"/>
      <c r="S40" s="120"/>
      <c r="T40" s="120"/>
      <c r="U40" s="136" t="s">
        <v>590</v>
      </c>
      <c r="V40" s="160">
        <v>700</v>
      </c>
      <c r="W40" s="122" t="s">
        <v>147</v>
      </c>
      <c r="X40" s="118"/>
      <c r="Y40" s="115"/>
      <c r="Z40" s="115"/>
      <c r="AA40" s="115"/>
      <c r="AB40" s="115"/>
      <c r="AC40" s="115"/>
      <c r="AD40" s="115"/>
      <c r="AE40" s="115"/>
      <c r="AF40" s="102"/>
    </row>
    <row r="41" spans="1:32" x14ac:dyDescent="0.4">
      <c r="A41" s="123"/>
      <c r="B41" s="118"/>
      <c r="C41" s="118"/>
      <c r="D41" s="118"/>
      <c r="E41" s="118"/>
      <c r="F41" s="118"/>
      <c r="G41" s="132" t="s">
        <v>680</v>
      </c>
      <c r="H41" s="164">
        <f>Cout1_min*10^6</f>
        <v>2.3131377551020418E-2</v>
      </c>
      <c r="I41" s="125" t="s">
        <v>148</v>
      </c>
      <c r="J41" s="115"/>
      <c r="K41" s="118"/>
      <c r="L41" s="123"/>
      <c r="M41" s="132" t="s">
        <v>681</v>
      </c>
      <c r="N41" s="164">
        <f>Cout2_min*(10^6)</f>
        <v>0</v>
      </c>
      <c r="O41" s="125" t="s">
        <v>148</v>
      </c>
      <c r="P41" s="115"/>
      <c r="Q41" s="118"/>
      <c r="R41" s="123"/>
      <c r="S41" s="118"/>
      <c r="T41" s="118"/>
      <c r="U41" s="132" t="s">
        <v>682</v>
      </c>
      <c r="V41" s="164">
        <f>Cout3_min*(10^6)</f>
        <v>0</v>
      </c>
      <c r="W41" s="125" t="s">
        <v>148</v>
      </c>
      <c r="X41" s="118"/>
      <c r="Y41" s="115"/>
      <c r="Z41" s="115"/>
      <c r="AA41" s="115"/>
      <c r="AB41" s="115"/>
      <c r="AC41" s="115"/>
      <c r="AD41" s="115"/>
      <c r="AE41" s="115"/>
      <c r="AF41" s="102"/>
    </row>
    <row r="42" spans="1:32" ht="17.149999999999999" x14ac:dyDescent="0.55000000000000004">
      <c r="A42" s="123"/>
      <c r="B42" s="118"/>
      <c r="C42" s="118"/>
      <c r="D42" s="237"/>
      <c r="E42" s="118"/>
      <c r="F42" s="118"/>
      <c r="G42" s="132" t="s">
        <v>149</v>
      </c>
      <c r="H42" s="161">
        <v>0.3</v>
      </c>
      <c r="I42" s="125" t="s">
        <v>148</v>
      </c>
      <c r="J42" s="115"/>
      <c r="K42" s="118"/>
      <c r="L42" s="123"/>
      <c r="M42" s="132" t="s">
        <v>149</v>
      </c>
      <c r="N42" s="161">
        <v>2</v>
      </c>
      <c r="O42" s="125" t="s">
        <v>148</v>
      </c>
      <c r="P42" s="115"/>
      <c r="Q42" s="118"/>
      <c r="R42" s="123"/>
      <c r="S42" s="118"/>
      <c r="T42" s="118"/>
      <c r="U42" s="132" t="s">
        <v>149</v>
      </c>
      <c r="V42" s="161">
        <v>100</v>
      </c>
      <c r="W42" s="125" t="s">
        <v>148</v>
      </c>
      <c r="X42" s="118"/>
      <c r="Y42" s="115"/>
      <c r="Z42" s="115"/>
      <c r="AA42" s="115"/>
      <c r="AB42" s="115"/>
      <c r="AC42" s="115"/>
      <c r="AD42" s="115"/>
      <c r="AE42" s="115"/>
      <c r="AF42" s="102"/>
    </row>
    <row r="43" spans="1:32" ht="17.600000000000001" thickBot="1" x14ac:dyDescent="0.6">
      <c r="A43" s="130"/>
      <c r="B43" s="127"/>
      <c r="C43" s="127"/>
      <c r="D43" s="127"/>
      <c r="E43" s="127"/>
      <c r="F43" s="127"/>
      <c r="G43" s="134" t="s">
        <v>155</v>
      </c>
      <c r="H43" s="166">
        <v>33.299999999999997</v>
      </c>
      <c r="I43" s="128" t="s">
        <v>81</v>
      </c>
      <c r="J43" s="115"/>
      <c r="K43" s="118"/>
      <c r="L43" s="130"/>
      <c r="M43" s="134" t="s">
        <v>155</v>
      </c>
      <c r="N43" s="166">
        <v>1</v>
      </c>
      <c r="O43" s="128" t="s">
        <v>81</v>
      </c>
      <c r="P43" s="115"/>
      <c r="Q43" s="118"/>
      <c r="R43" s="130"/>
      <c r="S43" s="127"/>
      <c r="T43" s="127"/>
      <c r="U43" s="134" t="s">
        <v>155</v>
      </c>
      <c r="V43" s="166">
        <v>2</v>
      </c>
      <c r="W43" s="128" t="s">
        <v>81</v>
      </c>
      <c r="X43" s="118"/>
      <c r="Y43" s="115"/>
      <c r="Z43" s="115"/>
      <c r="AA43" s="115"/>
      <c r="AB43" s="115"/>
      <c r="AC43" s="115"/>
      <c r="AD43" s="115"/>
      <c r="AE43" s="115"/>
      <c r="AF43" s="102"/>
    </row>
    <row r="44" spans="1:32" x14ac:dyDescent="0.4">
      <c r="A44" s="118"/>
      <c r="B44" s="118"/>
      <c r="C44" s="118"/>
      <c r="D44" s="118"/>
      <c r="E44" s="118"/>
      <c r="F44" s="118"/>
      <c r="G44" s="132"/>
      <c r="H44" s="182"/>
      <c r="I44" s="226"/>
      <c r="J44" s="226"/>
      <c r="K44" s="115"/>
      <c r="L44" s="115"/>
      <c r="M44" s="115"/>
      <c r="N44" s="115"/>
      <c r="O44" s="115"/>
      <c r="P44" s="115"/>
      <c r="Q44" s="115"/>
      <c r="R44" s="115"/>
      <c r="S44" s="115"/>
      <c r="T44" s="115"/>
      <c r="U44" s="115"/>
      <c r="V44" s="115"/>
      <c r="W44" s="115"/>
      <c r="X44" s="118"/>
      <c r="Y44" s="115"/>
      <c r="Z44" s="115"/>
      <c r="AA44" s="115"/>
      <c r="AB44" s="115"/>
      <c r="AC44" s="115"/>
      <c r="AD44" s="115"/>
      <c r="AE44" s="115"/>
      <c r="AF44" s="102"/>
    </row>
    <row r="45" spans="1:32" x14ac:dyDescent="0.4">
      <c r="A45" s="115"/>
      <c r="B45" s="115"/>
      <c r="C45" s="115"/>
      <c r="D45" s="115"/>
      <c r="E45" s="115"/>
      <c r="F45" s="115"/>
      <c r="G45" s="115"/>
      <c r="H45" s="115"/>
      <c r="I45" s="115"/>
      <c r="J45" s="226"/>
      <c r="K45" s="115"/>
      <c r="L45" s="115"/>
      <c r="M45" s="115"/>
      <c r="N45" s="115"/>
      <c r="O45" s="115"/>
      <c r="P45" s="115"/>
      <c r="Q45" s="115"/>
      <c r="R45" s="115"/>
      <c r="S45" s="115"/>
      <c r="T45" s="115"/>
      <c r="U45" s="115"/>
      <c r="V45" s="115"/>
      <c r="W45" s="115"/>
      <c r="X45" s="118"/>
      <c r="Y45" s="115"/>
      <c r="Z45" s="115"/>
      <c r="AA45" s="115"/>
      <c r="AB45" s="115"/>
      <c r="AC45" s="115"/>
      <c r="AD45" s="115"/>
      <c r="AE45" s="115"/>
      <c r="AF45" s="102"/>
    </row>
    <row r="46" spans="1:32" ht="18.899999999999999" thickBot="1" x14ac:dyDescent="0.55000000000000004">
      <c r="A46" s="248" t="s">
        <v>272</v>
      </c>
      <c r="B46" s="115"/>
      <c r="C46" s="115"/>
      <c r="D46" s="115"/>
      <c r="E46" s="115"/>
      <c r="F46" s="115"/>
      <c r="G46" s="116"/>
      <c r="H46" s="115"/>
      <c r="I46" s="115"/>
      <c r="J46" s="115"/>
      <c r="K46" s="115"/>
      <c r="L46" s="115"/>
      <c r="M46" s="115"/>
      <c r="N46" s="115"/>
      <c r="O46" s="115"/>
      <c r="P46" s="115"/>
      <c r="Q46" s="115"/>
      <c r="R46" s="115"/>
      <c r="S46" s="115"/>
      <c r="T46" s="115"/>
      <c r="U46" s="115"/>
      <c r="V46" s="115"/>
      <c r="W46" s="115"/>
      <c r="X46" s="118"/>
      <c r="Y46" s="115"/>
      <c r="Z46" s="115"/>
      <c r="AA46" s="115"/>
      <c r="AB46" s="115"/>
      <c r="AC46" s="115"/>
      <c r="AD46" s="115"/>
      <c r="AE46" s="115"/>
      <c r="AF46" s="102"/>
    </row>
    <row r="47" spans="1:32" ht="17.149999999999999" x14ac:dyDescent="0.55000000000000004">
      <c r="A47" s="119"/>
      <c r="B47" s="120"/>
      <c r="C47" s="120"/>
      <c r="D47" s="120"/>
      <c r="E47" s="120"/>
      <c r="F47" s="120"/>
      <c r="G47" s="136" t="s">
        <v>294</v>
      </c>
      <c r="H47" s="169">
        <f>Variable_Management!B156*(10^9)</f>
        <v>89.999999999999986</v>
      </c>
      <c r="I47" s="122" t="s">
        <v>172</v>
      </c>
      <c r="J47" s="118"/>
      <c r="K47" s="115"/>
      <c r="L47" s="115"/>
      <c r="M47" s="115"/>
      <c r="N47" s="115"/>
      <c r="O47" s="115"/>
      <c r="P47" s="115"/>
      <c r="Q47" s="115"/>
      <c r="R47" s="115"/>
      <c r="S47" s="115"/>
      <c r="T47" s="115"/>
      <c r="U47" s="115"/>
      <c r="V47" s="115"/>
      <c r="W47" s="115"/>
      <c r="X47" s="118"/>
      <c r="Y47" s="115"/>
      <c r="Z47" s="115"/>
      <c r="AA47" s="115"/>
      <c r="AB47" s="115"/>
      <c r="AC47" s="115"/>
      <c r="AD47" s="115"/>
      <c r="AE47" s="115"/>
      <c r="AF47" s="102"/>
    </row>
    <row r="48" spans="1:32" ht="17.149999999999999" x14ac:dyDescent="0.55000000000000004">
      <c r="A48" s="123"/>
      <c r="B48" s="118"/>
      <c r="C48" s="118"/>
      <c r="D48" s="118"/>
      <c r="E48" s="118"/>
      <c r="F48" s="118"/>
      <c r="G48" s="132" t="s">
        <v>299</v>
      </c>
      <c r="H48" s="161">
        <v>22</v>
      </c>
      <c r="I48" s="125" t="s">
        <v>295</v>
      </c>
      <c r="J48" s="118"/>
      <c r="K48" s="115"/>
      <c r="L48" s="115"/>
      <c r="M48" s="115"/>
      <c r="N48" s="115"/>
      <c r="O48" s="115"/>
      <c r="P48" s="115"/>
      <c r="Q48" s="115"/>
      <c r="R48" s="115"/>
      <c r="S48" s="115"/>
      <c r="T48" s="115"/>
      <c r="U48" s="115"/>
      <c r="V48" s="115"/>
      <c r="W48" s="115"/>
      <c r="X48" s="118"/>
      <c r="Y48" s="115"/>
      <c r="Z48" s="115"/>
      <c r="AA48" s="115"/>
      <c r="AB48" s="115"/>
      <c r="AC48" s="115"/>
      <c r="AD48" s="115"/>
      <c r="AE48" s="115"/>
      <c r="AF48" s="102"/>
    </row>
    <row r="49" spans="1:32" ht="17.600000000000001" thickBot="1" x14ac:dyDescent="0.6">
      <c r="A49" s="130"/>
      <c r="B49" s="127"/>
      <c r="C49" s="127"/>
      <c r="D49" s="127"/>
      <c r="E49" s="127"/>
      <c r="F49" s="127"/>
      <c r="G49" s="134" t="s">
        <v>298</v>
      </c>
      <c r="H49" s="170">
        <f>Variable_Management!B158*(10^9)</f>
        <v>219.99999999999997</v>
      </c>
      <c r="I49" s="128" t="s">
        <v>172</v>
      </c>
      <c r="J49" s="118"/>
      <c r="K49" s="115"/>
      <c r="L49" s="115"/>
      <c r="M49" s="115"/>
      <c r="N49" s="115"/>
      <c r="O49" s="115"/>
      <c r="P49" s="115"/>
      <c r="Q49" s="115"/>
      <c r="R49" s="115"/>
      <c r="S49" s="115"/>
      <c r="T49" s="115"/>
      <c r="U49" s="115"/>
      <c r="V49" s="115"/>
      <c r="W49" s="115"/>
      <c r="X49" s="118"/>
      <c r="Y49" s="115"/>
      <c r="Z49" s="115"/>
      <c r="AA49" s="115"/>
      <c r="AB49" s="115"/>
      <c r="AC49" s="115"/>
      <c r="AD49" s="115"/>
      <c r="AE49" s="115"/>
      <c r="AF49" s="102"/>
    </row>
    <row r="50" spans="1:32" x14ac:dyDescent="0.4">
      <c r="A50" s="115"/>
      <c r="B50" s="115"/>
      <c r="C50" s="115"/>
      <c r="D50" s="115"/>
      <c r="E50" s="115"/>
      <c r="F50" s="115"/>
      <c r="G50" s="116"/>
      <c r="H50" s="115"/>
      <c r="I50" s="115"/>
      <c r="J50" s="115"/>
      <c r="K50" s="115"/>
      <c r="L50" s="115"/>
      <c r="M50" s="115"/>
      <c r="N50" s="115"/>
      <c r="O50" s="115"/>
      <c r="P50" s="115"/>
      <c r="Q50" s="115"/>
      <c r="R50" s="115"/>
      <c r="S50" s="115"/>
      <c r="T50" s="115"/>
      <c r="U50" s="115"/>
      <c r="V50" s="115"/>
      <c r="W50" s="115"/>
      <c r="X50" s="118"/>
      <c r="Y50" s="115"/>
      <c r="Z50" s="115"/>
      <c r="AA50" s="115"/>
      <c r="AB50" s="115"/>
      <c r="AC50" s="115"/>
      <c r="AD50" s="115"/>
      <c r="AE50" s="115"/>
      <c r="AF50" s="102"/>
    </row>
    <row r="51" spans="1:32" ht="18.899999999999999" thickBot="1" x14ac:dyDescent="0.55000000000000004">
      <c r="A51" s="248" t="s">
        <v>273</v>
      </c>
      <c r="B51" s="115"/>
      <c r="C51" s="115"/>
      <c r="D51" s="115"/>
      <c r="E51" s="115"/>
      <c r="F51" s="115"/>
      <c r="G51" s="116"/>
      <c r="H51" s="115"/>
      <c r="I51" s="115"/>
      <c r="J51" s="115"/>
      <c r="K51" s="115"/>
      <c r="L51" s="115"/>
      <c r="M51" s="115"/>
      <c r="N51" s="115"/>
      <c r="O51" s="115"/>
      <c r="P51" s="115"/>
      <c r="Q51" s="115"/>
      <c r="R51" s="115"/>
      <c r="S51" s="115"/>
      <c r="T51" s="115"/>
      <c r="U51" s="115"/>
      <c r="V51" s="115"/>
      <c r="W51" s="115"/>
      <c r="X51" s="118"/>
      <c r="Y51" s="115"/>
      <c r="Z51" s="115"/>
      <c r="AA51" s="115"/>
      <c r="AB51" s="115"/>
      <c r="AC51" s="115"/>
      <c r="AD51" s="115"/>
      <c r="AE51" s="115"/>
      <c r="AF51" s="102"/>
    </row>
    <row r="52" spans="1:32" ht="17.149999999999999" x14ac:dyDescent="0.55000000000000004">
      <c r="A52" s="119"/>
      <c r="B52" s="120"/>
      <c r="C52" s="120"/>
      <c r="D52" s="120"/>
      <c r="E52" s="120"/>
      <c r="F52" s="120"/>
      <c r="G52" s="136" t="s">
        <v>301</v>
      </c>
      <c r="H52" s="160">
        <v>14</v>
      </c>
      <c r="I52" s="122" t="s">
        <v>11</v>
      </c>
      <c r="J52" s="118"/>
      <c r="K52" s="115"/>
      <c r="L52" s="115"/>
      <c r="M52" s="115"/>
      <c r="N52" s="115"/>
      <c r="O52" s="115"/>
      <c r="P52" s="115"/>
      <c r="Q52" s="115"/>
      <c r="R52" s="115"/>
      <c r="S52" s="115"/>
      <c r="T52" s="115"/>
      <c r="U52" s="115"/>
      <c r="V52" s="115"/>
      <c r="W52" s="115"/>
      <c r="X52" s="118"/>
      <c r="Y52" s="115"/>
      <c r="Z52" s="115"/>
      <c r="AA52" s="115"/>
      <c r="AB52" s="115"/>
      <c r="AC52" s="115"/>
      <c r="AD52" s="115"/>
      <c r="AE52" s="115"/>
      <c r="AF52" s="102"/>
    </row>
    <row r="53" spans="1:32" ht="17.149999999999999" x14ac:dyDescent="0.55000000000000004">
      <c r="A53" s="123"/>
      <c r="B53" s="118"/>
      <c r="C53" s="118"/>
      <c r="D53" s="118"/>
      <c r="E53" s="118"/>
      <c r="F53" s="118"/>
      <c r="G53" s="132" t="s">
        <v>300</v>
      </c>
      <c r="H53" s="161">
        <v>13</v>
      </c>
      <c r="I53" s="125" t="s">
        <v>11</v>
      </c>
      <c r="J53" s="118"/>
      <c r="K53" s="115"/>
      <c r="L53" s="115"/>
      <c r="M53" s="115"/>
      <c r="N53" s="115"/>
      <c r="O53" s="115"/>
      <c r="P53" s="115"/>
      <c r="Q53" s="115"/>
      <c r="R53" s="115"/>
      <c r="S53" s="159"/>
      <c r="T53" s="115"/>
      <c r="U53" s="115"/>
      <c r="V53" s="115"/>
      <c r="W53" s="115"/>
      <c r="X53" s="118"/>
      <c r="Y53" s="115"/>
      <c r="Z53" s="115"/>
      <c r="AA53" s="115"/>
      <c r="AB53" s="115"/>
      <c r="AC53" s="115"/>
      <c r="AD53" s="115"/>
      <c r="AE53" s="115"/>
      <c r="AF53" s="102"/>
    </row>
    <row r="54" spans="1:32" ht="17.149999999999999" x14ac:dyDescent="0.55000000000000004">
      <c r="A54" s="123"/>
      <c r="B54" s="118"/>
      <c r="C54" s="118"/>
      <c r="D54" s="118"/>
      <c r="E54" s="118"/>
      <c r="F54" s="118"/>
      <c r="G54" s="132" t="s">
        <v>389</v>
      </c>
      <c r="H54" s="167">
        <f>Ruvlo_top_calc/1000</f>
        <v>107.60000000000005</v>
      </c>
      <c r="I54" s="133" t="s">
        <v>169</v>
      </c>
      <c r="J54" s="226"/>
      <c r="K54" s="115"/>
      <c r="L54" s="115"/>
      <c r="M54" s="115"/>
      <c r="N54" s="115"/>
      <c r="O54" s="115"/>
      <c r="P54" s="115"/>
      <c r="Q54" s="115"/>
      <c r="R54" s="115"/>
      <c r="S54" s="115"/>
      <c r="T54" s="115"/>
      <c r="U54" s="115"/>
      <c r="V54" s="115"/>
      <c r="W54" s="115"/>
      <c r="X54" s="118"/>
      <c r="Y54" s="115"/>
      <c r="Z54" s="115"/>
      <c r="AA54" s="115"/>
      <c r="AB54" s="115"/>
      <c r="AC54" s="115"/>
      <c r="AD54" s="115"/>
      <c r="AE54" s="115"/>
      <c r="AF54" s="102"/>
    </row>
    <row r="55" spans="1:32" ht="17.149999999999999" x14ac:dyDescent="0.55000000000000004">
      <c r="A55" s="123"/>
      <c r="B55" s="118"/>
      <c r="C55" s="118"/>
      <c r="D55" s="118"/>
      <c r="E55" s="118"/>
      <c r="F55" s="118"/>
      <c r="G55" s="132" t="s">
        <v>390</v>
      </c>
      <c r="H55" s="273">
        <v>20</v>
      </c>
      <c r="I55" s="133" t="s">
        <v>169</v>
      </c>
      <c r="J55" s="226"/>
      <c r="K55" s="115"/>
      <c r="L55" s="115"/>
      <c r="M55" s="115"/>
      <c r="N55" s="115"/>
      <c r="O55" s="115"/>
      <c r="P55" s="115"/>
      <c r="Q55" s="115"/>
      <c r="R55" s="115"/>
      <c r="S55" s="115"/>
      <c r="T55" s="115"/>
      <c r="U55" s="115"/>
      <c r="V55" s="115"/>
      <c r="W55" s="115"/>
      <c r="X55" s="118"/>
      <c r="Y55" s="115"/>
      <c r="Z55" s="115"/>
      <c r="AA55" s="115"/>
      <c r="AB55" s="115"/>
      <c r="AC55" s="115"/>
      <c r="AD55" s="115"/>
      <c r="AE55" s="115"/>
      <c r="AF55" s="102"/>
    </row>
    <row r="56" spans="1:32" ht="17.600000000000001" thickBot="1" x14ac:dyDescent="0.6">
      <c r="A56" s="130"/>
      <c r="B56" s="127"/>
      <c r="C56" s="127"/>
      <c r="D56" s="127"/>
      <c r="E56" s="127"/>
      <c r="F56" s="127"/>
      <c r="G56" s="134" t="s">
        <v>391</v>
      </c>
      <c r="H56" s="168">
        <f>Ruvlo_bottom_calc/1000</f>
        <v>2.4</v>
      </c>
      <c r="I56" s="135" t="s">
        <v>169</v>
      </c>
      <c r="J56" s="226"/>
      <c r="K56" s="115"/>
      <c r="L56" s="115"/>
      <c r="M56" s="115"/>
      <c r="N56" s="115"/>
      <c r="O56" s="115"/>
      <c r="P56" s="115"/>
      <c r="Q56" s="115"/>
      <c r="R56" s="115"/>
      <c r="S56" s="115"/>
      <c r="T56" s="115"/>
      <c r="U56" s="115"/>
      <c r="V56" s="115"/>
      <c r="W56" s="115"/>
      <c r="X56" s="118"/>
      <c r="Y56" s="115"/>
      <c r="Z56" s="115"/>
      <c r="AA56" s="115"/>
      <c r="AB56" s="115"/>
      <c r="AC56" s="115"/>
      <c r="AD56" s="115"/>
      <c r="AE56" s="115"/>
      <c r="AF56" s="102"/>
    </row>
    <row r="57" spans="1:32" x14ac:dyDescent="0.4">
      <c r="A57" s="115"/>
      <c r="B57" s="115"/>
      <c r="C57" s="115"/>
      <c r="D57" s="115"/>
      <c r="E57" s="115"/>
      <c r="F57" s="115"/>
      <c r="G57" s="116"/>
      <c r="H57" s="115"/>
      <c r="I57" s="115"/>
      <c r="J57" s="115"/>
      <c r="K57" s="115"/>
      <c r="L57" s="115"/>
      <c r="M57" s="115"/>
      <c r="N57" s="115"/>
      <c r="O57" s="115"/>
      <c r="P57" s="115"/>
      <c r="Q57" s="115"/>
      <c r="R57" s="115"/>
      <c r="S57" s="115"/>
      <c r="T57" s="115"/>
      <c r="U57" s="115"/>
      <c r="V57" s="115"/>
      <c r="W57" s="115"/>
      <c r="X57" s="118"/>
      <c r="Y57" s="115"/>
      <c r="Z57" s="115"/>
      <c r="AA57" s="115"/>
      <c r="AB57" s="115"/>
      <c r="AC57" s="115"/>
      <c r="AD57" s="115"/>
      <c r="AE57" s="115"/>
      <c r="AF57" s="102"/>
    </row>
    <row r="58" spans="1:32" ht="18.899999999999999" thickBot="1" x14ac:dyDescent="0.55000000000000004">
      <c r="A58" s="248" t="s">
        <v>324</v>
      </c>
      <c r="B58" s="115"/>
      <c r="C58" s="115"/>
      <c r="D58" s="115"/>
      <c r="E58" s="115"/>
      <c r="F58" s="115"/>
      <c r="G58" s="115"/>
      <c r="H58" s="115"/>
      <c r="I58" s="115"/>
      <c r="J58" s="115"/>
      <c r="K58" s="115"/>
      <c r="L58" s="115"/>
      <c r="M58" s="115"/>
      <c r="N58" s="115"/>
      <c r="O58" s="115"/>
      <c r="P58" s="115"/>
      <c r="Q58" s="115"/>
      <c r="R58" s="115"/>
      <c r="S58" s="115"/>
      <c r="T58" s="115"/>
      <c r="U58" s="115"/>
      <c r="V58" s="115"/>
      <c r="W58" s="115"/>
      <c r="X58" s="118"/>
      <c r="Y58" s="115"/>
      <c r="Z58" s="115"/>
      <c r="AA58" s="115"/>
      <c r="AB58" s="115"/>
      <c r="AC58" s="115"/>
      <c r="AD58" s="115"/>
      <c r="AE58" s="115"/>
      <c r="AF58" s="102"/>
    </row>
    <row r="59" spans="1:32" ht="17.149999999999999" x14ac:dyDescent="0.55000000000000004">
      <c r="A59" s="137"/>
      <c r="B59" s="120"/>
      <c r="C59" s="120"/>
      <c r="D59" s="120"/>
      <c r="E59" s="120"/>
      <c r="F59" s="120"/>
      <c r="G59" s="138" t="s">
        <v>414</v>
      </c>
      <c r="H59" s="199">
        <f>VIN_nom</f>
        <v>15</v>
      </c>
      <c r="I59" s="183"/>
      <c r="J59" s="118"/>
      <c r="K59" s="115"/>
      <c r="L59" s="115"/>
      <c r="M59" s="115"/>
      <c r="N59" s="115"/>
      <c r="O59" s="115"/>
      <c r="P59" s="115"/>
      <c r="Q59" s="115"/>
      <c r="R59" s="115"/>
      <c r="S59" s="115"/>
      <c r="T59" s="115"/>
      <c r="U59" s="115"/>
      <c r="V59" s="115"/>
      <c r="W59" s="115"/>
      <c r="X59" s="118"/>
      <c r="Y59" s="115"/>
      <c r="Z59" s="115"/>
      <c r="AA59" s="115"/>
      <c r="AB59" s="115"/>
      <c r="AC59" s="115"/>
      <c r="AD59" s="115"/>
      <c r="AE59" s="115"/>
      <c r="AF59" s="102"/>
    </row>
    <row r="60" spans="1:32" x14ac:dyDescent="0.4">
      <c r="A60" s="139"/>
      <c r="B60" s="118"/>
      <c r="C60" s="118"/>
      <c r="D60" s="118"/>
      <c r="E60" s="118"/>
      <c r="F60" s="118"/>
      <c r="G60" s="198"/>
      <c r="H60" s="189"/>
      <c r="I60" s="163"/>
      <c r="J60" s="118"/>
      <c r="K60" s="115"/>
      <c r="L60" s="115"/>
      <c r="M60" s="115"/>
      <c r="N60" s="115"/>
      <c r="O60" s="115"/>
      <c r="P60" s="115"/>
      <c r="Q60" s="115"/>
      <c r="R60" s="115"/>
      <c r="S60" s="115"/>
      <c r="T60" s="115"/>
      <c r="U60" s="115"/>
      <c r="V60" s="115"/>
      <c r="W60" s="115"/>
      <c r="X60" s="118"/>
      <c r="Y60" s="115"/>
      <c r="Z60" s="115"/>
      <c r="AA60" s="115"/>
      <c r="AB60" s="115"/>
      <c r="AC60" s="115"/>
      <c r="AD60" s="115"/>
      <c r="AE60" s="115"/>
      <c r="AF60" s="102"/>
    </row>
    <row r="61" spans="1:32" ht="15" thickBot="1" x14ac:dyDescent="0.45">
      <c r="A61" s="139"/>
      <c r="B61" s="118"/>
      <c r="C61" s="118"/>
      <c r="D61" s="118"/>
      <c r="E61" s="118"/>
      <c r="F61" s="118"/>
      <c r="G61" s="140" t="s">
        <v>170</v>
      </c>
      <c r="H61" s="163"/>
      <c r="I61" s="163"/>
      <c r="J61" s="118"/>
      <c r="K61" s="115"/>
      <c r="L61" s="115"/>
      <c r="M61" s="115"/>
      <c r="N61" s="115"/>
      <c r="O61" s="115"/>
      <c r="P61" s="115"/>
      <c r="Q61" s="115"/>
      <c r="R61" s="115"/>
      <c r="S61" s="115"/>
      <c r="T61" s="115"/>
      <c r="U61" s="115"/>
      <c r="V61" s="115"/>
      <c r="W61" s="115"/>
      <c r="X61" s="118"/>
      <c r="Y61" s="115"/>
      <c r="Z61" s="115"/>
      <c r="AA61" s="115"/>
      <c r="AB61" s="115"/>
      <c r="AC61" s="115"/>
      <c r="AD61" s="115"/>
      <c r="AE61" s="115"/>
      <c r="AF61" s="102"/>
    </row>
    <row r="62" spans="1:32" ht="17.149999999999999" x14ac:dyDescent="0.55000000000000004">
      <c r="A62" s="139"/>
      <c r="B62" s="118"/>
      <c r="C62" s="118"/>
      <c r="D62" s="118"/>
      <c r="E62" s="118"/>
      <c r="F62" s="118"/>
      <c r="G62" s="116" t="s">
        <v>508</v>
      </c>
      <c r="H62" s="160"/>
      <c r="I62" s="183" t="s">
        <v>11</v>
      </c>
      <c r="J62" s="118"/>
      <c r="K62" s="115"/>
      <c r="L62" s="115"/>
      <c r="M62" s="115"/>
      <c r="N62" s="115"/>
      <c r="O62" s="115"/>
      <c r="P62" s="115"/>
      <c r="Q62" s="115"/>
      <c r="R62" s="115"/>
      <c r="S62" s="115"/>
      <c r="T62" s="115"/>
      <c r="U62" s="115"/>
      <c r="V62" s="115"/>
      <c r="W62" s="115"/>
      <c r="X62" s="118"/>
      <c r="Y62" s="115"/>
      <c r="Z62" s="115"/>
      <c r="AA62" s="115"/>
      <c r="AB62" s="115"/>
      <c r="AC62" s="115"/>
      <c r="AD62" s="115"/>
      <c r="AE62" s="115"/>
      <c r="AF62" s="102"/>
    </row>
    <row r="63" spans="1:32" ht="17.149999999999999" x14ac:dyDescent="0.55000000000000004">
      <c r="A63" s="139"/>
      <c r="B63" s="118"/>
      <c r="C63" s="118"/>
      <c r="D63" s="118"/>
      <c r="E63" s="118"/>
      <c r="F63" s="118"/>
      <c r="G63" s="132" t="s">
        <v>270</v>
      </c>
      <c r="H63" s="161">
        <v>30000</v>
      </c>
      <c r="I63" s="197" t="s">
        <v>169</v>
      </c>
      <c r="J63" s="226"/>
      <c r="K63" s="115"/>
      <c r="L63" s="115"/>
      <c r="M63" s="115"/>
      <c r="N63" s="115"/>
      <c r="O63" s="115"/>
      <c r="P63" s="115"/>
      <c r="Q63" s="115"/>
      <c r="R63" s="115"/>
      <c r="S63" s="115"/>
      <c r="T63" s="115"/>
      <c r="U63" s="115"/>
      <c r="V63" s="115"/>
      <c r="W63" s="115"/>
      <c r="X63" s="118"/>
      <c r="Y63" s="115"/>
      <c r="Z63" s="115"/>
      <c r="AA63" s="115"/>
      <c r="AB63" s="115"/>
      <c r="AC63" s="115"/>
      <c r="AD63" s="115"/>
      <c r="AE63" s="115"/>
      <c r="AF63" s="102"/>
    </row>
    <row r="64" spans="1:32" ht="17.149999999999999" x14ac:dyDescent="0.55000000000000004">
      <c r="A64" s="139"/>
      <c r="B64" s="118"/>
      <c r="C64" s="118"/>
      <c r="D64" s="118"/>
      <c r="E64" s="118"/>
      <c r="F64" s="118"/>
      <c r="G64" s="132" t="s">
        <v>246</v>
      </c>
      <c r="H64" s="167">
        <f>CHOOSE(FB_type,RFBB_iso_calc/1000,RFBB_calc/1000)</f>
        <v>20.013342228152101</v>
      </c>
      <c r="I64" s="197" t="s">
        <v>169</v>
      </c>
      <c r="J64" s="226"/>
      <c r="K64" s="115"/>
      <c r="L64" s="115"/>
      <c r="M64" s="115"/>
      <c r="N64" s="115"/>
      <c r="O64" s="115"/>
      <c r="P64" s="115"/>
      <c r="Q64" s="115"/>
      <c r="R64" s="115"/>
      <c r="S64" s="115"/>
      <c r="T64" s="115"/>
      <c r="U64" s="115"/>
      <c r="V64" s="115"/>
      <c r="W64" s="115"/>
      <c r="X64" s="118"/>
      <c r="Y64" s="115"/>
      <c r="Z64" s="115"/>
      <c r="AA64" s="115"/>
      <c r="AB64" s="115"/>
      <c r="AC64" s="115"/>
      <c r="AD64" s="115"/>
      <c r="AE64" s="115"/>
      <c r="AF64" s="102"/>
    </row>
    <row r="65" spans="1:32" ht="17.600000000000001" thickBot="1" x14ac:dyDescent="0.6">
      <c r="A65" s="139"/>
      <c r="B65" s="118"/>
      <c r="C65" s="118"/>
      <c r="D65" s="118"/>
      <c r="E65" s="118"/>
      <c r="F65" s="118"/>
      <c r="G65" s="132" t="s">
        <v>271</v>
      </c>
      <c r="H65" s="277">
        <v>21</v>
      </c>
      <c r="I65" s="252" t="s">
        <v>169</v>
      </c>
      <c r="J65" s="226"/>
      <c r="K65" s="115"/>
      <c r="L65" s="115"/>
      <c r="M65" s="115"/>
      <c r="N65" s="115"/>
      <c r="O65" s="115"/>
      <c r="P65" s="115"/>
      <c r="Q65" s="115"/>
      <c r="R65" s="115"/>
      <c r="S65" s="115"/>
      <c r="T65" s="115"/>
      <c r="U65" s="115"/>
      <c r="V65" s="115"/>
      <c r="W65" s="115"/>
      <c r="X65" s="118"/>
      <c r="Y65" s="115"/>
      <c r="Z65" s="115"/>
      <c r="AA65" s="115"/>
      <c r="AB65" s="115"/>
      <c r="AC65" s="115"/>
      <c r="AD65" s="115"/>
      <c r="AE65" s="115"/>
      <c r="AF65" s="102"/>
    </row>
    <row r="66" spans="1:32" x14ac:dyDescent="0.4">
      <c r="A66" s="123"/>
      <c r="B66" s="118"/>
      <c r="C66" s="118"/>
      <c r="D66" s="118"/>
      <c r="E66" s="118"/>
      <c r="F66" s="118"/>
      <c r="G66" s="132"/>
      <c r="H66" s="163"/>
      <c r="I66" s="163"/>
      <c r="J66" s="118"/>
      <c r="K66" s="115"/>
      <c r="L66" s="115"/>
      <c r="M66" s="115"/>
      <c r="N66" s="115"/>
      <c r="O66" s="115"/>
      <c r="P66" s="115"/>
      <c r="Q66" s="115"/>
      <c r="R66" s="115"/>
      <c r="S66" s="115"/>
      <c r="T66" s="115"/>
      <c r="U66" s="115"/>
      <c r="V66" s="115"/>
      <c r="W66" s="115"/>
      <c r="X66" s="118"/>
      <c r="Y66" s="115"/>
      <c r="Z66" s="115"/>
      <c r="AA66" s="115"/>
      <c r="AB66" s="115"/>
      <c r="AC66" s="115"/>
      <c r="AD66" s="115"/>
      <c r="AE66" s="115"/>
      <c r="AF66" s="102"/>
    </row>
    <row r="67" spans="1:32" ht="15" thickBot="1" x14ac:dyDescent="0.45">
      <c r="A67" s="123"/>
      <c r="B67" s="118"/>
      <c r="C67" s="118"/>
      <c r="D67" s="118"/>
      <c r="E67" s="118"/>
      <c r="F67" s="118"/>
      <c r="G67" s="140" t="s">
        <v>509</v>
      </c>
      <c r="H67" s="163"/>
      <c r="I67" s="163"/>
      <c r="J67" s="118"/>
      <c r="K67" s="115"/>
      <c r="L67" s="115"/>
      <c r="M67" s="115"/>
      <c r="N67" s="115"/>
      <c r="O67" s="115"/>
      <c r="P67" s="115"/>
      <c r="Q67" s="115"/>
      <c r="R67" s="115"/>
      <c r="S67" s="115"/>
      <c r="T67" s="115"/>
      <c r="U67" s="115"/>
      <c r="V67" s="115"/>
      <c r="W67" s="115"/>
      <c r="X67" s="118"/>
      <c r="Y67" s="115"/>
      <c r="Z67" s="115"/>
      <c r="AA67" s="115"/>
      <c r="AB67" s="115"/>
      <c r="AC67" s="115"/>
      <c r="AD67" s="115"/>
      <c r="AE67" s="115"/>
      <c r="AF67" s="102"/>
    </row>
    <row r="68" spans="1:32" ht="17.149999999999999" x14ac:dyDescent="0.55000000000000004">
      <c r="A68" s="123"/>
      <c r="B68" s="118"/>
      <c r="C68" s="118"/>
      <c r="D68" s="118"/>
      <c r="E68" s="118"/>
      <c r="F68" s="118"/>
      <c r="G68" s="132" t="s">
        <v>510</v>
      </c>
      <c r="H68" s="160">
        <v>5</v>
      </c>
      <c r="I68" s="183" t="s">
        <v>528</v>
      </c>
      <c r="J68" s="118"/>
      <c r="K68" s="115"/>
      <c r="L68" s="115"/>
      <c r="M68" s="115"/>
      <c r="N68" s="115"/>
      <c r="O68" s="115"/>
      <c r="P68" s="115"/>
      <c r="Q68" s="115"/>
      <c r="R68" s="115"/>
      <c r="S68" s="115"/>
      <c r="T68" s="115"/>
      <c r="U68" s="115"/>
      <c r="V68" s="115"/>
      <c r="W68" s="115"/>
      <c r="X68" s="118"/>
      <c r="Y68" s="115"/>
      <c r="Z68" s="115"/>
      <c r="AA68" s="115"/>
      <c r="AB68" s="115"/>
      <c r="AC68" s="115"/>
      <c r="AD68" s="115"/>
      <c r="AE68" s="115"/>
      <c r="AF68" s="102"/>
    </row>
    <row r="69" spans="1:32" ht="17.149999999999999" x14ac:dyDescent="0.55000000000000004">
      <c r="A69" s="123"/>
      <c r="B69" s="118"/>
      <c r="C69" s="118"/>
      <c r="D69" s="118"/>
      <c r="E69" s="118"/>
      <c r="F69" s="118"/>
      <c r="G69" s="132" t="s">
        <v>511</v>
      </c>
      <c r="H69" s="161">
        <v>2</v>
      </c>
      <c r="I69" s="163" t="s">
        <v>528</v>
      </c>
      <c r="J69" s="118"/>
      <c r="K69" s="115"/>
      <c r="L69" s="115"/>
      <c r="M69" s="115"/>
      <c r="N69" s="115"/>
      <c r="O69" s="115"/>
      <c r="P69" s="115"/>
      <c r="Q69" s="115"/>
      <c r="R69" s="115"/>
      <c r="S69" s="115"/>
      <c r="T69" s="115"/>
      <c r="U69" s="115"/>
      <c r="V69" s="115"/>
      <c r="W69" s="115"/>
      <c r="X69" s="118"/>
      <c r="Y69" s="115"/>
      <c r="Z69" s="115"/>
      <c r="AA69" s="115"/>
      <c r="AB69" s="115"/>
      <c r="AC69" s="115"/>
      <c r="AD69" s="115"/>
      <c r="AE69" s="115"/>
      <c r="AF69" s="102"/>
    </row>
    <row r="70" spans="1:32" ht="17.149999999999999" x14ac:dyDescent="0.55000000000000004">
      <c r="A70" s="123"/>
      <c r="B70" s="118"/>
      <c r="C70" s="118"/>
      <c r="D70" s="118"/>
      <c r="E70" s="118"/>
      <c r="F70" s="118"/>
      <c r="G70" s="132" t="s">
        <v>512</v>
      </c>
      <c r="H70" s="161">
        <v>1.4</v>
      </c>
      <c r="I70" s="163" t="s">
        <v>11</v>
      </c>
      <c r="J70" s="118"/>
      <c r="K70" s="115"/>
      <c r="L70" s="115"/>
      <c r="M70" s="115"/>
      <c r="N70" s="115"/>
      <c r="O70" s="115"/>
      <c r="P70" s="115"/>
      <c r="Q70" s="115"/>
      <c r="R70" s="115"/>
      <c r="S70" s="115"/>
      <c r="T70" s="115"/>
      <c r="U70" s="115"/>
      <c r="V70" s="115"/>
      <c r="W70" s="115"/>
      <c r="X70" s="118"/>
      <c r="Y70" s="115"/>
      <c r="Z70" s="115"/>
      <c r="AA70" s="115"/>
      <c r="AB70" s="115"/>
      <c r="AC70" s="115"/>
      <c r="AD70" s="115"/>
      <c r="AE70" s="115"/>
      <c r="AF70" s="102"/>
    </row>
    <row r="71" spans="1:32" ht="17.149999999999999" x14ac:dyDescent="0.55000000000000004">
      <c r="A71" s="123"/>
      <c r="B71" s="118"/>
      <c r="C71" s="118"/>
      <c r="D71" s="118"/>
      <c r="E71" s="118"/>
      <c r="F71" s="118"/>
      <c r="G71" s="116" t="s">
        <v>689</v>
      </c>
      <c r="H71" s="161">
        <v>3.3</v>
      </c>
      <c r="I71" s="163" t="s">
        <v>172</v>
      </c>
      <c r="J71" s="118"/>
      <c r="K71" s="115"/>
      <c r="L71" s="115"/>
      <c r="M71" s="115"/>
      <c r="N71" s="115"/>
      <c r="O71" s="115"/>
      <c r="P71" s="115"/>
      <c r="Q71" s="115"/>
      <c r="R71" s="115"/>
      <c r="S71" s="115"/>
      <c r="T71" s="115"/>
      <c r="U71" s="115"/>
      <c r="V71" s="115"/>
      <c r="W71" s="115"/>
      <c r="X71" s="118"/>
      <c r="Y71" s="115"/>
      <c r="Z71" s="115"/>
      <c r="AA71" s="115"/>
      <c r="AB71" s="115"/>
      <c r="AC71" s="115"/>
      <c r="AD71" s="115"/>
      <c r="AE71" s="115"/>
      <c r="AF71" s="102"/>
    </row>
    <row r="72" spans="1:32" ht="17.600000000000001" thickBot="1" x14ac:dyDescent="0.6">
      <c r="A72" s="123"/>
      <c r="B72" s="118"/>
      <c r="C72" s="118"/>
      <c r="D72" s="118"/>
      <c r="E72" s="118"/>
      <c r="F72" s="118"/>
      <c r="G72" s="116" t="s">
        <v>690</v>
      </c>
      <c r="H72" s="166">
        <v>200</v>
      </c>
      <c r="I72" s="177" t="s">
        <v>147</v>
      </c>
      <c r="J72" s="118"/>
      <c r="K72" s="115"/>
      <c r="L72" s="115"/>
      <c r="M72" s="115"/>
      <c r="N72" s="115"/>
      <c r="O72" s="115"/>
      <c r="P72" s="115"/>
      <c r="Q72" s="115"/>
      <c r="R72" s="115"/>
      <c r="S72" s="115"/>
      <c r="T72" s="115"/>
      <c r="U72" s="115"/>
      <c r="V72" s="115"/>
      <c r="W72" s="115"/>
      <c r="X72" s="118"/>
      <c r="Y72" s="115"/>
      <c r="Z72" s="115"/>
      <c r="AA72" s="115"/>
      <c r="AB72" s="115"/>
      <c r="AC72" s="115"/>
      <c r="AD72" s="115"/>
      <c r="AE72" s="115"/>
      <c r="AF72" s="102"/>
    </row>
    <row r="73" spans="1:32" x14ac:dyDescent="0.4">
      <c r="A73" s="123"/>
      <c r="B73" s="118"/>
      <c r="C73" s="118"/>
      <c r="D73" s="118"/>
      <c r="E73" s="118"/>
      <c r="F73" s="118"/>
      <c r="G73" s="132"/>
      <c r="H73" s="163"/>
      <c r="I73" s="163"/>
      <c r="J73" s="118"/>
      <c r="K73" s="115"/>
      <c r="L73" s="115"/>
      <c r="M73" s="115"/>
      <c r="N73" s="115"/>
      <c r="O73" s="115"/>
      <c r="P73" s="115"/>
      <c r="Q73" s="115"/>
      <c r="R73" s="115"/>
      <c r="S73" s="115"/>
      <c r="T73" s="115"/>
      <c r="U73" s="115"/>
      <c r="V73" s="115"/>
      <c r="W73" s="115"/>
      <c r="X73" s="118"/>
      <c r="Y73" s="115"/>
      <c r="Z73" s="115"/>
      <c r="AA73" s="115"/>
      <c r="AB73" s="115"/>
      <c r="AC73" s="115"/>
      <c r="AD73" s="115"/>
      <c r="AE73" s="115"/>
      <c r="AF73" s="102"/>
    </row>
    <row r="74" spans="1:32" ht="17.600000000000001" thickBot="1" x14ac:dyDescent="0.6">
      <c r="A74" s="123"/>
      <c r="B74" s="118"/>
      <c r="C74" s="118"/>
      <c r="D74" s="118"/>
      <c r="E74" s="118"/>
      <c r="F74" s="118"/>
      <c r="G74" s="140" t="s">
        <v>569</v>
      </c>
      <c r="H74" s="163"/>
      <c r="I74" s="163"/>
      <c r="J74" s="118"/>
      <c r="K74" s="115"/>
      <c r="L74" s="115"/>
      <c r="M74" s="115"/>
      <c r="N74" s="115"/>
      <c r="O74" s="115"/>
      <c r="P74" s="115"/>
      <c r="Q74" s="115"/>
      <c r="R74" s="115"/>
      <c r="S74" s="115"/>
      <c r="T74" s="115"/>
      <c r="U74" s="115"/>
      <c r="V74" s="115"/>
      <c r="W74" s="115"/>
      <c r="X74" s="118"/>
      <c r="Y74" s="115"/>
      <c r="Z74" s="115"/>
      <c r="AA74" s="115"/>
      <c r="AB74" s="115"/>
      <c r="AC74" s="115"/>
      <c r="AD74" s="115"/>
      <c r="AE74" s="115"/>
      <c r="AF74" s="102"/>
    </row>
    <row r="75" spans="1:32" ht="17.149999999999999" x14ac:dyDescent="0.55000000000000004">
      <c r="A75" s="123"/>
      <c r="B75" s="118"/>
      <c r="C75" s="118"/>
      <c r="D75" s="118"/>
      <c r="E75" s="118"/>
      <c r="F75" s="118"/>
      <c r="G75" s="196" t="s">
        <v>545</v>
      </c>
      <c r="H75" s="160">
        <v>6.8</v>
      </c>
      <c r="I75" s="253" t="s">
        <v>11</v>
      </c>
      <c r="J75" s="227"/>
      <c r="K75" s="115"/>
      <c r="L75" s="115"/>
      <c r="M75" s="115"/>
      <c r="N75" s="115"/>
      <c r="O75" s="115"/>
      <c r="P75" s="115"/>
      <c r="Q75" s="115"/>
      <c r="R75" s="115"/>
      <c r="S75" s="115"/>
      <c r="T75" s="115"/>
      <c r="U75" s="115"/>
      <c r="V75" s="115"/>
      <c r="W75" s="115"/>
      <c r="X75" s="118"/>
      <c r="Y75" s="115"/>
      <c r="Z75" s="115"/>
      <c r="AA75" s="115"/>
      <c r="AB75" s="115"/>
      <c r="AC75" s="115"/>
      <c r="AD75" s="115"/>
      <c r="AE75" s="115"/>
      <c r="AF75" s="102"/>
    </row>
    <row r="76" spans="1:32" ht="17.149999999999999" x14ac:dyDescent="0.55000000000000004">
      <c r="A76" s="123"/>
      <c r="B76" s="118"/>
      <c r="C76" s="118"/>
      <c r="D76" s="118"/>
      <c r="E76" s="118"/>
      <c r="F76" s="118"/>
      <c r="G76" s="132" t="s">
        <v>529</v>
      </c>
      <c r="H76" s="162">
        <f>Rpullup_min/1000</f>
        <v>2.6874999999999996</v>
      </c>
      <c r="I76" s="197" t="s">
        <v>169</v>
      </c>
      <c r="J76" s="226"/>
      <c r="K76" s="115"/>
      <c r="L76" s="115"/>
      <c r="M76" s="115"/>
      <c r="N76" s="115"/>
      <c r="O76" s="115"/>
      <c r="P76" s="115"/>
      <c r="Q76" s="115"/>
      <c r="R76" s="115"/>
      <c r="S76" s="115"/>
      <c r="T76" s="115"/>
      <c r="U76" s="115"/>
      <c r="V76" s="115"/>
      <c r="W76" s="115"/>
      <c r="X76" s="118"/>
      <c r="Y76" s="115"/>
      <c r="Z76" s="115"/>
      <c r="AA76" s="115"/>
      <c r="AB76" s="115"/>
      <c r="AC76" s="115"/>
      <c r="AD76" s="115"/>
      <c r="AE76" s="115"/>
      <c r="AF76" s="102"/>
    </row>
    <row r="77" spans="1:32" ht="17.149999999999999" x14ac:dyDescent="0.55000000000000004">
      <c r="A77" s="123"/>
      <c r="B77" s="118"/>
      <c r="C77" s="118"/>
      <c r="D77" s="118"/>
      <c r="E77" s="118"/>
      <c r="F77" s="118"/>
      <c r="G77" s="132" t="s">
        <v>549</v>
      </c>
      <c r="H77" s="161">
        <v>4.99</v>
      </c>
      <c r="I77" s="197" t="s">
        <v>169</v>
      </c>
      <c r="J77" s="226"/>
      <c r="K77" s="115"/>
      <c r="L77" s="115"/>
      <c r="M77" s="115"/>
      <c r="N77" s="115"/>
      <c r="O77" s="115"/>
      <c r="P77" s="115"/>
      <c r="Q77" s="115"/>
      <c r="R77" s="115"/>
      <c r="S77" s="115"/>
      <c r="T77" s="115"/>
      <c r="U77" s="115"/>
      <c r="V77" s="115"/>
      <c r="W77" s="115"/>
      <c r="X77" s="118"/>
      <c r="Y77" s="115"/>
      <c r="Z77" s="115"/>
      <c r="AA77" s="115"/>
      <c r="AB77" s="115"/>
      <c r="AC77" s="115"/>
      <c r="AD77" s="115"/>
      <c r="AE77" s="115"/>
      <c r="AF77" s="102"/>
    </row>
    <row r="78" spans="1:32" ht="17.149999999999999" x14ac:dyDescent="0.55000000000000004">
      <c r="A78" s="123"/>
      <c r="B78" s="118"/>
      <c r="C78" s="118"/>
      <c r="D78" s="118"/>
      <c r="E78" s="118"/>
      <c r="F78" s="118"/>
      <c r="G78" s="132" t="s">
        <v>591</v>
      </c>
      <c r="H78" s="162">
        <f>Variable_Management!B219/1000</f>
        <v>5665.1621212121208</v>
      </c>
      <c r="I78" s="197" t="s">
        <v>169</v>
      </c>
      <c r="J78" s="226"/>
      <c r="K78" s="115"/>
      <c r="L78" s="115"/>
      <c r="M78" s="115"/>
      <c r="N78" s="115"/>
      <c r="O78" s="115"/>
      <c r="P78" s="115"/>
      <c r="Q78" s="115"/>
      <c r="R78" s="115"/>
      <c r="S78" s="115"/>
      <c r="T78" s="115"/>
      <c r="U78" s="115"/>
      <c r="V78" s="115"/>
      <c r="W78" s="115"/>
      <c r="X78" s="118"/>
      <c r="Y78" s="115"/>
      <c r="Z78" s="115"/>
      <c r="AA78" s="115"/>
      <c r="AB78" s="115"/>
      <c r="AC78" s="115"/>
      <c r="AD78" s="115"/>
      <c r="AE78" s="115"/>
      <c r="AF78" s="102"/>
    </row>
    <row r="79" spans="1:32" ht="17.600000000000001" thickBot="1" x14ac:dyDescent="0.6">
      <c r="A79" s="123"/>
      <c r="B79" s="118"/>
      <c r="C79" s="118"/>
      <c r="D79" s="118"/>
      <c r="E79" s="118"/>
      <c r="F79" s="118"/>
      <c r="G79" s="132" t="s">
        <v>570</v>
      </c>
      <c r="H79" s="166">
        <v>1</v>
      </c>
      <c r="I79" s="252" t="s">
        <v>169</v>
      </c>
      <c r="J79" s="226"/>
      <c r="K79" s="115"/>
      <c r="L79" s="115"/>
      <c r="M79" s="115"/>
      <c r="N79" s="115"/>
      <c r="O79" s="115"/>
      <c r="P79" s="115"/>
      <c r="Q79" s="115"/>
      <c r="R79" s="115"/>
      <c r="S79" s="115"/>
      <c r="T79" s="115"/>
      <c r="U79" s="115"/>
      <c r="V79" s="115"/>
      <c r="W79" s="115"/>
      <c r="X79" s="118"/>
      <c r="Y79" s="115"/>
      <c r="Z79" s="115"/>
      <c r="AA79" s="115"/>
      <c r="AB79" s="115"/>
      <c r="AC79" s="115"/>
      <c r="AD79" s="115"/>
      <c r="AE79" s="115"/>
      <c r="AF79" s="102"/>
    </row>
    <row r="80" spans="1:32" x14ac:dyDescent="0.4">
      <c r="A80" s="123"/>
      <c r="B80" s="118"/>
      <c r="C80" s="118"/>
      <c r="D80" s="118"/>
      <c r="E80" s="118"/>
      <c r="F80" s="118"/>
      <c r="G80" s="132"/>
      <c r="H80" s="163"/>
      <c r="I80" s="163"/>
      <c r="J80" s="118"/>
      <c r="K80" s="115"/>
      <c r="L80" s="115"/>
      <c r="M80" s="115"/>
      <c r="N80" s="115"/>
      <c r="O80" s="115"/>
      <c r="P80" s="115"/>
      <c r="Q80" s="115"/>
      <c r="R80" s="115"/>
      <c r="S80" s="115"/>
      <c r="T80" s="115"/>
      <c r="U80" s="115"/>
      <c r="V80" s="115"/>
      <c r="W80" s="115"/>
      <c r="X80" s="118"/>
      <c r="Y80" s="115"/>
      <c r="Z80" s="115"/>
      <c r="AA80" s="115"/>
      <c r="AB80" s="115"/>
      <c r="AC80" s="115"/>
      <c r="AD80" s="115"/>
      <c r="AE80" s="115"/>
      <c r="AF80" s="102"/>
    </row>
    <row r="81" spans="1:32" ht="15" thickBot="1" x14ac:dyDescent="0.45">
      <c r="A81" s="123"/>
      <c r="B81" s="118"/>
      <c r="C81" s="118"/>
      <c r="D81" s="118"/>
      <c r="E81" s="118"/>
      <c r="F81" s="118"/>
      <c r="G81" s="140" t="s">
        <v>553</v>
      </c>
      <c r="H81" s="163"/>
      <c r="I81" s="163"/>
      <c r="J81" s="118"/>
      <c r="K81" s="115"/>
      <c r="L81" s="115"/>
      <c r="M81" s="115"/>
      <c r="N81" s="115"/>
      <c r="O81" s="115"/>
      <c r="P81" s="115"/>
      <c r="Q81" s="115"/>
      <c r="R81" s="115"/>
      <c r="S81" s="115"/>
      <c r="T81" s="115"/>
      <c r="U81" s="115"/>
      <c r="V81" s="115"/>
      <c r="W81" s="115"/>
      <c r="X81" s="118"/>
      <c r="Y81" s="115"/>
      <c r="Z81" s="115"/>
      <c r="AA81" s="115"/>
      <c r="AB81" s="115"/>
      <c r="AC81" s="115"/>
      <c r="AD81" s="115"/>
      <c r="AE81" s="115"/>
      <c r="AF81" s="102"/>
    </row>
    <row r="82" spans="1:32" x14ac:dyDescent="0.4">
      <c r="A82" s="123"/>
      <c r="B82" s="118"/>
      <c r="C82" s="118"/>
      <c r="D82" s="118"/>
      <c r="E82" s="118"/>
      <c r="F82" s="118"/>
      <c r="G82" s="132" t="s">
        <v>589</v>
      </c>
      <c r="H82" s="254">
        <f>CHOOSE(FB_type,Variable_Management!B225,fcross_est)/1000</f>
        <v>1.7201195944864334</v>
      </c>
      <c r="I82" s="183" t="s">
        <v>13</v>
      </c>
      <c r="J82" s="118"/>
      <c r="K82" s="115"/>
      <c r="L82" s="115"/>
      <c r="M82" s="115"/>
      <c r="N82" s="115"/>
      <c r="O82" s="115"/>
      <c r="P82" s="115"/>
      <c r="Q82" s="115"/>
      <c r="R82" s="115"/>
      <c r="S82" s="115"/>
      <c r="T82" s="115"/>
      <c r="U82" s="115"/>
      <c r="V82" s="115"/>
      <c r="W82" s="115"/>
      <c r="X82" s="118"/>
      <c r="Y82" s="115"/>
      <c r="Z82" s="115"/>
      <c r="AA82" s="115"/>
      <c r="AB82" s="115"/>
      <c r="AC82" s="115"/>
      <c r="AD82" s="115"/>
      <c r="AE82" s="115"/>
      <c r="AF82" s="102"/>
    </row>
    <row r="83" spans="1:32" ht="17.600000000000001" thickBot="1" x14ac:dyDescent="0.6">
      <c r="A83" s="123"/>
      <c r="B83" s="118"/>
      <c r="C83" s="118"/>
      <c r="D83" s="118"/>
      <c r="E83" s="118"/>
      <c r="F83" s="118"/>
      <c r="G83" s="132" t="s">
        <v>388</v>
      </c>
      <c r="H83" s="166">
        <v>1</v>
      </c>
      <c r="I83" s="177" t="s">
        <v>13</v>
      </c>
      <c r="J83" s="118"/>
      <c r="K83" s="115"/>
      <c r="L83" s="115"/>
      <c r="M83" s="115"/>
      <c r="N83" s="115"/>
      <c r="O83" s="115"/>
      <c r="P83" s="115"/>
      <c r="Q83" s="115"/>
      <c r="R83" s="115"/>
      <c r="S83" s="115"/>
      <c r="T83" s="115"/>
      <c r="U83" s="115"/>
      <c r="V83" s="115"/>
      <c r="W83" s="115"/>
      <c r="X83" s="118"/>
      <c r="Y83" s="115"/>
      <c r="Z83" s="115"/>
      <c r="AA83" s="115"/>
      <c r="AB83" s="115"/>
      <c r="AC83" s="115"/>
      <c r="AD83" s="115"/>
      <c r="AE83" s="115"/>
      <c r="AF83" s="102"/>
    </row>
    <row r="84" spans="1:32" x14ac:dyDescent="0.4">
      <c r="A84" s="123"/>
      <c r="B84" s="118"/>
      <c r="C84" s="118"/>
      <c r="D84" s="118"/>
      <c r="E84" s="118"/>
      <c r="F84" s="118"/>
      <c r="G84" s="132"/>
      <c r="H84" s="163"/>
      <c r="I84" s="163"/>
      <c r="J84" s="118"/>
      <c r="K84" s="115"/>
      <c r="L84" s="115"/>
      <c r="M84" s="115"/>
      <c r="N84" s="115"/>
      <c r="O84" s="115"/>
      <c r="P84" s="115"/>
      <c r="Q84" s="115"/>
      <c r="R84" s="115"/>
      <c r="S84" s="115"/>
      <c r="T84" s="115"/>
      <c r="U84" s="115"/>
      <c r="V84" s="115"/>
      <c r="W84" s="115"/>
      <c r="X84" s="118"/>
      <c r="Y84" s="115"/>
      <c r="Z84" s="115"/>
      <c r="AA84" s="115"/>
      <c r="AB84" s="115"/>
      <c r="AC84" s="115"/>
      <c r="AD84" s="115"/>
      <c r="AE84" s="115"/>
      <c r="AF84" s="102"/>
    </row>
    <row r="85" spans="1:32" ht="15" thickBot="1" x14ac:dyDescent="0.45">
      <c r="A85" s="123"/>
      <c r="B85" s="118"/>
      <c r="C85" s="118"/>
      <c r="D85" s="118"/>
      <c r="E85" s="118"/>
      <c r="F85" s="141" t="s">
        <v>276</v>
      </c>
      <c r="G85" s="141"/>
      <c r="H85" s="171" t="s">
        <v>277</v>
      </c>
      <c r="I85" s="171"/>
      <c r="J85" s="141"/>
      <c r="K85" s="115"/>
      <c r="L85" s="115"/>
      <c r="M85" s="115"/>
      <c r="N85" s="115"/>
      <c r="O85" s="115"/>
      <c r="P85" s="115"/>
      <c r="Q85" s="115"/>
      <c r="R85" s="115"/>
      <c r="S85" s="115"/>
      <c r="T85" s="115"/>
      <c r="U85" s="115"/>
      <c r="V85" s="115"/>
      <c r="W85" s="115"/>
      <c r="X85" s="118"/>
      <c r="Y85" s="115"/>
      <c r="Z85" s="115"/>
      <c r="AA85" s="115"/>
      <c r="AB85" s="115"/>
      <c r="AC85" s="115"/>
      <c r="AD85" s="115"/>
      <c r="AE85" s="115"/>
      <c r="AF85" s="102"/>
    </row>
    <row r="86" spans="1:32" ht="17.600000000000001" thickBot="1" x14ac:dyDescent="0.6">
      <c r="A86" s="123"/>
      <c r="B86" s="118"/>
      <c r="C86" s="118"/>
      <c r="D86" s="118"/>
      <c r="E86" s="132" t="s">
        <v>275</v>
      </c>
      <c r="F86" s="173">
        <f>CHOOSE(FB_type,Variable_Management!B228,Rcomp_calc)/1000</f>
        <v>4.5853346296057067</v>
      </c>
      <c r="G86" s="191" t="s">
        <v>169</v>
      </c>
      <c r="H86" s="275">
        <v>35.200000000000003</v>
      </c>
      <c r="I86" s="256" t="s">
        <v>169</v>
      </c>
      <c r="J86" s="226"/>
      <c r="K86" s="115"/>
      <c r="L86" s="115"/>
      <c r="M86" s="115"/>
      <c r="N86" s="115"/>
      <c r="O86" s="115"/>
      <c r="P86" s="115"/>
      <c r="Q86" s="115"/>
      <c r="R86" s="115"/>
      <c r="S86" s="115"/>
      <c r="T86" s="115"/>
      <c r="U86" s="115"/>
      <c r="V86" s="115"/>
      <c r="W86" s="115"/>
      <c r="X86" s="118"/>
      <c r="Y86" s="115"/>
      <c r="Z86" s="115"/>
      <c r="AA86" s="115"/>
      <c r="AB86" s="115"/>
      <c r="AC86" s="115"/>
      <c r="AD86" s="115"/>
      <c r="AE86" s="115"/>
      <c r="AF86" s="102"/>
    </row>
    <row r="87" spans="1:32" ht="17.600000000000001" thickBot="1" x14ac:dyDescent="0.6">
      <c r="A87" s="123"/>
      <c r="B87" s="118"/>
      <c r="C87" s="118"/>
      <c r="D87" s="118"/>
      <c r="E87" s="132" t="s">
        <v>379</v>
      </c>
      <c r="F87" s="173">
        <f>CHOOSE(FB_type,Ccomp_iso_calc,CComp_calc)*10^9</f>
        <v>24.470981102011187</v>
      </c>
      <c r="G87" s="191" t="s">
        <v>172</v>
      </c>
      <c r="H87" s="275">
        <v>33</v>
      </c>
      <c r="I87" s="163" t="s">
        <v>172</v>
      </c>
      <c r="J87" s="118"/>
      <c r="K87" s="115"/>
      <c r="L87" s="115"/>
      <c r="M87" s="115"/>
      <c r="N87" s="115"/>
      <c r="O87" s="115"/>
      <c r="P87" s="115"/>
      <c r="Q87" s="115"/>
      <c r="R87" s="115"/>
      <c r="S87" s="115"/>
      <c r="T87" s="115"/>
      <c r="U87" s="115"/>
      <c r="V87" s="115"/>
      <c r="W87" s="115"/>
      <c r="X87" s="118"/>
      <c r="Y87" s="115"/>
      <c r="Z87" s="115"/>
      <c r="AA87" s="115"/>
      <c r="AB87" s="115"/>
      <c r="AC87" s="115"/>
      <c r="AD87" s="115"/>
      <c r="AE87" s="115"/>
      <c r="AF87" s="102"/>
    </row>
    <row r="88" spans="1:32" ht="17.600000000000001" thickBot="1" x14ac:dyDescent="0.6">
      <c r="A88" s="130"/>
      <c r="B88" s="127"/>
      <c r="C88" s="127"/>
      <c r="D88" s="127"/>
      <c r="E88" s="134" t="s">
        <v>380</v>
      </c>
      <c r="F88" s="172">
        <f>CHOOSE(FB_type,0,Variable_Management!B271)*(10^12)</f>
        <v>525.71312615955492</v>
      </c>
      <c r="G88" s="192" t="s">
        <v>171</v>
      </c>
      <c r="H88" s="276">
        <v>68</v>
      </c>
      <c r="I88" s="177" t="s">
        <v>171</v>
      </c>
      <c r="J88" s="118"/>
      <c r="K88" s="115"/>
      <c r="L88" s="115"/>
      <c r="M88" s="115"/>
      <c r="N88" s="115"/>
      <c r="O88" s="115"/>
      <c r="P88" s="115"/>
      <c r="Q88" s="115"/>
      <c r="R88" s="115"/>
      <c r="S88" s="115"/>
      <c r="T88" s="115"/>
      <c r="U88" s="115"/>
      <c r="V88" s="115"/>
      <c r="W88" s="115"/>
      <c r="X88" s="118"/>
      <c r="Y88" s="115"/>
      <c r="Z88" s="115"/>
      <c r="AA88" s="115"/>
      <c r="AB88" s="115"/>
      <c r="AC88" s="115"/>
      <c r="AD88" s="115"/>
      <c r="AE88" s="115"/>
      <c r="AF88" s="102"/>
    </row>
    <row r="89" spans="1:32" x14ac:dyDescent="0.4">
      <c r="A89" s="115"/>
      <c r="B89" s="115"/>
      <c r="C89" s="115"/>
      <c r="D89" s="115"/>
      <c r="E89" s="116"/>
      <c r="F89" s="142"/>
      <c r="G89" s="116"/>
      <c r="H89" s="143"/>
      <c r="I89" s="115"/>
      <c r="J89" s="115"/>
      <c r="K89" s="115"/>
      <c r="L89" s="115"/>
      <c r="M89" s="115"/>
      <c r="N89" s="115"/>
      <c r="O89" s="115"/>
      <c r="P89" s="115"/>
      <c r="Q89" s="115"/>
      <c r="R89" s="115"/>
      <c r="S89" s="115"/>
      <c r="T89" s="115"/>
      <c r="U89" s="115"/>
      <c r="V89" s="115"/>
      <c r="W89" s="115"/>
      <c r="X89" s="118"/>
      <c r="Y89" s="115"/>
      <c r="Z89" s="115"/>
      <c r="AA89" s="115"/>
      <c r="AB89" s="115"/>
      <c r="AC89" s="115"/>
      <c r="AD89" s="115"/>
      <c r="AE89" s="115"/>
      <c r="AF89" s="102"/>
    </row>
    <row r="90" spans="1:32" ht="23.15" x14ac:dyDescent="0.6">
      <c r="A90" s="144" t="s">
        <v>274</v>
      </c>
      <c r="B90" s="145"/>
      <c r="C90" s="145"/>
      <c r="D90" s="145"/>
      <c r="E90" s="145"/>
      <c r="F90" s="145"/>
      <c r="G90" s="146"/>
      <c r="H90" s="145"/>
      <c r="I90" s="145"/>
      <c r="J90" s="145"/>
      <c r="K90" s="145"/>
      <c r="L90" s="145"/>
      <c r="M90" s="145"/>
      <c r="N90" s="145"/>
      <c r="O90" s="145"/>
      <c r="P90" s="145"/>
      <c r="Q90" s="145"/>
      <c r="R90" s="145"/>
      <c r="S90" s="145"/>
      <c r="T90" s="145"/>
      <c r="U90" s="145"/>
      <c r="V90" s="145"/>
      <c r="W90" s="147"/>
      <c r="X90" s="148"/>
      <c r="Y90" s="147"/>
      <c r="Z90" s="147"/>
      <c r="AA90" s="147"/>
      <c r="AB90" s="147"/>
      <c r="AC90" s="147"/>
      <c r="AD90" s="147"/>
      <c r="AE90" s="147"/>
    </row>
    <row r="91" spans="1:32" x14ac:dyDescent="0.4">
      <c r="A91" s="115"/>
      <c r="B91" s="115"/>
      <c r="C91" s="115"/>
      <c r="D91" s="115"/>
      <c r="E91" s="115"/>
      <c r="F91" s="115"/>
      <c r="G91" s="115"/>
      <c r="H91" s="115"/>
      <c r="I91" s="115"/>
      <c r="J91" s="115"/>
      <c r="K91" s="115"/>
      <c r="L91" s="115"/>
      <c r="M91" s="115"/>
      <c r="N91" s="115"/>
      <c r="O91" s="115"/>
      <c r="P91" s="115"/>
      <c r="Q91" s="115"/>
      <c r="R91" s="115"/>
      <c r="S91" s="115"/>
      <c r="T91" s="115"/>
      <c r="U91" s="115"/>
      <c r="V91" s="115"/>
      <c r="W91" s="115"/>
      <c r="X91" s="118"/>
      <c r="Y91" s="115"/>
      <c r="Z91" s="115"/>
      <c r="AA91" s="115"/>
      <c r="AB91" s="115"/>
      <c r="AC91" s="115"/>
      <c r="AD91" s="115"/>
      <c r="AE91" s="115"/>
      <c r="AF91" s="102"/>
    </row>
    <row r="92" spans="1:32" ht="18.899999999999999" thickBot="1" x14ac:dyDescent="0.55000000000000004">
      <c r="A92" s="251" t="s">
        <v>344</v>
      </c>
      <c r="B92" s="118"/>
      <c r="C92" s="118"/>
      <c r="D92" s="118"/>
      <c r="E92" s="118"/>
      <c r="F92" s="115"/>
      <c r="G92" s="115"/>
      <c r="H92" s="118"/>
      <c r="I92" s="118"/>
      <c r="J92" s="118"/>
      <c r="K92" s="115"/>
      <c r="L92" s="115"/>
      <c r="M92" s="115"/>
      <c r="N92" s="115"/>
      <c r="O92" s="115"/>
      <c r="P92" s="115"/>
      <c r="Q92" s="115"/>
      <c r="R92" s="115"/>
      <c r="S92" s="115"/>
      <c r="T92" s="115"/>
      <c r="U92" s="115"/>
      <c r="V92" s="115"/>
      <c r="W92" s="115"/>
      <c r="X92" s="118"/>
      <c r="Y92" s="115"/>
      <c r="Z92" s="115"/>
      <c r="AA92" s="115"/>
      <c r="AB92" s="115"/>
      <c r="AC92" s="115"/>
      <c r="AD92" s="115"/>
      <c r="AE92" s="115"/>
      <c r="AF92" s="102"/>
    </row>
    <row r="93" spans="1:32" x14ac:dyDescent="0.4">
      <c r="A93" s="119"/>
      <c r="B93" s="120"/>
      <c r="C93" s="120"/>
      <c r="D93" s="120"/>
      <c r="E93" s="120"/>
      <c r="F93" s="120"/>
      <c r="G93" s="149" t="s">
        <v>333</v>
      </c>
      <c r="H93" s="160">
        <v>235</v>
      </c>
      <c r="I93" s="150" t="s">
        <v>339</v>
      </c>
      <c r="J93" s="228"/>
      <c r="K93" s="115"/>
      <c r="L93" s="115"/>
      <c r="M93" s="115"/>
      <c r="N93" s="115"/>
      <c r="O93" s="115"/>
      <c r="P93" s="115"/>
      <c r="Q93" s="115"/>
      <c r="R93" s="115"/>
      <c r="S93" s="115"/>
      <c r="T93" s="115"/>
      <c r="U93" s="115"/>
      <c r="V93" s="115"/>
      <c r="W93" s="115"/>
      <c r="X93" s="118"/>
      <c r="Y93" s="115"/>
      <c r="Z93" s="115"/>
      <c r="AA93" s="115"/>
      <c r="AB93" s="115"/>
      <c r="AC93" s="115"/>
      <c r="AD93" s="115"/>
      <c r="AE93" s="115"/>
      <c r="AF93" s="102"/>
    </row>
    <row r="94" spans="1:32" x14ac:dyDescent="0.4">
      <c r="A94" s="139"/>
      <c r="B94" s="118"/>
      <c r="C94" s="118"/>
      <c r="D94" s="118"/>
      <c r="E94" s="118"/>
      <c r="F94" s="118"/>
      <c r="G94" s="151" t="s">
        <v>334</v>
      </c>
      <c r="H94" s="161">
        <v>1.6</v>
      </c>
      <c r="I94" s="152" t="s">
        <v>340</v>
      </c>
      <c r="J94" s="228"/>
      <c r="K94" s="115"/>
      <c r="L94" s="115"/>
      <c r="M94" s="115"/>
      <c r="N94" s="115"/>
      <c r="O94" s="115"/>
      <c r="P94" s="115"/>
      <c r="Q94" s="115"/>
      <c r="R94" s="115"/>
      <c r="S94" s="115"/>
      <c r="T94" s="115"/>
      <c r="U94" s="115"/>
      <c r="V94" s="115"/>
      <c r="W94" s="115"/>
      <c r="X94" s="118"/>
      <c r="Y94" s="115"/>
      <c r="Z94" s="115"/>
      <c r="AA94" s="115"/>
      <c r="AB94" s="115"/>
      <c r="AC94" s="115"/>
      <c r="AD94" s="115"/>
      <c r="AE94" s="115"/>
      <c r="AF94" s="102"/>
    </row>
    <row r="95" spans="1:32" x14ac:dyDescent="0.4">
      <c r="A95" s="139"/>
      <c r="B95" s="118"/>
      <c r="C95" s="118"/>
      <c r="D95" s="118"/>
      <c r="E95" s="118"/>
      <c r="F95" s="118"/>
      <c r="G95" s="151" t="s">
        <v>335</v>
      </c>
      <c r="H95" s="161">
        <v>0.38</v>
      </c>
      <c r="I95" s="152" t="s">
        <v>340</v>
      </c>
      <c r="J95" s="228"/>
      <c r="K95" s="115"/>
      <c r="L95" s="115"/>
      <c r="M95" s="115"/>
      <c r="N95" s="115"/>
      <c r="O95" s="115"/>
      <c r="P95" s="115"/>
      <c r="Q95" s="115"/>
      <c r="R95" s="115"/>
      <c r="S95" s="115"/>
      <c r="T95" s="115"/>
      <c r="U95" s="115"/>
      <c r="V95" s="115"/>
      <c r="W95" s="115"/>
      <c r="X95" s="118"/>
      <c r="Y95" s="115"/>
      <c r="Z95" s="115"/>
      <c r="AA95" s="115"/>
      <c r="AB95" s="115"/>
      <c r="AC95" s="115"/>
      <c r="AD95" s="115"/>
      <c r="AE95" s="115"/>
      <c r="AF95" s="102"/>
    </row>
    <row r="96" spans="1:32" x14ac:dyDescent="0.4">
      <c r="A96" s="123"/>
      <c r="B96" s="118"/>
      <c r="C96" s="118"/>
      <c r="D96" s="118"/>
      <c r="E96" s="118"/>
      <c r="F96" s="118"/>
      <c r="G96" s="151" t="s">
        <v>336</v>
      </c>
      <c r="H96" s="161">
        <v>0.3</v>
      </c>
      <c r="I96" s="152" t="s">
        <v>340</v>
      </c>
      <c r="J96" s="228"/>
      <c r="K96" s="115"/>
      <c r="L96" s="115"/>
      <c r="M96" s="115"/>
      <c r="N96" s="115"/>
      <c r="O96" s="115"/>
      <c r="P96" s="115"/>
      <c r="Q96" s="115"/>
      <c r="R96" s="115"/>
      <c r="S96" s="115"/>
      <c r="T96" s="115"/>
      <c r="U96" s="115"/>
      <c r="V96" s="115"/>
      <c r="W96" s="115"/>
      <c r="X96" s="118"/>
      <c r="Y96" s="115"/>
      <c r="Z96" s="115"/>
      <c r="AA96" s="115"/>
      <c r="AB96" s="115"/>
      <c r="AC96" s="115"/>
      <c r="AD96" s="115"/>
      <c r="AE96" s="115"/>
      <c r="AF96" s="102"/>
    </row>
    <row r="97" spans="1:32" x14ac:dyDescent="0.4">
      <c r="A97" s="123"/>
      <c r="B97" s="118"/>
      <c r="C97" s="118"/>
      <c r="D97" s="118"/>
      <c r="E97" s="118"/>
      <c r="F97" s="118"/>
      <c r="G97" s="151" t="s">
        <v>337</v>
      </c>
      <c r="H97" s="161">
        <v>1</v>
      </c>
      <c r="I97" s="152" t="s">
        <v>341</v>
      </c>
      <c r="J97" s="228"/>
      <c r="K97" s="115"/>
      <c r="L97" s="115"/>
      <c r="M97" s="115"/>
      <c r="N97" s="115"/>
      <c r="O97" s="115"/>
      <c r="P97" s="115"/>
      <c r="Q97" s="115"/>
      <c r="R97" s="115"/>
      <c r="S97" s="115"/>
      <c r="T97" s="115"/>
      <c r="U97" s="115"/>
      <c r="V97" s="115"/>
      <c r="W97" s="115"/>
      <c r="X97" s="118"/>
      <c r="Y97" s="115"/>
      <c r="Z97" s="115"/>
      <c r="AA97" s="115"/>
      <c r="AB97" s="115"/>
      <c r="AC97" s="115"/>
      <c r="AD97" s="115"/>
      <c r="AE97" s="115"/>
      <c r="AF97" s="102"/>
    </row>
    <row r="98" spans="1:32" ht="15" thickBot="1" x14ac:dyDescent="0.45">
      <c r="A98" s="130"/>
      <c r="B98" s="127"/>
      <c r="C98" s="127"/>
      <c r="D98" s="127"/>
      <c r="E98" s="127"/>
      <c r="F98" s="127"/>
      <c r="G98" s="153" t="s">
        <v>338</v>
      </c>
      <c r="H98" s="166">
        <v>1.2</v>
      </c>
      <c r="I98" s="154" t="s">
        <v>11</v>
      </c>
      <c r="J98" s="228"/>
      <c r="K98" s="115"/>
      <c r="L98" s="115"/>
      <c r="M98" s="115"/>
      <c r="N98" s="115"/>
      <c r="O98" s="115"/>
      <c r="P98" s="115"/>
      <c r="Q98" s="115"/>
      <c r="R98" s="115"/>
      <c r="S98" s="115"/>
      <c r="T98" s="115"/>
      <c r="U98" s="115"/>
      <c r="V98" s="115"/>
      <c r="W98" s="115"/>
      <c r="X98" s="118"/>
      <c r="Y98" s="115"/>
      <c r="Z98" s="115"/>
      <c r="AA98" s="115"/>
      <c r="AB98" s="115"/>
      <c r="AC98" s="115"/>
      <c r="AD98" s="115"/>
      <c r="AE98" s="115"/>
      <c r="AF98" s="102"/>
    </row>
    <row r="99" spans="1:32" x14ac:dyDescent="0.4">
      <c r="A99" s="115"/>
      <c r="B99" s="115"/>
      <c r="C99" s="115"/>
      <c r="D99" s="115"/>
      <c r="E99" s="115"/>
      <c r="F99" s="115"/>
      <c r="G99" s="116"/>
      <c r="H99" s="115"/>
      <c r="I99" s="118"/>
      <c r="J99" s="118"/>
      <c r="K99" s="115"/>
      <c r="L99" s="115"/>
      <c r="M99" s="115"/>
      <c r="N99" s="115"/>
      <c r="O99" s="115"/>
      <c r="P99" s="115"/>
      <c r="Q99" s="115"/>
      <c r="R99" s="115"/>
      <c r="S99" s="115"/>
      <c r="T99" s="115"/>
      <c r="U99" s="115"/>
      <c r="V99" s="115"/>
      <c r="W99" s="115"/>
      <c r="X99" s="118"/>
      <c r="Y99" s="115"/>
      <c r="Z99" s="115"/>
      <c r="AA99" s="115"/>
      <c r="AB99" s="115"/>
      <c r="AC99" s="115"/>
      <c r="AD99" s="115"/>
      <c r="AE99" s="115"/>
      <c r="AF99" s="102"/>
    </row>
    <row r="100" spans="1:32" ht="18.45" x14ac:dyDescent="0.5">
      <c r="A100" s="251" t="s">
        <v>343</v>
      </c>
      <c r="B100" s="118"/>
      <c r="C100" s="118"/>
      <c r="D100" s="118"/>
      <c r="E100" s="118"/>
      <c r="F100" s="118"/>
      <c r="G100" s="132"/>
      <c r="H100" s="115"/>
      <c r="I100" s="115"/>
      <c r="J100" s="115"/>
      <c r="K100" s="115"/>
      <c r="L100" s="115"/>
      <c r="M100" s="115"/>
      <c r="N100" s="115"/>
      <c r="O100" s="115"/>
      <c r="P100" s="115"/>
      <c r="Q100" s="115"/>
      <c r="R100" s="115"/>
      <c r="S100" s="115"/>
      <c r="T100" s="115"/>
      <c r="U100" s="115"/>
      <c r="V100" s="115"/>
      <c r="W100" s="115"/>
      <c r="X100" s="118"/>
      <c r="Y100" s="115"/>
      <c r="Z100" s="115"/>
      <c r="AA100" s="115"/>
      <c r="AB100" s="115"/>
      <c r="AC100" s="115"/>
      <c r="AD100" s="115"/>
      <c r="AE100" s="115"/>
      <c r="AF100" s="102"/>
    </row>
    <row r="101" spans="1:32" ht="16.3" thickBot="1" x14ac:dyDescent="0.5">
      <c r="A101" s="123"/>
      <c r="B101" s="118"/>
      <c r="C101" s="118"/>
      <c r="D101" s="118"/>
      <c r="E101" s="118"/>
      <c r="F101" s="118"/>
      <c r="G101" s="234" t="s">
        <v>673</v>
      </c>
      <c r="H101" s="250"/>
      <c r="I101" s="118"/>
      <c r="J101" s="118"/>
      <c r="K101" s="115"/>
      <c r="L101" s="115"/>
      <c r="M101" s="115"/>
      <c r="N101" s="115"/>
      <c r="O101" s="115"/>
      <c r="P101" s="115"/>
      <c r="Q101" s="115"/>
      <c r="R101" s="115"/>
      <c r="S101" s="115"/>
      <c r="T101" s="115"/>
      <c r="U101" s="115"/>
      <c r="V101" s="115"/>
      <c r="W101" s="115"/>
      <c r="X101" s="118"/>
      <c r="Y101" s="115"/>
      <c r="Z101" s="115"/>
      <c r="AA101" s="115"/>
      <c r="AB101" s="115"/>
      <c r="AC101" s="115"/>
      <c r="AD101" s="115"/>
      <c r="AE101" s="115"/>
      <c r="AF101" s="102"/>
    </row>
    <row r="102" spans="1:32" ht="17.149999999999999" x14ac:dyDescent="0.55000000000000004">
      <c r="A102" s="119"/>
      <c r="B102" s="120"/>
      <c r="C102" s="120"/>
      <c r="D102" s="120"/>
      <c r="E102" s="120"/>
      <c r="F102" s="120"/>
      <c r="G102" s="136" t="s">
        <v>694</v>
      </c>
      <c r="H102" s="160">
        <v>1150</v>
      </c>
      <c r="I102" s="122" t="s">
        <v>147</v>
      </c>
      <c r="J102" s="118"/>
      <c r="K102" s="115"/>
      <c r="L102" s="115"/>
      <c r="M102" s="115"/>
      <c r="N102" s="115"/>
      <c r="O102" s="115"/>
      <c r="P102" s="115"/>
      <c r="Q102" s="115"/>
      <c r="R102" s="115"/>
      <c r="S102" s="115"/>
      <c r="T102" s="115"/>
      <c r="U102" s="115"/>
      <c r="V102" s="115"/>
      <c r="W102" s="115"/>
      <c r="X102" s="118"/>
      <c r="Y102" s="115"/>
      <c r="Z102" s="115"/>
      <c r="AA102" s="115"/>
      <c r="AB102" s="115"/>
      <c r="AC102" s="115"/>
      <c r="AD102" s="115"/>
      <c r="AE102" s="115"/>
      <c r="AF102" s="102"/>
    </row>
    <row r="103" spans="1:32" ht="17.600000000000001" thickBot="1" x14ac:dyDescent="0.6">
      <c r="A103" s="130"/>
      <c r="B103" s="127"/>
      <c r="C103" s="127"/>
      <c r="D103" s="127"/>
      <c r="E103" s="127"/>
      <c r="F103" s="127"/>
      <c r="G103" s="134" t="s">
        <v>692</v>
      </c>
      <c r="H103" s="166">
        <v>0</v>
      </c>
      <c r="I103" s="128" t="s">
        <v>340</v>
      </c>
      <c r="J103" s="118"/>
      <c r="K103" s="115"/>
      <c r="L103" s="115"/>
      <c r="M103" s="115"/>
      <c r="N103" s="115"/>
      <c r="O103" s="115"/>
      <c r="P103" s="115"/>
      <c r="Q103" s="115"/>
      <c r="R103" s="115"/>
      <c r="S103" s="115"/>
      <c r="T103" s="115"/>
      <c r="U103" s="115"/>
      <c r="V103" s="115"/>
      <c r="W103" s="115"/>
      <c r="X103" s="118"/>
      <c r="Y103" s="115"/>
      <c r="Z103" s="115"/>
      <c r="AA103" s="115"/>
      <c r="AB103" s="115"/>
      <c r="AC103" s="115"/>
      <c r="AD103" s="115"/>
      <c r="AE103" s="115"/>
      <c r="AF103" s="102"/>
    </row>
    <row r="104" spans="1:32" x14ac:dyDescent="0.4">
      <c r="A104" s="123"/>
      <c r="B104" s="118"/>
      <c r="C104" s="118"/>
      <c r="D104" s="118"/>
      <c r="E104" s="118"/>
      <c r="F104" s="115"/>
      <c r="G104" s="116"/>
      <c r="H104" s="115"/>
      <c r="I104" s="115"/>
      <c r="J104" s="118"/>
      <c r="K104" s="115"/>
      <c r="L104" s="115"/>
      <c r="M104" s="115"/>
      <c r="N104" s="115"/>
      <c r="O104" s="115"/>
      <c r="P104" s="115"/>
      <c r="Q104" s="115"/>
      <c r="R104" s="115"/>
      <c r="S104" s="115"/>
      <c r="T104" s="115"/>
      <c r="U104" s="115"/>
      <c r="V104" s="115"/>
      <c r="W104" s="115"/>
      <c r="X104" s="118"/>
      <c r="Y104" s="115"/>
      <c r="Z104" s="115"/>
      <c r="AA104" s="115"/>
      <c r="AB104" s="115"/>
      <c r="AC104" s="115"/>
      <c r="AD104" s="115"/>
      <c r="AE104" s="115"/>
      <c r="AF104" s="102"/>
    </row>
    <row r="105" spans="1:32" ht="16.3" thickBot="1" x14ac:dyDescent="0.5">
      <c r="A105" s="123"/>
      <c r="B105" s="118"/>
      <c r="C105" s="118"/>
      <c r="D105" s="118"/>
      <c r="E105" s="118"/>
      <c r="F105" s="118"/>
      <c r="G105" s="234" t="s">
        <v>674</v>
      </c>
      <c r="H105" s="118"/>
      <c r="I105" s="118"/>
      <c r="J105" s="118"/>
      <c r="K105" s="115"/>
      <c r="L105" s="115"/>
      <c r="M105" s="115"/>
      <c r="N105" s="115"/>
      <c r="O105" s="115"/>
      <c r="P105" s="115"/>
      <c r="Q105" s="115"/>
      <c r="R105" s="115"/>
      <c r="S105" s="115"/>
      <c r="T105" s="115"/>
      <c r="U105" s="115"/>
      <c r="V105" s="115"/>
      <c r="W105" s="115"/>
      <c r="X105" s="118"/>
      <c r="Y105" s="115"/>
      <c r="Z105" s="115"/>
      <c r="AA105" s="115"/>
      <c r="AB105" s="115"/>
      <c r="AC105" s="115"/>
      <c r="AD105" s="115"/>
      <c r="AE105" s="115"/>
      <c r="AF105" s="102"/>
    </row>
    <row r="106" spans="1:32" ht="17.149999999999999" x14ac:dyDescent="0.55000000000000004">
      <c r="A106" s="119"/>
      <c r="B106" s="120"/>
      <c r="C106" s="120"/>
      <c r="D106" s="120"/>
      <c r="E106" s="120"/>
      <c r="F106" s="120"/>
      <c r="G106" s="136" t="s">
        <v>695</v>
      </c>
      <c r="H106" s="160">
        <v>300</v>
      </c>
      <c r="I106" s="122" t="s">
        <v>147</v>
      </c>
      <c r="J106" s="118"/>
      <c r="K106" s="115"/>
      <c r="L106" s="115"/>
      <c r="M106" s="115"/>
      <c r="N106" s="115"/>
      <c r="O106" s="115"/>
      <c r="P106" s="115"/>
      <c r="Q106" s="115"/>
      <c r="R106" s="115"/>
      <c r="S106" s="115"/>
      <c r="T106" s="115"/>
      <c r="U106" s="115"/>
      <c r="V106" s="115"/>
      <c r="W106" s="115"/>
      <c r="X106" s="118"/>
      <c r="Y106" s="115"/>
      <c r="Z106" s="115"/>
      <c r="AA106" s="115"/>
      <c r="AB106" s="115"/>
      <c r="AC106" s="115"/>
      <c r="AD106" s="115"/>
      <c r="AE106" s="115"/>
      <c r="AF106" s="102"/>
    </row>
    <row r="107" spans="1:32" ht="17.600000000000001" thickBot="1" x14ac:dyDescent="0.6">
      <c r="A107" s="130"/>
      <c r="B107" s="127"/>
      <c r="C107" s="127"/>
      <c r="D107" s="127"/>
      <c r="E107" s="127"/>
      <c r="F107" s="127"/>
      <c r="G107" s="134" t="s">
        <v>693</v>
      </c>
      <c r="H107" s="166">
        <v>10</v>
      </c>
      <c r="I107" s="128" t="s">
        <v>340</v>
      </c>
      <c r="J107" s="118"/>
      <c r="K107" s="115"/>
      <c r="L107" s="115"/>
      <c r="M107" s="115"/>
      <c r="N107" s="115"/>
      <c r="O107" s="115"/>
      <c r="P107" s="115"/>
      <c r="Q107" s="115"/>
      <c r="R107" s="115"/>
      <c r="S107" s="115"/>
      <c r="T107" s="115"/>
      <c r="U107" s="115"/>
      <c r="V107" s="115"/>
      <c r="W107" s="115"/>
      <c r="X107" s="118"/>
      <c r="Y107" s="115"/>
      <c r="Z107" s="115"/>
      <c r="AA107" s="115"/>
      <c r="AB107" s="115"/>
      <c r="AC107" s="115"/>
      <c r="AD107" s="115"/>
      <c r="AE107" s="115"/>
      <c r="AF107" s="102"/>
    </row>
    <row r="108" spans="1:32" x14ac:dyDescent="0.4">
      <c r="A108" s="118"/>
      <c r="B108" s="118"/>
      <c r="C108" s="118"/>
      <c r="D108" s="118"/>
      <c r="E108" s="118"/>
      <c r="F108" s="115"/>
      <c r="G108" s="116"/>
      <c r="H108" s="115"/>
      <c r="I108" s="115"/>
      <c r="J108" s="118"/>
      <c r="K108" s="115"/>
      <c r="L108" s="115"/>
      <c r="M108" s="115"/>
      <c r="N108" s="115"/>
      <c r="O108" s="115"/>
      <c r="P108" s="115"/>
      <c r="Q108" s="115"/>
      <c r="R108" s="115"/>
      <c r="S108" s="115"/>
      <c r="T108" s="115"/>
      <c r="U108" s="115"/>
      <c r="V108" s="115"/>
      <c r="W108" s="115"/>
      <c r="X108" s="118"/>
      <c r="Y108" s="115"/>
      <c r="Z108" s="115"/>
      <c r="AA108" s="115"/>
      <c r="AB108" s="115"/>
      <c r="AC108" s="115"/>
      <c r="AD108" s="115"/>
      <c r="AE108" s="115"/>
      <c r="AF108" s="102"/>
    </row>
    <row r="109" spans="1:32" ht="16.3" thickBot="1" x14ac:dyDescent="0.5">
      <c r="A109" s="118"/>
      <c r="B109" s="118"/>
      <c r="C109" s="118"/>
      <c r="D109" s="118"/>
      <c r="E109" s="118"/>
      <c r="F109" s="118"/>
      <c r="G109" s="234" t="s">
        <v>675</v>
      </c>
      <c r="H109" s="118"/>
      <c r="I109" s="118"/>
      <c r="J109" s="118"/>
      <c r="K109" s="115"/>
      <c r="L109" s="115"/>
      <c r="M109" s="115"/>
      <c r="N109" s="115"/>
      <c r="O109" s="115"/>
      <c r="P109" s="115"/>
      <c r="Q109" s="115"/>
      <c r="R109" s="115"/>
      <c r="S109" s="115"/>
      <c r="T109" s="115"/>
      <c r="U109" s="115"/>
      <c r="V109" s="115"/>
      <c r="W109" s="115"/>
      <c r="X109" s="118"/>
      <c r="Y109" s="115"/>
      <c r="Z109" s="115"/>
      <c r="AA109" s="115"/>
      <c r="AB109" s="115"/>
      <c r="AC109" s="115"/>
      <c r="AD109" s="115"/>
      <c r="AE109" s="115"/>
      <c r="AF109" s="102"/>
    </row>
    <row r="110" spans="1:32" ht="17.149999999999999" x14ac:dyDescent="0.55000000000000004">
      <c r="A110" s="119"/>
      <c r="B110" s="120"/>
      <c r="C110" s="120"/>
      <c r="D110" s="120"/>
      <c r="E110" s="120"/>
      <c r="F110" s="120"/>
      <c r="G110" s="136" t="s">
        <v>696</v>
      </c>
      <c r="H110" s="160">
        <v>500</v>
      </c>
      <c r="I110" s="122" t="s">
        <v>147</v>
      </c>
      <c r="J110" s="115"/>
      <c r="K110" s="115"/>
      <c r="L110" s="115"/>
      <c r="M110" s="115"/>
      <c r="N110" s="115"/>
      <c r="O110" s="115"/>
      <c r="P110" s="115"/>
      <c r="Q110" s="115"/>
      <c r="R110" s="115"/>
      <c r="S110" s="115"/>
      <c r="T110" s="115"/>
      <c r="U110" s="115"/>
      <c r="V110" s="115"/>
      <c r="W110" s="115"/>
      <c r="X110" s="118"/>
      <c r="Y110" s="115"/>
      <c r="Z110" s="115"/>
      <c r="AA110" s="115"/>
      <c r="AB110" s="115"/>
      <c r="AC110" s="115"/>
      <c r="AD110" s="115"/>
      <c r="AE110" s="115"/>
      <c r="AF110" s="102"/>
    </row>
    <row r="111" spans="1:32" ht="17.600000000000001" thickBot="1" x14ac:dyDescent="0.6">
      <c r="A111" s="130"/>
      <c r="B111" s="127"/>
      <c r="C111" s="127"/>
      <c r="D111" s="127"/>
      <c r="E111" s="127"/>
      <c r="F111" s="127"/>
      <c r="G111" s="134" t="s">
        <v>691</v>
      </c>
      <c r="H111" s="166">
        <v>10</v>
      </c>
      <c r="I111" s="128" t="s">
        <v>340</v>
      </c>
      <c r="J111" s="115"/>
      <c r="K111" s="115"/>
      <c r="L111" s="115"/>
      <c r="M111" s="115"/>
      <c r="N111" s="115"/>
      <c r="O111" s="115"/>
      <c r="P111" s="115"/>
      <c r="Q111" s="115"/>
      <c r="R111" s="115"/>
      <c r="S111" s="115"/>
      <c r="T111" s="115"/>
      <c r="U111" s="115"/>
      <c r="V111" s="115"/>
      <c r="W111" s="115"/>
      <c r="X111" s="118"/>
      <c r="Y111" s="115"/>
      <c r="Z111" s="115"/>
      <c r="AA111" s="115"/>
      <c r="AB111" s="115"/>
      <c r="AC111" s="115"/>
      <c r="AD111" s="115"/>
      <c r="AE111" s="115"/>
      <c r="AF111" s="102"/>
    </row>
    <row r="112" spans="1:32" x14ac:dyDescent="0.4">
      <c r="A112" s="115"/>
      <c r="B112" s="115"/>
      <c r="C112" s="115"/>
      <c r="D112" s="115"/>
      <c r="E112" s="115"/>
      <c r="F112" s="115"/>
      <c r="G112" s="116"/>
      <c r="H112" s="115"/>
      <c r="I112" s="115"/>
      <c r="J112" s="115"/>
      <c r="K112" s="115"/>
      <c r="L112" s="115"/>
      <c r="M112" s="115"/>
      <c r="N112" s="115"/>
      <c r="O112" s="115"/>
      <c r="P112" s="115"/>
      <c r="Q112" s="115"/>
      <c r="R112" s="115"/>
      <c r="S112" s="115"/>
      <c r="T112" s="115"/>
      <c r="U112" s="115"/>
      <c r="V112" s="115"/>
      <c r="W112" s="115"/>
      <c r="X112" s="118"/>
      <c r="Y112" s="115"/>
      <c r="Z112" s="115"/>
      <c r="AA112" s="115"/>
      <c r="AB112" s="115"/>
      <c r="AC112" s="115"/>
      <c r="AD112" s="115"/>
      <c r="AE112" s="115"/>
      <c r="AF112" s="102"/>
    </row>
    <row r="113" spans="1:32" x14ac:dyDescent="0.4">
      <c r="A113" s="115"/>
      <c r="B113" s="115"/>
      <c r="C113" s="115"/>
      <c r="D113" s="115"/>
      <c r="E113" s="115"/>
      <c r="F113" s="115"/>
      <c r="G113" s="115"/>
      <c r="H113" s="115"/>
      <c r="I113" s="115"/>
      <c r="J113" s="115"/>
      <c r="K113" s="115"/>
      <c r="L113" s="115"/>
      <c r="M113" s="115"/>
      <c r="N113" s="115"/>
      <c r="O113" s="115"/>
      <c r="P113" s="115"/>
      <c r="Q113" s="115"/>
      <c r="R113" s="115"/>
      <c r="S113" s="115"/>
      <c r="T113" s="115"/>
      <c r="U113" s="115"/>
      <c r="V113" s="115"/>
      <c r="W113" s="115"/>
      <c r="X113" s="118"/>
      <c r="Y113" s="115"/>
      <c r="Z113" s="115"/>
      <c r="AA113" s="115"/>
      <c r="AB113" s="115"/>
      <c r="AC113" s="115"/>
      <c r="AD113" s="115"/>
      <c r="AE113" s="115"/>
      <c r="AF113" s="102"/>
    </row>
    <row r="114" spans="1:32" x14ac:dyDescent="0.4">
      <c r="A114" s="115"/>
      <c r="B114" s="115"/>
      <c r="C114" s="115"/>
      <c r="D114" s="115"/>
      <c r="E114" s="115"/>
      <c r="F114" s="115"/>
      <c r="G114" s="115"/>
      <c r="H114" s="115"/>
      <c r="I114" s="115"/>
      <c r="J114" s="115"/>
      <c r="K114" s="115"/>
      <c r="L114" s="115"/>
      <c r="M114" s="115"/>
      <c r="N114" s="115"/>
      <c r="O114" s="115"/>
      <c r="P114" s="115"/>
      <c r="Q114" s="115"/>
      <c r="R114" s="115"/>
      <c r="S114" s="115"/>
      <c r="T114" s="115"/>
      <c r="U114" s="115"/>
      <c r="V114" s="115"/>
      <c r="W114" s="115"/>
      <c r="X114" s="118"/>
      <c r="Y114" s="115"/>
      <c r="Z114" s="115"/>
      <c r="AA114" s="115"/>
      <c r="AB114" s="115"/>
      <c r="AC114" s="115"/>
      <c r="AD114" s="115"/>
      <c r="AE114" s="115"/>
      <c r="AF114" s="102"/>
    </row>
    <row r="115" spans="1:32" x14ac:dyDescent="0.4">
      <c r="A115" s="115"/>
      <c r="B115" s="115"/>
      <c r="C115" s="115"/>
      <c r="D115" s="115"/>
      <c r="E115" s="115"/>
      <c r="F115" s="115"/>
      <c r="G115" s="116"/>
      <c r="H115" s="115"/>
      <c r="I115" s="115"/>
      <c r="J115" s="115"/>
      <c r="K115" s="115"/>
      <c r="L115" s="115"/>
      <c r="M115" s="115"/>
      <c r="N115" s="115"/>
      <c r="O115" s="115"/>
      <c r="P115" s="115"/>
      <c r="Q115" s="115"/>
      <c r="R115" s="115"/>
      <c r="S115" s="115"/>
      <c r="T115" s="115"/>
      <c r="U115" s="115"/>
      <c r="V115" s="115"/>
      <c r="W115" s="115"/>
      <c r="X115" s="118"/>
      <c r="Y115" s="115"/>
      <c r="Z115" s="115"/>
      <c r="AA115" s="115"/>
      <c r="AB115" s="115"/>
      <c r="AC115" s="115"/>
      <c r="AD115" s="115"/>
      <c r="AE115" s="115"/>
      <c r="AF115" s="102"/>
    </row>
    <row r="116" spans="1:32" x14ac:dyDescent="0.4">
      <c r="A116" s="115"/>
      <c r="B116" s="115"/>
      <c r="C116" s="115"/>
      <c r="D116" s="115"/>
      <c r="E116" s="115"/>
      <c r="F116" s="115"/>
      <c r="G116" s="116"/>
      <c r="H116" s="115"/>
      <c r="I116" s="115"/>
      <c r="J116" s="115"/>
      <c r="K116" s="115"/>
      <c r="L116" s="115"/>
      <c r="M116" s="115"/>
      <c r="N116" s="115"/>
      <c r="O116" s="115"/>
      <c r="P116" s="115"/>
      <c r="Q116" s="115"/>
      <c r="R116" s="115"/>
      <c r="S116" s="115"/>
      <c r="T116" s="115"/>
      <c r="U116" s="115"/>
      <c r="V116" s="115"/>
      <c r="W116" s="115"/>
      <c r="X116" s="118"/>
      <c r="Y116" s="115"/>
      <c r="Z116" s="115"/>
      <c r="AA116" s="115"/>
      <c r="AB116" s="115"/>
      <c r="AC116" s="115"/>
      <c r="AD116" s="115"/>
      <c r="AE116" s="115"/>
      <c r="AF116" s="102"/>
    </row>
    <row r="117" spans="1:32" x14ac:dyDescent="0.4">
      <c r="A117" s="115"/>
      <c r="B117" s="115"/>
      <c r="C117" s="115"/>
      <c r="D117" s="115"/>
      <c r="E117" s="115"/>
      <c r="F117" s="115"/>
      <c r="G117" s="115"/>
      <c r="H117" s="115"/>
      <c r="I117" s="115"/>
      <c r="J117" s="115"/>
      <c r="K117" s="115"/>
      <c r="L117" s="115"/>
      <c r="M117" s="115"/>
      <c r="N117" s="115"/>
      <c r="O117" s="115"/>
      <c r="P117" s="115"/>
      <c r="Q117" s="115"/>
      <c r="R117" s="115"/>
      <c r="S117" s="115"/>
      <c r="T117" s="115"/>
      <c r="U117" s="115"/>
      <c r="V117" s="115"/>
      <c r="W117" s="115"/>
      <c r="X117" s="118"/>
      <c r="Y117" s="115"/>
      <c r="Z117" s="115"/>
      <c r="AA117" s="115"/>
      <c r="AB117" s="115"/>
      <c r="AC117" s="115"/>
      <c r="AD117" s="115"/>
      <c r="AE117" s="115"/>
      <c r="AF117" s="102"/>
    </row>
    <row r="118" spans="1:32" x14ac:dyDescent="0.4">
      <c r="A118" s="115"/>
      <c r="B118" s="115"/>
      <c r="C118" s="115"/>
      <c r="D118" s="115"/>
      <c r="E118" s="115"/>
      <c r="F118" s="115"/>
      <c r="G118" s="115"/>
      <c r="H118" s="115"/>
      <c r="I118" s="115"/>
      <c r="J118" s="115"/>
      <c r="K118" s="115"/>
      <c r="L118" s="115"/>
      <c r="M118" s="115"/>
      <c r="N118" s="115"/>
      <c r="O118" s="115"/>
      <c r="P118" s="115"/>
      <c r="Q118" s="115"/>
      <c r="R118" s="115"/>
      <c r="S118" s="115"/>
      <c r="T118" s="115"/>
      <c r="U118" s="115"/>
      <c r="V118" s="115"/>
      <c r="W118" s="115"/>
      <c r="X118" s="118"/>
      <c r="Y118" s="115"/>
      <c r="Z118" s="115"/>
      <c r="AA118" s="115"/>
      <c r="AB118" s="115"/>
      <c r="AC118" s="115"/>
      <c r="AD118" s="115"/>
      <c r="AE118" s="115"/>
      <c r="AF118" s="102"/>
    </row>
    <row r="119" spans="1:32" x14ac:dyDescent="0.4">
      <c r="A119" s="115"/>
      <c r="B119" s="115"/>
      <c r="C119" s="115"/>
      <c r="D119" s="115"/>
      <c r="E119" s="115"/>
      <c r="F119" s="115"/>
      <c r="G119" s="116"/>
      <c r="H119" s="115"/>
      <c r="I119" s="115"/>
      <c r="J119" s="115"/>
      <c r="K119" s="115"/>
      <c r="L119" s="115"/>
      <c r="M119" s="115"/>
      <c r="N119" s="115"/>
      <c r="O119" s="115"/>
      <c r="P119" s="115"/>
      <c r="Q119" s="115"/>
      <c r="R119" s="115"/>
      <c r="S119" s="115"/>
      <c r="T119" s="115"/>
      <c r="U119" s="115"/>
      <c r="V119" s="115"/>
      <c r="W119" s="115"/>
      <c r="X119" s="118"/>
      <c r="Y119" s="115"/>
      <c r="Z119" s="115"/>
      <c r="AA119" s="115"/>
      <c r="AB119" s="115"/>
      <c r="AC119" s="115"/>
      <c r="AD119" s="115"/>
      <c r="AE119" s="115"/>
      <c r="AF119" s="102"/>
    </row>
    <row r="120" spans="1:32" x14ac:dyDescent="0.4">
      <c r="A120" s="115"/>
      <c r="B120" s="115"/>
      <c r="C120" s="115"/>
      <c r="D120" s="115"/>
      <c r="E120" s="115"/>
      <c r="F120" s="115"/>
      <c r="G120" s="116"/>
      <c r="H120" s="115"/>
      <c r="I120" s="115"/>
      <c r="J120" s="115"/>
      <c r="K120" s="115"/>
      <c r="L120" s="115"/>
      <c r="M120" s="115"/>
      <c r="N120" s="115"/>
      <c r="O120" s="115"/>
      <c r="P120" s="115"/>
      <c r="Q120" s="115"/>
      <c r="R120" s="115"/>
      <c r="S120" s="115"/>
      <c r="T120" s="115"/>
      <c r="U120" s="115"/>
      <c r="V120" s="115"/>
      <c r="W120" s="115"/>
      <c r="X120" s="118"/>
      <c r="Y120" s="115"/>
      <c r="Z120" s="115"/>
      <c r="AA120" s="115"/>
      <c r="AB120" s="115"/>
      <c r="AC120" s="115"/>
      <c r="AD120" s="115"/>
      <c r="AE120" s="115"/>
      <c r="AF120" s="102"/>
    </row>
    <row r="121" spans="1:32" x14ac:dyDescent="0.4">
      <c r="A121" s="115"/>
      <c r="B121" s="115"/>
      <c r="C121" s="115"/>
      <c r="D121" s="115"/>
      <c r="E121" s="115"/>
      <c r="F121" s="115"/>
      <c r="G121" s="116"/>
      <c r="H121" s="115"/>
      <c r="I121" s="115"/>
      <c r="J121" s="115"/>
      <c r="K121" s="115"/>
      <c r="L121" s="115"/>
      <c r="M121" s="115"/>
      <c r="N121" s="115"/>
      <c r="O121" s="115"/>
      <c r="P121" s="115"/>
      <c r="Q121" s="115"/>
      <c r="R121" s="115"/>
      <c r="S121" s="115"/>
      <c r="T121" s="115"/>
      <c r="U121" s="115"/>
      <c r="V121" s="115"/>
      <c r="W121" s="115"/>
      <c r="X121" s="118"/>
      <c r="Y121" s="115"/>
      <c r="Z121" s="115"/>
      <c r="AA121" s="115"/>
      <c r="AB121" s="115"/>
      <c r="AC121" s="115"/>
      <c r="AD121" s="115"/>
      <c r="AE121" s="115"/>
      <c r="AF121" s="102"/>
    </row>
    <row r="122" spans="1:32" x14ac:dyDescent="0.4">
      <c r="A122" s="115"/>
      <c r="B122" s="115"/>
      <c r="C122" s="115"/>
      <c r="D122" s="115"/>
      <c r="E122" s="115"/>
      <c r="F122" s="115"/>
      <c r="G122" s="116"/>
      <c r="H122" s="115"/>
      <c r="I122" s="115"/>
      <c r="J122" s="115"/>
      <c r="K122" s="115"/>
      <c r="L122" s="115"/>
      <c r="M122" s="115"/>
      <c r="N122" s="115"/>
      <c r="O122" s="115"/>
      <c r="P122" s="115"/>
      <c r="Q122" s="115"/>
      <c r="R122" s="115"/>
      <c r="S122" s="115"/>
      <c r="T122" s="115"/>
      <c r="U122" s="115"/>
      <c r="V122" s="115"/>
      <c r="W122" s="115"/>
      <c r="X122" s="118"/>
      <c r="Y122" s="115"/>
      <c r="Z122" s="115"/>
      <c r="AA122" s="115"/>
      <c r="AB122" s="115"/>
      <c r="AC122" s="115"/>
      <c r="AD122" s="115"/>
      <c r="AE122" s="115"/>
      <c r="AF122" s="102"/>
    </row>
    <row r="123" spans="1:32" x14ac:dyDescent="0.4">
      <c r="A123" s="155"/>
      <c r="B123" s="155"/>
      <c r="C123" s="155"/>
      <c r="D123" s="155"/>
      <c r="E123" s="155"/>
      <c r="F123" s="155"/>
      <c r="G123" s="156"/>
      <c r="H123" s="155"/>
      <c r="I123" s="155"/>
      <c r="J123" s="155"/>
      <c r="K123" s="155"/>
      <c r="L123" s="155"/>
      <c r="M123" s="155"/>
      <c r="N123" s="155"/>
      <c r="O123" s="155"/>
      <c r="P123" s="155"/>
      <c r="Q123" s="155"/>
      <c r="R123" s="155"/>
      <c r="S123" s="155"/>
      <c r="T123" s="155"/>
      <c r="U123" s="155"/>
      <c r="V123" s="155"/>
      <c r="W123" s="155"/>
      <c r="X123" s="104"/>
      <c r="Y123" s="155"/>
      <c r="Z123" s="155"/>
      <c r="AA123" s="155"/>
      <c r="AB123" s="155"/>
      <c r="AC123" s="155"/>
      <c r="AD123" s="155"/>
      <c r="AE123" s="155"/>
      <c r="AF123" s="102"/>
    </row>
  </sheetData>
  <sheetProtection algorithmName="SHA-512" hashValue="ktBWQPtiABsOugzP/qaPSQu3Xzd/GpKQE2kfMOymsKpqbt841sFWA8VIDfj8ZPM9nsHMYiV0vy9p6zCtPqodYA==" saltValue="TsFZEY5sUs6IoGQVde6Mhg==" spinCount="100000" sheet="1" objects="1" scenarios="1" selectLockedCells="1"/>
  <mergeCells count="1">
    <mergeCell ref="P3:R3"/>
  </mergeCells>
  <conditionalFormatting sqref="H7">
    <cfRule type="cellIs" dxfId="19" priority="5" operator="greaterThan">
      <formula>VIN_op_max_56</formula>
    </cfRule>
    <cfRule type="cellIs" dxfId="18" priority="6" operator="greaterThan">
      <formula>VIN_op_max</formula>
    </cfRule>
    <cfRule type="cellIs" dxfId="17" priority="7" operator="lessThan">
      <formula>VIN_op_min</formula>
    </cfRule>
  </conditionalFormatting>
  <conditionalFormatting sqref="H8">
    <cfRule type="cellIs" dxfId="16" priority="43" operator="notBetween">
      <formula>$H$7</formula>
      <formula>$H$9</formula>
    </cfRule>
  </conditionalFormatting>
  <conditionalFormatting sqref="H9">
    <cfRule type="cellIs" dxfId="15" priority="1" operator="greaterThan">
      <formula>VIN_op_max_56</formula>
    </cfRule>
    <cfRule type="cellIs" dxfId="14" priority="3" operator="greaterThan">
      <formula>VIN_op_max</formula>
    </cfRule>
    <cfRule type="cellIs" dxfId="13" priority="4" operator="lessThan">
      <formula>VIN_op_min</formula>
    </cfRule>
  </conditionalFormatting>
  <conditionalFormatting sqref="H14">
    <cfRule type="cellIs" dxfId="12" priority="10" operator="greaterThan">
      <formula>2200</formula>
    </cfRule>
    <cfRule type="cellIs" dxfId="11" priority="11" operator="lessThan">
      <formula>50</formula>
    </cfRule>
  </conditionalFormatting>
  <conditionalFormatting sqref="H59">
    <cfRule type="expression" dxfId="9" priority="41">
      <formula>$H$8&gt;$H$9</formula>
    </cfRule>
    <cfRule type="expression" dxfId="8" priority="42">
      <formula>$H$8&lt;$H$7</formula>
    </cfRule>
  </conditionalFormatting>
  <hyperlinks>
    <hyperlink ref="P3" location="Licenses!A1" display="TERMS OF USE" xr:uid="{520B36B2-99BB-4BBD-B6B0-9F4C403615A4}"/>
  </hyperlinks>
  <pageMargins left="0.2" right="0.2" top="0.25" bottom="0.25" header="0" footer="0"/>
  <pageSetup paperSize="9" scale="4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52" r:id="rId4" name="Drop Down 628">
              <controlPr defaultSize="0" autoLine="0" autoPict="0">
                <anchor moveWithCells="1">
                  <from>
                    <xdr:col>20</xdr:col>
                    <xdr:colOff>114300</xdr:colOff>
                    <xdr:row>17</xdr:row>
                    <xdr:rowOff>21771</xdr:rowOff>
                  </from>
                  <to>
                    <xdr:col>25</xdr:col>
                    <xdr:colOff>413657</xdr:colOff>
                    <xdr:row>18</xdr:row>
                    <xdr:rowOff>174171</xdr:rowOff>
                  </to>
                </anchor>
              </controlPr>
            </control>
          </mc:Choice>
        </mc:AlternateContent>
        <mc:AlternateContent xmlns:mc="http://schemas.openxmlformats.org/markup-compatibility/2006">
          <mc:Choice Requires="x14">
            <control shapeId="1060" r:id="rId5" name="Spinner 36">
              <controlPr defaultSize="0" autoPict="0">
                <anchor moveWithCells="1" sizeWithCells="1">
                  <from>
                    <xdr:col>8</xdr:col>
                    <xdr:colOff>5443</xdr:colOff>
                    <xdr:row>58</xdr:row>
                    <xdr:rowOff>5443</xdr:rowOff>
                  </from>
                  <to>
                    <xdr:col>9</xdr:col>
                    <xdr:colOff>0</xdr:colOff>
                    <xdr:row>59</xdr:row>
                    <xdr:rowOff>97971</xdr:rowOff>
                  </to>
                </anchor>
              </controlPr>
            </control>
          </mc:Choice>
        </mc:AlternateContent>
        <mc:AlternateContent xmlns:mc="http://schemas.openxmlformats.org/markup-compatibility/2006">
          <mc:Choice Requires="x14">
            <control shapeId="1064" r:id="rId6" name="Drop Down 40">
              <controlPr defaultSize="0" autoLine="0" autoPict="0">
                <anchor moveWithCells="1">
                  <from>
                    <xdr:col>7</xdr:col>
                    <xdr:colOff>5443</xdr:colOff>
                    <xdr:row>11</xdr:row>
                    <xdr:rowOff>0</xdr:rowOff>
                  </from>
                  <to>
                    <xdr:col>9</xdr:col>
                    <xdr:colOff>5443</xdr:colOff>
                    <xdr:row>12</xdr:row>
                    <xdr:rowOff>108857</xdr:rowOff>
                  </to>
                </anchor>
              </controlPr>
            </control>
          </mc:Choice>
        </mc:AlternateContent>
        <mc:AlternateContent xmlns:mc="http://schemas.openxmlformats.org/markup-compatibility/2006">
          <mc:Choice Requires="x14">
            <control shapeId="1157" r:id="rId7" name="Drop Down 133">
              <controlPr defaultSize="0" autoLine="0" autoPict="0">
                <anchor moveWithCells="1">
                  <from>
                    <xdr:col>7</xdr:col>
                    <xdr:colOff>5443</xdr:colOff>
                    <xdr:row>9</xdr:row>
                    <xdr:rowOff>32657</xdr:rowOff>
                  </from>
                  <to>
                    <xdr:col>9</xdr:col>
                    <xdr:colOff>0</xdr:colOff>
                    <xdr:row>10</xdr:row>
                    <xdr:rowOff>70757</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345BC91B-B706-4467-BDC9-AA2F120BCEF3}">
            <xm:f>Variable_Management!$B$23=0</xm:f>
            <x14:dxf>
              <border>
                <left/>
                <right/>
                <top/>
                <bottom/>
                <vertical/>
                <horizontal/>
              </border>
            </x14:dxf>
          </x14:cfRule>
          <xm:sqref>A30:C35</xm:sqref>
        </x14:conditionalFormatting>
        <x14:conditionalFormatting xmlns:xm="http://schemas.microsoft.com/office/excel/2006/main">
          <x14:cfRule type="expression" priority="9" id="{CF5C59F3-9578-4F3D-8CFA-89B0A81DA010}">
            <xm:f>Variable_Management!$B$23=0</xm:f>
            <x14:dxf>
              <font>
                <color theme="0"/>
              </font>
              <fill>
                <patternFill>
                  <bgColor theme="0"/>
                </patternFill>
              </fill>
              <border>
                <left style="thin">
                  <color theme="0"/>
                </left>
                <right style="thin">
                  <color theme="0"/>
                </right>
                <top style="thin">
                  <color theme="0"/>
                </top>
                <bottom style="thin">
                  <color theme="0"/>
                </bottom>
                <vertical/>
                <horizontal/>
              </border>
            </x14:dxf>
          </x14:cfRule>
          <xm:sqref>A105:I107</xm:sqref>
        </x14:conditionalFormatting>
        <x14:conditionalFormatting xmlns:xm="http://schemas.microsoft.com/office/excel/2006/main">
          <x14:cfRule type="expression" priority="8" id="{A0AC3576-B134-405E-A248-7E1B49921D90}">
            <xm:f>Variable_Management!$B$32=0</xm:f>
            <x14:dxf>
              <font>
                <color theme="0"/>
              </font>
              <fill>
                <patternFill>
                  <bgColor theme="0"/>
                </patternFill>
              </fill>
              <border>
                <left style="hair">
                  <color theme="0"/>
                </left>
                <right style="hair">
                  <color theme="0"/>
                </right>
                <top style="hair">
                  <color theme="0"/>
                </top>
                <bottom style="hair">
                  <color theme="0"/>
                </bottom>
                <vertical/>
                <horizontal/>
              </border>
            </x14:dxf>
          </x14:cfRule>
          <xm:sqref>A109:I111</xm:sqref>
        </x14:conditionalFormatting>
        <x14:conditionalFormatting xmlns:xm="http://schemas.microsoft.com/office/excel/2006/main">
          <x14:cfRule type="expression" priority="21" id="{76EB9617-E5DB-468F-B8A0-DF3F0F41DE32}">
            <xm:f>Variable_Management!$B$175=1</xm:f>
            <x14:dxf>
              <font>
                <strike/>
              </font>
              <fill>
                <patternFill>
                  <bgColor theme="0" tint="-0.24994659260841701"/>
                </patternFill>
              </fill>
            </x14:dxf>
          </x14:cfRule>
          <xm:sqref>H47:H49</xm:sqref>
        </x14:conditionalFormatting>
        <x14:conditionalFormatting xmlns:xm="http://schemas.microsoft.com/office/excel/2006/main">
          <x14:cfRule type="expression" priority="32" id="{AC968A9C-58F4-4EB9-B20E-EEB4BEC63EEA}">
            <xm:f>Variable_Management!$B$175=2</xm:f>
            <x14:dxf>
              <font>
                <strike/>
              </font>
              <fill>
                <patternFill>
                  <bgColor theme="0" tint="-0.24994659260841701"/>
                </patternFill>
              </fill>
            </x14:dxf>
          </x14:cfRule>
          <xm:sqref>H62</xm:sqref>
        </x14:conditionalFormatting>
        <x14:conditionalFormatting xmlns:xm="http://schemas.microsoft.com/office/excel/2006/main">
          <x14:cfRule type="expression" priority="31" id="{6AEF7AEB-8233-47F6-AF37-19EB8376E645}">
            <xm:f>Variable_Management!$B$175=2</xm:f>
            <x14:dxf>
              <font>
                <strike/>
              </font>
              <fill>
                <patternFill>
                  <bgColor theme="0" tint="-0.24994659260841701"/>
                </patternFill>
              </fill>
            </x14:dxf>
          </x14:cfRule>
          <xm:sqref>H68:H72</xm:sqref>
        </x14:conditionalFormatting>
        <x14:conditionalFormatting xmlns:xm="http://schemas.microsoft.com/office/excel/2006/main">
          <x14:cfRule type="expression" priority="28" id="{E825D698-3E97-4429-BCA3-4B674CCA2086}">
            <xm:f>Variable_Management!$B$175=2</xm:f>
            <x14:dxf>
              <font>
                <strike/>
              </font>
              <fill>
                <patternFill>
                  <bgColor theme="0" tint="-0.24994659260841701"/>
                </patternFill>
              </fill>
            </x14:dxf>
          </x14:cfRule>
          <xm:sqref>H75:H79</xm:sqref>
        </x14:conditionalFormatting>
        <x14:conditionalFormatting xmlns:xm="http://schemas.microsoft.com/office/excel/2006/main">
          <x14:cfRule type="expression" priority="29" id="{E6F4B62A-2486-4776-951C-54AB970AD7E6}">
            <xm:f>Variable_Management!$B$175=1</xm:f>
            <x14:dxf>
              <font>
                <strike/>
              </font>
              <fill>
                <patternFill>
                  <bgColor theme="0" tint="-0.24994659260841701"/>
                </patternFill>
              </fill>
            </x14:dxf>
          </x14:cfRule>
          <xm:sqref>H88</xm:sqref>
        </x14:conditionalFormatting>
        <x14:conditionalFormatting xmlns:xm="http://schemas.microsoft.com/office/excel/2006/main">
          <x14:cfRule type="expression" priority="23" id="{BDFF76D6-2BAE-460D-B594-665CE6C8F926}">
            <xm:f>Variable_Management!$B$23=0</xm:f>
            <x14:dxf>
              <font>
                <strike val="0"/>
                <color theme="0"/>
              </font>
              <fill>
                <patternFill>
                  <bgColor theme="0"/>
                </patternFill>
              </fill>
              <border>
                <left/>
                <right/>
                <top/>
                <bottom/>
                <vertical/>
                <horizontal/>
              </border>
            </x14:dxf>
          </x14:cfRule>
          <xm:sqref>K38:O38 L39:O39 K40:O43</xm:sqref>
        </x14:conditionalFormatting>
        <x14:conditionalFormatting xmlns:xm="http://schemas.microsoft.com/office/excel/2006/main">
          <x14:cfRule type="expression" priority="27" id="{26B2D2DD-EEF0-4676-9BB3-C4CF725A354D}">
            <xm:f>Variable_Management!$B$23=0</xm:f>
            <x14:dxf>
              <font>
                <strike val="0"/>
                <color theme="0"/>
              </font>
              <fill>
                <patternFill>
                  <bgColor theme="0"/>
                </patternFill>
              </fill>
              <border>
                <left/>
                <right/>
                <top/>
                <bottom/>
                <vertical/>
                <horizontal/>
              </border>
            </x14:dxf>
          </x14:cfRule>
          <xm:sqref>L13:O19</xm:sqref>
        </x14:conditionalFormatting>
        <x14:conditionalFormatting xmlns:xm="http://schemas.microsoft.com/office/excel/2006/main">
          <x14:cfRule type="expression" priority="26" id="{D8EED069-6203-4DCF-8C46-3C5EE8B9DF10}">
            <xm:f>Variable_Management!$B$32=0</xm:f>
            <x14:dxf>
              <font>
                <strike val="0"/>
                <color theme="0"/>
              </font>
              <fill>
                <patternFill>
                  <bgColor theme="0"/>
                </patternFill>
              </fill>
              <border>
                <left/>
                <right/>
                <top/>
                <bottom/>
                <vertical/>
                <horizontal/>
              </border>
            </x14:dxf>
          </x14:cfRule>
          <xm:sqref>L21:O28</xm:sqref>
        </x14:conditionalFormatting>
        <x14:conditionalFormatting xmlns:xm="http://schemas.microsoft.com/office/excel/2006/main">
          <x14:cfRule type="expression" priority="22" id="{0A150974-020D-4E5A-BC65-8908D4CB4565}">
            <xm:f>Variable_Management!$B$32=0</xm:f>
            <x14:dxf>
              <font>
                <strike val="0"/>
                <color theme="0"/>
              </font>
              <fill>
                <patternFill>
                  <bgColor theme="0"/>
                </patternFill>
              </fill>
              <border>
                <left/>
                <right/>
                <top/>
                <bottom/>
                <vertical/>
                <horizontal/>
              </border>
            </x14:dxf>
          </x14:cfRule>
          <xm:sqref>Q38:W38 R39:W39 Q40:W43</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I5"/>
  <sheetViews>
    <sheetView topLeftCell="A4" zoomScale="85" zoomScaleNormal="85" workbookViewId="0">
      <selection activeCell="N4" sqref="N4"/>
    </sheetView>
  </sheetViews>
  <sheetFormatPr defaultColWidth="8.84375" defaultRowHeight="14.6" x14ac:dyDescent="0.4"/>
  <cols>
    <col min="1" max="1" width="8.84375" style="206"/>
    <col min="2" max="2" width="154.4609375" style="206" customWidth="1"/>
    <col min="3" max="16384" width="8.84375" style="206"/>
  </cols>
  <sheetData>
    <row r="2" spans="1:9" x14ac:dyDescent="0.4">
      <c r="A2" s="206" t="str">
        <f>IF(FB_type=1,"LOOP_ISO","LOOP_nISO")</f>
        <v>LOOP_nISO</v>
      </c>
    </row>
    <row r="3" spans="1:9" ht="377.25" customHeight="1" x14ac:dyDescent="0.4">
      <c r="D3" s="206" t="s">
        <v>652</v>
      </c>
    </row>
    <row r="4" spans="1:9" ht="333" customHeight="1" x14ac:dyDescent="0.4">
      <c r="D4" s="206" t="s">
        <v>651</v>
      </c>
    </row>
    <row r="5" spans="1:9" ht="409.2" customHeight="1" x14ac:dyDescent="0.4">
      <c r="I5" s="206">
        <f>LoopLookup</f>
        <v>0</v>
      </c>
    </row>
  </sheetData>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8"/>
  <sheetViews>
    <sheetView zoomScale="70" zoomScaleNormal="70" workbookViewId="0">
      <selection activeCell="F4" sqref="F4"/>
    </sheetView>
  </sheetViews>
  <sheetFormatPr defaultColWidth="9.3046875" defaultRowHeight="14.6" x14ac:dyDescent="0.4"/>
  <cols>
    <col min="1" max="1" width="8.69140625" style="235" customWidth="1"/>
    <col min="2" max="2" width="101.53515625" style="236" customWidth="1"/>
    <col min="3" max="3" width="9.3046875" style="235"/>
    <col min="4" max="4" width="101.4609375" style="235" customWidth="1"/>
    <col min="5" max="5" width="9.3046875" style="235"/>
    <col min="6" max="6" width="101.4609375" style="235" customWidth="1"/>
    <col min="7" max="16384" width="9.3046875" style="235"/>
  </cols>
  <sheetData>
    <row r="1" spans="1:7" x14ac:dyDescent="0.4">
      <c r="A1" s="243" t="str">
        <f>IF(FB_type=1,CHOOSE(Variable_Management!B13,"sch_ISO_1","sch_ISO_2","sch_ISO_3"),CHOOSE(Variable_Management!B13,"sch_nISO_1","sch_nISO_2","sch_nISO_3"))</f>
        <v>sch_nISO_1</v>
      </c>
      <c r="B1" s="244"/>
      <c r="C1" s="243"/>
      <c r="D1" s="243"/>
      <c r="E1" s="243"/>
      <c r="F1" s="243"/>
      <c r="G1" s="240"/>
    </row>
    <row r="2" spans="1:7" x14ac:dyDescent="0.4">
      <c r="G2" s="240"/>
    </row>
    <row r="3" spans="1:7" ht="15.65" customHeight="1" x14ac:dyDescent="0.4">
      <c r="G3" s="240"/>
    </row>
    <row r="4" spans="1:7" ht="392.25" customHeight="1" x14ac:dyDescent="0.4">
      <c r="G4" s="240"/>
    </row>
    <row r="5" spans="1:7" x14ac:dyDescent="0.4">
      <c r="G5" s="240"/>
    </row>
    <row r="6" spans="1:7" ht="392.25" customHeight="1" x14ac:dyDescent="0.4">
      <c r="G6" s="240"/>
    </row>
    <row r="7" spans="1:7" x14ac:dyDescent="0.4">
      <c r="A7" s="241"/>
      <c r="B7" s="242"/>
      <c r="C7" s="241"/>
      <c r="D7" s="241"/>
      <c r="E7" s="241"/>
      <c r="F7" s="241"/>
    </row>
    <row r="8" spans="1:7" ht="321" customHeight="1" x14ac:dyDescent="0.4"/>
  </sheetData>
  <pageMargins left="0.7" right="0.7" top="0.75" bottom="0.75" header="0.3" footer="0.3"/>
  <pageSetup orientation="portrait" r:id="rId1"/>
  <drawing r:id="rId2"/>
  <legacyDrawing r:id="rId3"/>
  <oleObjects>
    <mc:AlternateContent xmlns:mc="http://schemas.openxmlformats.org/markup-compatibility/2006">
      <mc:Choice Requires="x14">
        <oleObject progId="Visio.Drawing.15" shapeId="21505" r:id="rId4">
          <objectPr defaultSize="0" r:id="rId5">
            <anchor moveWithCells="1">
              <from>
                <xdr:col>5</xdr:col>
                <xdr:colOff>0</xdr:colOff>
                <xdr:row>5</xdr:row>
                <xdr:rowOff>0</xdr:rowOff>
              </from>
              <to>
                <xdr:col>5</xdr:col>
                <xdr:colOff>6711043</xdr:colOff>
                <xdr:row>5</xdr:row>
                <xdr:rowOff>4729843</xdr:rowOff>
              </to>
            </anchor>
          </objectPr>
        </oleObject>
      </mc:Choice>
      <mc:Fallback>
        <oleObject progId="Visio.Drawing.15" shapeId="21505" r:id="rId4"/>
      </mc:Fallback>
    </mc:AlternateContent>
    <mc:AlternateContent xmlns:mc="http://schemas.openxmlformats.org/markup-compatibility/2006">
      <mc:Choice Requires="x14">
        <oleObject progId="Visio.Drawing.15" shapeId="21506" r:id="rId6">
          <objectPr defaultSize="0" r:id="rId7">
            <anchor moveWithCells="1">
              <from>
                <xdr:col>3</xdr:col>
                <xdr:colOff>0</xdr:colOff>
                <xdr:row>5</xdr:row>
                <xdr:rowOff>0</xdr:rowOff>
              </from>
              <to>
                <xdr:col>3</xdr:col>
                <xdr:colOff>6711043</xdr:colOff>
                <xdr:row>5</xdr:row>
                <xdr:rowOff>4729843</xdr:rowOff>
              </to>
            </anchor>
          </objectPr>
        </oleObject>
      </mc:Choice>
      <mc:Fallback>
        <oleObject progId="Visio.Drawing.15" shapeId="21506" r:id="rId6"/>
      </mc:Fallback>
    </mc:AlternateContent>
    <mc:AlternateContent xmlns:mc="http://schemas.openxmlformats.org/markup-compatibility/2006">
      <mc:Choice Requires="x14">
        <oleObject progId="Visio.Drawing.15" shapeId="21507" r:id="rId8">
          <objectPr defaultSize="0" r:id="rId9">
            <anchor moveWithCells="1">
              <from>
                <xdr:col>1</xdr:col>
                <xdr:colOff>0</xdr:colOff>
                <xdr:row>5</xdr:row>
                <xdr:rowOff>0</xdr:rowOff>
              </from>
              <to>
                <xdr:col>1</xdr:col>
                <xdr:colOff>6711043</xdr:colOff>
                <xdr:row>5</xdr:row>
                <xdr:rowOff>4729843</xdr:rowOff>
              </to>
            </anchor>
          </objectPr>
        </oleObject>
      </mc:Choice>
      <mc:Fallback>
        <oleObject progId="Visio.Drawing.15" shapeId="21507" r:id="rId8"/>
      </mc:Fallback>
    </mc:AlternateContent>
    <mc:AlternateContent xmlns:mc="http://schemas.openxmlformats.org/markup-compatibility/2006">
      <mc:Choice Requires="x14">
        <oleObject progId="Visio.Drawing.15" shapeId="21508" r:id="rId10">
          <objectPr defaultSize="0" r:id="rId11">
            <anchor moveWithCells="1">
              <from>
                <xdr:col>1</xdr:col>
                <xdr:colOff>0</xdr:colOff>
                <xdr:row>3</xdr:row>
                <xdr:rowOff>0</xdr:rowOff>
              </from>
              <to>
                <xdr:col>1</xdr:col>
                <xdr:colOff>6471557</xdr:colOff>
                <xdr:row>3</xdr:row>
                <xdr:rowOff>4441371</xdr:rowOff>
              </to>
            </anchor>
          </objectPr>
        </oleObject>
      </mc:Choice>
      <mc:Fallback>
        <oleObject progId="Visio.Drawing.15" shapeId="21508" r:id="rId10"/>
      </mc:Fallback>
    </mc:AlternateContent>
    <mc:AlternateContent xmlns:mc="http://schemas.openxmlformats.org/markup-compatibility/2006">
      <mc:Choice Requires="x14">
        <oleObject progId="Visio.Drawing.15" shapeId="21509" r:id="rId12">
          <objectPr defaultSize="0" r:id="rId13">
            <anchor moveWithCells="1">
              <from>
                <xdr:col>3</xdr:col>
                <xdr:colOff>0</xdr:colOff>
                <xdr:row>3</xdr:row>
                <xdr:rowOff>0</xdr:rowOff>
              </from>
              <to>
                <xdr:col>3</xdr:col>
                <xdr:colOff>6471557</xdr:colOff>
                <xdr:row>3</xdr:row>
                <xdr:rowOff>4441371</xdr:rowOff>
              </to>
            </anchor>
          </objectPr>
        </oleObject>
      </mc:Choice>
      <mc:Fallback>
        <oleObject progId="Visio.Drawing.15" shapeId="21509" r:id="rId12"/>
      </mc:Fallback>
    </mc:AlternateContent>
    <mc:AlternateContent xmlns:mc="http://schemas.openxmlformats.org/markup-compatibility/2006">
      <mc:Choice Requires="x14">
        <oleObject progId="Visio.Drawing.15" shapeId="21510" r:id="rId14">
          <objectPr defaultSize="0" r:id="rId15">
            <anchor moveWithCells="1">
              <from>
                <xdr:col>5</xdr:col>
                <xdr:colOff>0</xdr:colOff>
                <xdr:row>3</xdr:row>
                <xdr:rowOff>0</xdr:rowOff>
              </from>
              <to>
                <xdr:col>5</xdr:col>
                <xdr:colOff>6471557</xdr:colOff>
                <xdr:row>3</xdr:row>
                <xdr:rowOff>4441371</xdr:rowOff>
              </to>
            </anchor>
          </objectPr>
        </oleObject>
      </mc:Choice>
      <mc:Fallback>
        <oleObject progId="Visio.Drawing.15" shapeId="21510" r:id="rId1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EDD9D-BD85-44F4-BFAD-FB85DFAB2BF5}">
  <dimension ref="A1:AM47"/>
  <sheetViews>
    <sheetView topLeftCell="A4" workbookViewId="0">
      <selection activeCell="B44" sqref="B44"/>
    </sheetView>
  </sheetViews>
  <sheetFormatPr defaultColWidth="9.07421875" defaultRowHeight="14.15" x14ac:dyDescent="0.35"/>
  <cols>
    <col min="1" max="1" width="25.69140625" style="264" bestFit="1" customWidth="1"/>
    <col min="2" max="2" width="56.53515625" style="265" customWidth="1"/>
    <col min="3" max="11" width="9.07421875" style="257"/>
    <col min="12" max="12" width="20.4609375" style="257" customWidth="1"/>
    <col min="13" max="16384" width="9.07421875" style="257"/>
  </cols>
  <sheetData>
    <row r="1" spans="1:12" x14ac:dyDescent="0.35">
      <c r="A1" s="279"/>
      <c r="B1" s="279"/>
      <c r="C1" s="279"/>
      <c r="D1" s="279"/>
      <c r="E1" s="279"/>
      <c r="F1" s="279"/>
      <c r="G1" s="279"/>
      <c r="H1" s="279"/>
      <c r="I1" s="279"/>
      <c r="J1" s="279"/>
      <c r="K1" s="279"/>
      <c r="L1" s="279"/>
    </row>
    <row r="2" spans="1:12" x14ac:dyDescent="0.35">
      <c r="A2" s="279"/>
      <c r="B2" s="279"/>
      <c r="C2" s="279"/>
      <c r="D2" s="279"/>
      <c r="E2" s="279"/>
      <c r="F2" s="279"/>
      <c r="G2" s="279"/>
      <c r="H2" s="279"/>
      <c r="I2" s="279"/>
      <c r="J2" s="279"/>
      <c r="K2" s="279"/>
      <c r="L2" s="279"/>
    </row>
    <row r="3" spans="1:12" x14ac:dyDescent="0.35">
      <c r="A3" s="279"/>
      <c r="B3" s="279"/>
      <c r="C3" s="279"/>
      <c r="D3" s="279"/>
      <c r="E3" s="279"/>
      <c r="F3" s="279"/>
      <c r="G3" s="279"/>
      <c r="H3" s="279"/>
      <c r="I3" s="279"/>
      <c r="J3" s="279"/>
      <c r="K3" s="279"/>
      <c r="L3" s="279"/>
    </row>
    <row r="4" spans="1:12" x14ac:dyDescent="0.35">
      <c r="A4" s="280"/>
      <c r="B4" s="280"/>
      <c r="C4" s="280"/>
      <c r="D4" s="280"/>
      <c r="E4" s="280"/>
      <c r="F4" s="280"/>
      <c r="G4" s="280"/>
      <c r="H4" s="280"/>
      <c r="I4" s="280"/>
      <c r="J4" s="280"/>
      <c r="K4" s="280"/>
      <c r="L4" s="280"/>
    </row>
    <row r="5" spans="1:12" x14ac:dyDescent="0.35">
      <c r="A5" s="258" t="s">
        <v>699</v>
      </c>
      <c r="B5" s="259" t="s">
        <v>705</v>
      </c>
      <c r="C5" s="260"/>
      <c r="D5" s="260"/>
      <c r="E5" s="260"/>
      <c r="F5" s="260"/>
      <c r="G5" s="260"/>
      <c r="H5" s="260"/>
      <c r="I5" s="260"/>
      <c r="J5" s="260"/>
      <c r="K5" s="261"/>
      <c r="L5" s="262"/>
    </row>
    <row r="6" spans="1:12" x14ac:dyDescent="0.35">
      <c r="A6" s="258"/>
      <c r="B6" s="263"/>
      <c r="C6" s="260"/>
      <c r="D6" s="260"/>
      <c r="E6" s="260"/>
      <c r="F6" s="260"/>
      <c r="G6" s="260"/>
      <c r="H6" s="260"/>
      <c r="I6" s="260"/>
      <c r="J6" s="262"/>
      <c r="K6" s="262"/>
      <c r="L6" s="262"/>
    </row>
    <row r="35" spans="1:39" x14ac:dyDescent="0.35">
      <c r="A35" s="266" t="s">
        <v>700</v>
      </c>
      <c r="B35" s="267"/>
      <c r="C35" s="260"/>
      <c r="D35" s="260"/>
      <c r="E35" s="260"/>
      <c r="F35" s="260"/>
      <c r="G35" s="260"/>
      <c r="H35" s="260"/>
      <c r="I35" s="260"/>
      <c r="J35" s="260"/>
      <c r="K35" s="260"/>
    </row>
    <row r="36" spans="1:39" x14ac:dyDescent="0.35">
      <c r="A36" s="268" t="s">
        <v>701</v>
      </c>
      <c r="B36" s="281" t="s">
        <v>702</v>
      </c>
      <c r="C36" s="281"/>
      <c r="D36" s="281"/>
      <c r="E36" s="281"/>
      <c r="F36" s="281"/>
      <c r="G36" s="281"/>
      <c r="H36" s="281"/>
      <c r="I36" s="281"/>
      <c r="J36" s="281"/>
      <c r="K36" s="281"/>
    </row>
    <row r="37" spans="1:39" x14ac:dyDescent="0.35">
      <c r="A37" s="266" t="s">
        <v>703</v>
      </c>
      <c r="B37" s="282" t="s">
        <v>704</v>
      </c>
      <c r="C37" s="282"/>
      <c r="D37" s="282"/>
      <c r="E37" s="282"/>
      <c r="F37" s="282"/>
      <c r="G37" s="282"/>
      <c r="H37" s="282"/>
      <c r="I37" s="282"/>
      <c r="J37" s="282"/>
      <c r="K37" s="282"/>
    </row>
    <row r="38" spans="1:39" ht="14.25" customHeight="1" x14ac:dyDescent="0.35">
      <c r="A38" s="269" t="s">
        <v>705</v>
      </c>
      <c r="B38" s="283" t="s">
        <v>709</v>
      </c>
      <c r="C38" s="283"/>
      <c r="D38" s="283"/>
      <c r="E38" s="283"/>
      <c r="F38" s="283"/>
      <c r="G38" s="283"/>
      <c r="H38" s="283"/>
      <c r="I38" s="283"/>
      <c r="J38" s="283"/>
      <c r="K38" s="283"/>
    </row>
    <row r="39" spans="1:39" ht="14.25" customHeight="1" x14ac:dyDescent="0.35">
      <c r="A39" s="269"/>
      <c r="B39" s="270"/>
      <c r="C39" s="270"/>
      <c r="D39" s="270"/>
      <c r="E39" s="270"/>
      <c r="F39" s="270"/>
      <c r="G39" s="270"/>
      <c r="H39" s="270"/>
      <c r="I39" s="270"/>
      <c r="J39" s="270"/>
      <c r="K39" s="270"/>
    </row>
    <row r="40" spans="1:39" ht="14.25" customHeight="1" x14ac:dyDescent="0.35">
      <c r="A40" s="269"/>
      <c r="B40" s="270"/>
      <c r="C40" s="270"/>
      <c r="D40" s="270"/>
      <c r="E40" s="270"/>
      <c r="F40" s="270"/>
      <c r="G40" s="270"/>
      <c r="H40" s="270"/>
      <c r="I40" s="270"/>
      <c r="J40" s="270"/>
      <c r="K40" s="270"/>
    </row>
    <row r="41" spans="1:39" ht="14.25" customHeight="1" x14ac:dyDescent="0.35">
      <c r="A41" s="269"/>
      <c r="B41" s="270"/>
      <c r="C41" s="270"/>
      <c r="D41" s="270"/>
      <c r="E41" s="270"/>
      <c r="F41" s="270"/>
      <c r="G41" s="270"/>
      <c r="H41" s="270"/>
      <c r="I41" s="270"/>
      <c r="J41" s="270"/>
      <c r="K41" s="270"/>
    </row>
    <row r="42" spans="1:39" x14ac:dyDescent="0.35">
      <c r="A42" s="269"/>
      <c r="B42" s="270"/>
      <c r="C42" s="270"/>
      <c r="D42" s="270"/>
      <c r="E42" s="270"/>
      <c r="F42" s="270"/>
      <c r="G42" s="270"/>
      <c r="H42" s="270"/>
      <c r="I42" s="270"/>
      <c r="J42" s="270"/>
      <c r="K42" s="270"/>
    </row>
    <row r="43" spans="1:39" x14ac:dyDescent="0.35">
      <c r="A43" s="269"/>
      <c r="B43" s="270"/>
      <c r="C43" s="270"/>
      <c r="D43" s="270"/>
      <c r="E43" s="270"/>
      <c r="F43" s="270"/>
      <c r="G43" s="270"/>
      <c r="H43" s="270"/>
      <c r="I43" s="270"/>
      <c r="J43" s="270"/>
      <c r="K43" s="270"/>
    </row>
    <row r="44" spans="1:39" x14ac:dyDescent="0.35">
      <c r="A44" s="269"/>
      <c r="B44" s="270"/>
      <c r="C44" s="270"/>
      <c r="D44" s="270"/>
      <c r="E44" s="270"/>
      <c r="F44" s="270"/>
      <c r="G44" s="270"/>
      <c r="H44" s="270"/>
      <c r="I44" s="270"/>
      <c r="J44" s="270"/>
      <c r="K44" s="270"/>
      <c r="L44" s="271"/>
      <c r="M44" s="271"/>
      <c r="N44" s="271"/>
      <c r="O44" s="271"/>
      <c r="P44" s="271"/>
      <c r="Q44" s="271"/>
      <c r="R44" s="271"/>
      <c r="S44" s="271"/>
      <c r="T44" s="271"/>
      <c r="U44" s="271"/>
      <c r="V44" s="271"/>
      <c r="W44" s="271"/>
      <c r="X44" s="271"/>
      <c r="Y44" s="271"/>
      <c r="Z44" s="271"/>
      <c r="AA44" s="271"/>
      <c r="AB44" s="271"/>
      <c r="AC44" s="271"/>
      <c r="AD44" s="271"/>
      <c r="AE44" s="271"/>
      <c r="AF44" s="271"/>
      <c r="AG44" s="271"/>
      <c r="AH44" s="271"/>
      <c r="AI44" s="271"/>
      <c r="AJ44" s="271"/>
      <c r="AK44" s="271"/>
      <c r="AL44" s="271"/>
      <c r="AM44" s="271"/>
    </row>
    <row r="45" spans="1:39" x14ac:dyDescent="0.35">
      <c r="A45" s="269"/>
      <c r="B45" s="270"/>
      <c r="C45" s="270"/>
      <c r="D45" s="270"/>
      <c r="E45" s="270"/>
      <c r="F45" s="270"/>
      <c r="G45" s="270"/>
      <c r="H45" s="270"/>
      <c r="I45" s="270"/>
      <c r="J45" s="270"/>
      <c r="K45" s="270"/>
    </row>
    <row r="46" spans="1:39" x14ac:dyDescent="0.35">
      <c r="A46" s="269"/>
      <c r="B46" s="270"/>
      <c r="C46" s="270"/>
      <c r="D46" s="270"/>
      <c r="E46" s="270"/>
      <c r="F46" s="270"/>
      <c r="G46" s="270"/>
      <c r="H46" s="270"/>
      <c r="I46" s="270"/>
      <c r="J46" s="270"/>
      <c r="K46" s="270"/>
    </row>
    <row r="47" spans="1:39" x14ac:dyDescent="0.35">
      <c r="A47" s="269"/>
      <c r="B47" s="270"/>
    </row>
  </sheetData>
  <sheetProtection algorithmName="SHA-512" hashValue="pGdbCThgpWqej0wxCecYapFZLhpYHKMNt9TBkC2sDwQs4AW+aZI2TC6/wMVKyNUhv4RRKKIytOzpWvvQrpNJ+A==" saltValue="mgQPQddrEI3kdVcxrY0Lqg==" spinCount="100000" sheet="1" objects="1" scenarios="1" selectLockedCells="1" selectUnlockedCells="1"/>
  <mergeCells count="5">
    <mergeCell ref="A1:L3"/>
    <mergeCell ref="A4:L4"/>
    <mergeCell ref="B36:K36"/>
    <mergeCell ref="B37:K37"/>
    <mergeCell ref="B38:K3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91"/>
  <sheetViews>
    <sheetView zoomScale="85" zoomScaleNormal="85" workbookViewId="0">
      <pane ySplit="5" topLeftCell="A135" activePane="bottomLeft" state="frozen"/>
      <selection pane="bottomLeft" activeCell="B175" sqref="B175"/>
    </sheetView>
  </sheetViews>
  <sheetFormatPr defaultRowHeight="14.6" x14ac:dyDescent="0.4"/>
  <cols>
    <col min="1" max="1" width="28.84375" customWidth="1"/>
    <col min="2" max="2" width="19.53515625" customWidth="1"/>
    <col min="3" max="3" width="10.84375" customWidth="1"/>
    <col min="4" max="4" width="10" bestFit="1" customWidth="1"/>
    <col min="5" max="5" width="18.69140625" customWidth="1"/>
    <col min="6" max="6" width="14.69140625" customWidth="1"/>
    <col min="7" max="7" width="15.07421875" customWidth="1"/>
    <col min="8" max="8" width="12.53515625" customWidth="1"/>
    <col min="9" max="9" width="12.53515625" style="4" customWidth="1"/>
    <col min="12" max="12" width="10.3046875" bestFit="1" customWidth="1"/>
  </cols>
  <sheetData>
    <row r="1" spans="1:17" ht="27.45" x14ac:dyDescent="0.65">
      <c r="A1" s="284" t="s">
        <v>16</v>
      </c>
      <c r="B1" s="284"/>
      <c r="C1" s="284"/>
      <c r="D1" s="284"/>
      <c r="E1" s="284"/>
      <c r="F1" s="284"/>
      <c r="G1" s="284"/>
      <c r="H1" s="284"/>
      <c r="I1" s="284"/>
      <c r="J1" s="284"/>
    </row>
    <row r="2" spans="1:17" x14ac:dyDescent="0.4">
      <c r="A2" s="6"/>
      <c r="B2" s="6" t="s">
        <v>17</v>
      </c>
      <c r="C2" s="7"/>
      <c r="D2" s="5"/>
      <c r="E2" s="6"/>
      <c r="F2" s="6"/>
      <c r="G2" s="6"/>
      <c r="H2" s="6"/>
      <c r="I2" s="11"/>
      <c r="J2" s="6"/>
    </row>
    <row r="3" spans="1:17" x14ac:dyDescent="0.4">
      <c r="A3" s="6"/>
      <c r="B3" s="6" t="s">
        <v>18</v>
      </c>
      <c r="C3" s="181"/>
      <c r="D3" s="5"/>
      <c r="E3" s="6"/>
      <c r="F3" s="23" t="s">
        <v>657</v>
      </c>
      <c r="G3" s="24" t="s">
        <v>56</v>
      </c>
      <c r="H3" s="38" t="s">
        <v>59</v>
      </c>
      <c r="I3" s="11"/>
      <c r="J3" s="6"/>
    </row>
    <row r="4" spans="1:17" x14ac:dyDescent="0.4">
      <c r="A4" s="6"/>
      <c r="B4" s="6" t="s">
        <v>19</v>
      </c>
      <c r="C4" s="8"/>
      <c r="D4" s="5"/>
      <c r="E4" s="6"/>
      <c r="F4" s="23" t="s">
        <v>655</v>
      </c>
      <c r="G4" s="6" t="s">
        <v>656</v>
      </c>
      <c r="H4" s="6"/>
      <c r="I4" s="11"/>
      <c r="J4" s="6"/>
      <c r="O4" t="s">
        <v>654</v>
      </c>
    </row>
    <row r="5" spans="1:17" x14ac:dyDescent="0.4">
      <c r="A5" s="10" t="s">
        <v>20</v>
      </c>
      <c r="B5" s="10" t="s">
        <v>21</v>
      </c>
      <c r="C5" s="10" t="s">
        <v>22</v>
      </c>
      <c r="D5" s="9"/>
      <c r="E5" s="285" t="s">
        <v>23</v>
      </c>
      <c r="F5" s="285"/>
      <c r="G5" s="285"/>
      <c r="H5" s="285"/>
      <c r="I5" s="19"/>
      <c r="J5" s="25" t="s">
        <v>24</v>
      </c>
      <c r="K5" s="10" t="s">
        <v>63</v>
      </c>
      <c r="L5" s="9"/>
      <c r="M5" s="9"/>
      <c r="N5" s="9"/>
      <c r="O5" s="9">
        <v>20200226</v>
      </c>
      <c r="P5" s="9"/>
      <c r="Q5" s="9"/>
    </row>
    <row r="6" spans="1:17" ht="15.45" x14ac:dyDescent="0.4">
      <c r="A6" s="18" t="s">
        <v>25</v>
      </c>
      <c r="B6" s="15"/>
      <c r="C6" s="15"/>
      <c r="D6" s="15"/>
      <c r="E6" s="16"/>
      <c r="F6" s="16"/>
      <c r="G6" s="16"/>
      <c r="H6" s="16"/>
      <c r="I6" s="16"/>
      <c r="J6" s="15"/>
      <c r="K6" s="9"/>
      <c r="L6" s="9"/>
      <c r="M6" s="9"/>
      <c r="N6" s="9"/>
      <c r="O6" s="9"/>
      <c r="P6" s="9"/>
      <c r="Q6" s="9"/>
    </row>
    <row r="7" spans="1:17" x14ac:dyDescent="0.4">
      <c r="A7" t="s">
        <v>26</v>
      </c>
      <c r="B7" s="3">
        <f>'Design Converter'!H7</f>
        <v>14</v>
      </c>
      <c r="C7" t="s">
        <v>11</v>
      </c>
      <c r="E7" t="s">
        <v>29</v>
      </c>
    </row>
    <row r="8" spans="1:17" x14ac:dyDescent="0.4">
      <c r="A8" t="s">
        <v>27</v>
      </c>
      <c r="B8" s="3">
        <f>'Design Converter'!H8</f>
        <v>15</v>
      </c>
      <c r="C8" t="s">
        <v>11</v>
      </c>
      <c r="E8" t="s">
        <v>30</v>
      </c>
      <c r="K8">
        <f>IF(VIN_min&lt;VIN_min,1,IF(VIN_nom&gt;VIN_max,1,0))</f>
        <v>0</v>
      </c>
    </row>
    <row r="9" spans="1:17" x14ac:dyDescent="0.4">
      <c r="A9" t="s">
        <v>28</v>
      </c>
      <c r="B9" s="3">
        <f>'Design Converter'!H9</f>
        <v>16.8</v>
      </c>
      <c r="C9" t="s">
        <v>11</v>
      </c>
      <c r="E9" t="s">
        <v>31</v>
      </c>
    </row>
    <row r="10" spans="1:17" s="4" customFormat="1" x14ac:dyDescent="0.4">
      <c r="A10" s="4" t="s">
        <v>60</v>
      </c>
      <c r="B10" s="3">
        <f>'Design Converter'!H14*1000</f>
        <v>100000</v>
      </c>
      <c r="C10" s="4" t="s">
        <v>61</v>
      </c>
      <c r="E10" s="4" t="s">
        <v>62</v>
      </c>
    </row>
    <row r="11" spans="1:17" s="4" customFormat="1" x14ac:dyDescent="0.4">
      <c r="A11" s="4" t="s">
        <v>65</v>
      </c>
      <c r="B11" s="29">
        <f>((2.21*10^10)/Fsw)-955</f>
        <v>220045</v>
      </c>
      <c r="C11" s="2" t="s">
        <v>35</v>
      </c>
      <c r="E11" s="4" t="s">
        <v>66</v>
      </c>
    </row>
    <row r="13" spans="1:17" s="31" customFormat="1" x14ac:dyDescent="0.4">
      <c r="A13" s="31" t="s">
        <v>634</v>
      </c>
      <c r="B13" s="31">
        <v>1</v>
      </c>
    </row>
    <row r="14" spans="1:17" s="31" customFormat="1" x14ac:dyDescent="0.4"/>
    <row r="15" spans="1:17" x14ac:dyDescent="0.4">
      <c r="A15" t="s">
        <v>419</v>
      </c>
      <c r="B15" s="3">
        <f>ABS('Design Converter'!N7)</f>
        <v>1500</v>
      </c>
      <c r="C15" t="s">
        <v>11</v>
      </c>
      <c r="E15" t="s">
        <v>437</v>
      </c>
    </row>
    <row r="16" spans="1:17" x14ac:dyDescent="0.4">
      <c r="A16" t="s">
        <v>420</v>
      </c>
      <c r="B16" s="3">
        <f>ABS('Design Converter'!N8)</f>
        <v>0.05</v>
      </c>
      <c r="C16" t="s">
        <v>12</v>
      </c>
      <c r="E16" t="s">
        <v>34</v>
      </c>
    </row>
    <row r="17" spans="1:5" x14ac:dyDescent="0.4">
      <c r="A17" t="s">
        <v>421</v>
      </c>
      <c r="B17" s="1">
        <f>VOUT1/IOUT1</f>
        <v>30000</v>
      </c>
      <c r="C17" s="2" t="s">
        <v>35</v>
      </c>
      <c r="E17" t="s">
        <v>39</v>
      </c>
    </row>
    <row r="18" spans="1:5" x14ac:dyDescent="0.4">
      <c r="A18" t="s">
        <v>422</v>
      </c>
      <c r="B18" s="1">
        <f>VOUT1*IOUT1</f>
        <v>75</v>
      </c>
      <c r="C18" s="2" t="s">
        <v>36</v>
      </c>
      <c r="E18" t="s">
        <v>38</v>
      </c>
    </row>
    <row r="19" spans="1:5" x14ac:dyDescent="0.4">
      <c r="A19" t="s">
        <v>620</v>
      </c>
      <c r="B19" s="3">
        <f>'Design Converter'!H102/1000</f>
        <v>1.1499999999999999</v>
      </c>
      <c r="C19" s="2" t="s">
        <v>11</v>
      </c>
    </row>
    <row r="20" spans="1:5" s="31" customFormat="1" x14ac:dyDescent="0.4">
      <c r="A20" s="31" t="s">
        <v>621</v>
      </c>
      <c r="B20" s="3">
        <f>'Design Converter'!H103/(10^9)</f>
        <v>0</v>
      </c>
      <c r="C20" s="2" t="s">
        <v>352</v>
      </c>
    </row>
    <row r="21" spans="1:5" s="31" customFormat="1" x14ac:dyDescent="0.4"/>
    <row r="22" spans="1:5" s="31" customFormat="1" x14ac:dyDescent="0.4">
      <c r="B22" s="31" t="b">
        <v>0</v>
      </c>
    </row>
    <row r="23" spans="1:5" s="31" customFormat="1" x14ac:dyDescent="0.4">
      <c r="A23" s="31" t="s">
        <v>434</v>
      </c>
      <c r="B23" s="31">
        <f>CHOOSE(B13,0,1,1)</f>
        <v>0</v>
      </c>
      <c r="E23" s="31" t="s">
        <v>435</v>
      </c>
    </row>
    <row r="24" spans="1:5" s="31" customFormat="1" x14ac:dyDescent="0.4">
      <c r="A24" s="31" t="s">
        <v>423</v>
      </c>
      <c r="B24" s="3">
        <f>IF($B$23=1,ABS('Design Converter'!N14),0)</f>
        <v>0</v>
      </c>
      <c r="C24" s="31" t="s">
        <v>11</v>
      </c>
      <c r="E24" s="31" t="s">
        <v>459</v>
      </c>
    </row>
    <row r="25" spans="1:5" s="31" customFormat="1" x14ac:dyDescent="0.4">
      <c r="A25" s="31" t="s">
        <v>424</v>
      </c>
      <c r="B25" s="3">
        <f>IF($B$23=1,ABS('Design Converter'!N15),0)</f>
        <v>0</v>
      </c>
      <c r="C25" s="31" t="s">
        <v>12</v>
      </c>
      <c r="E25" s="31" t="s">
        <v>34</v>
      </c>
    </row>
    <row r="26" spans="1:5" s="31" customFormat="1" x14ac:dyDescent="0.4">
      <c r="A26" s="31" t="s">
        <v>425</v>
      </c>
      <c r="B26" s="1">
        <f>IF($B$23=1,VOUT2/IOUT2,0)</f>
        <v>0</v>
      </c>
      <c r="C26" s="2" t="s">
        <v>35</v>
      </c>
      <c r="E26" s="31" t="s">
        <v>39</v>
      </c>
    </row>
    <row r="27" spans="1:5" s="31" customFormat="1" x14ac:dyDescent="0.4">
      <c r="A27" s="31" t="s">
        <v>426</v>
      </c>
      <c r="B27" s="1">
        <f>VOUT2*IOUT2</f>
        <v>0</v>
      </c>
      <c r="C27" s="2" t="s">
        <v>36</v>
      </c>
      <c r="E27" s="31" t="s">
        <v>38</v>
      </c>
    </row>
    <row r="28" spans="1:5" s="31" customFormat="1" x14ac:dyDescent="0.4">
      <c r="A28" s="31" t="s">
        <v>624</v>
      </c>
      <c r="B28" s="20">
        <f>IF($B$23=1,ABS('Design Converter'!H106/1000),0)</f>
        <v>0</v>
      </c>
      <c r="C28" s="2" t="s">
        <v>11</v>
      </c>
    </row>
    <row r="29" spans="1:5" s="31" customFormat="1" x14ac:dyDescent="0.4">
      <c r="A29" s="31" t="s">
        <v>625</v>
      </c>
      <c r="B29" s="200">
        <f>IF($B$23=1,ABS('Design Converter'!H107*10^-9),0)</f>
        <v>0</v>
      </c>
      <c r="C29" s="31" t="s">
        <v>352</v>
      </c>
    </row>
    <row r="30" spans="1:5" s="31" customFormat="1" x14ac:dyDescent="0.4">
      <c r="B30" s="174"/>
    </row>
    <row r="31" spans="1:5" s="31" customFormat="1" x14ac:dyDescent="0.4">
      <c r="B31" s="174" t="b">
        <v>1</v>
      </c>
    </row>
    <row r="32" spans="1:5" s="31" customFormat="1" x14ac:dyDescent="0.4">
      <c r="A32" s="31" t="s">
        <v>433</v>
      </c>
      <c r="B32" s="176">
        <f>CHOOSE(B13,0,0,1)</f>
        <v>0</v>
      </c>
      <c r="E32" s="31" t="s">
        <v>436</v>
      </c>
    </row>
    <row r="33" spans="1:5" s="31" customFormat="1" x14ac:dyDescent="0.4">
      <c r="A33" s="31" t="s">
        <v>427</v>
      </c>
      <c r="B33" s="3">
        <f>IF($B$32=1,ABS('Design Converter'!N22),0)</f>
        <v>0</v>
      </c>
      <c r="C33" s="31" t="s">
        <v>11</v>
      </c>
      <c r="E33" s="31" t="s">
        <v>460</v>
      </c>
    </row>
    <row r="34" spans="1:5" s="31" customFormat="1" x14ac:dyDescent="0.4">
      <c r="A34" s="31" t="s">
        <v>428</v>
      </c>
      <c r="B34" s="3">
        <f>IF($B$32=1,ABS('Design Converter'!N23),0)</f>
        <v>0</v>
      </c>
      <c r="C34" s="31" t="s">
        <v>12</v>
      </c>
      <c r="E34" s="31" t="s">
        <v>34</v>
      </c>
    </row>
    <row r="35" spans="1:5" s="31" customFormat="1" x14ac:dyDescent="0.4">
      <c r="A35" s="31" t="s">
        <v>429</v>
      </c>
      <c r="B35" s="1">
        <f>IF(B32=1,VOUT3/IOUT3,0)</f>
        <v>0</v>
      </c>
      <c r="C35" s="2" t="s">
        <v>35</v>
      </c>
      <c r="E35" s="31" t="s">
        <v>39</v>
      </c>
    </row>
    <row r="36" spans="1:5" s="31" customFormat="1" x14ac:dyDescent="0.4">
      <c r="A36" s="31" t="s">
        <v>430</v>
      </c>
      <c r="B36" s="1">
        <f>VOUT3*IOUT3</f>
        <v>0</v>
      </c>
      <c r="C36" s="2" t="s">
        <v>36</v>
      </c>
      <c r="E36" s="31" t="s">
        <v>38</v>
      </c>
    </row>
    <row r="37" spans="1:5" s="31" customFormat="1" x14ac:dyDescent="0.4">
      <c r="A37" s="31" t="s">
        <v>622</v>
      </c>
      <c r="B37" s="3">
        <f>IF($B$32=1,ABS('Design Converter'!H110/1000),0)</f>
        <v>0</v>
      </c>
      <c r="C37" s="2" t="s">
        <v>11</v>
      </c>
    </row>
    <row r="38" spans="1:5" s="31" customFormat="1" x14ac:dyDescent="0.4">
      <c r="A38" s="31" t="s">
        <v>623</v>
      </c>
      <c r="B38" s="211">
        <f>IF($B$32=1,ABS('Design Converter'!H111*10^-9),0)</f>
        <v>0</v>
      </c>
      <c r="C38" s="2" t="s">
        <v>352</v>
      </c>
    </row>
    <row r="39" spans="1:5" s="31" customFormat="1" x14ac:dyDescent="0.4">
      <c r="B39" s="174"/>
    </row>
    <row r="40" spans="1:5" s="31" customFormat="1" x14ac:dyDescent="0.4">
      <c r="A40" s="31" t="s">
        <v>431</v>
      </c>
      <c r="B40" s="174">
        <f>SUM(POUT1,POUT2,POUT3)</f>
        <v>75</v>
      </c>
    </row>
    <row r="41" spans="1:5" s="31" customFormat="1" x14ac:dyDescent="0.4">
      <c r="A41" t="s">
        <v>37</v>
      </c>
      <c r="B41" s="178">
        <v>1</v>
      </c>
      <c r="E41" s="31" t="s">
        <v>476</v>
      </c>
    </row>
    <row r="42" spans="1:5" s="31" customFormat="1" x14ac:dyDescent="0.4">
      <c r="B42" s="174"/>
    </row>
    <row r="43" spans="1:5" s="31" customFormat="1" x14ac:dyDescent="0.4">
      <c r="A43" s="31" t="s">
        <v>683</v>
      </c>
      <c r="B43" s="174"/>
      <c r="E43" s="31" t="s">
        <v>684</v>
      </c>
    </row>
    <row r="44" spans="1:5" s="31" customFormat="1" x14ac:dyDescent="0.4">
      <c r="A44" s="31" t="s">
        <v>685</v>
      </c>
      <c r="B44" s="174"/>
      <c r="E44" s="31" t="s">
        <v>687</v>
      </c>
    </row>
    <row r="45" spans="1:5" s="31" customFormat="1" x14ac:dyDescent="0.4">
      <c r="A45" s="31" t="s">
        <v>686</v>
      </c>
      <c r="B45" s="174"/>
      <c r="E45" s="31" t="s">
        <v>688</v>
      </c>
    </row>
    <row r="46" spans="1:5" s="31" customFormat="1" x14ac:dyDescent="0.4">
      <c r="B46" s="174"/>
    </row>
    <row r="47" spans="1:5" s="31" customFormat="1" x14ac:dyDescent="0.4">
      <c r="B47" s="174"/>
    </row>
    <row r="48" spans="1:5" s="31" customFormat="1" x14ac:dyDescent="0.4">
      <c r="B48" s="174"/>
    </row>
    <row r="49" spans="1:5" s="31" customFormat="1" ht="15.45" x14ac:dyDescent="0.4">
      <c r="A49" s="18" t="s">
        <v>442</v>
      </c>
      <c r="B49" s="174"/>
    </row>
    <row r="50" spans="1:5" s="31" customFormat="1" x14ac:dyDescent="0.4">
      <c r="B50" s="174"/>
    </row>
    <row r="51" spans="1:5" s="31" customFormat="1" x14ac:dyDescent="0.4">
      <c r="A51" s="31" t="s">
        <v>441</v>
      </c>
      <c r="B51" s="178">
        <v>1</v>
      </c>
      <c r="E51" s="31" t="s">
        <v>443</v>
      </c>
    </row>
    <row r="52" spans="1:5" s="31" customFormat="1" x14ac:dyDescent="0.4">
      <c r="A52" s="31" t="s">
        <v>449</v>
      </c>
      <c r="B52" s="20">
        <f>'Design Converter'!H17/100</f>
        <v>0.93</v>
      </c>
      <c r="E52" s="31" t="s">
        <v>444</v>
      </c>
    </row>
    <row r="53" spans="1:5" s="31" customFormat="1" x14ac:dyDescent="0.4">
      <c r="A53" s="31" t="s">
        <v>456</v>
      </c>
      <c r="B53" s="28">
        <f>((VOUT1+VD)*(1-Dmax_limit)*Np)/(Dmax_limit*VIN_min)</f>
        <v>8.0645161290322509</v>
      </c>
      <c r="C53" s="31" t="s">
        <v>458</v>
      </c>
      <c r="E53" s="31" t="s">
        <v>450</v>
      </c>
    </row>
    <row r="54" spans="1:5" s="31" customFormat="1" x14ac:dyDescent="0.4">
      <c r="A54" s="31" t="s">
        <v>457</v>
      </c>
      <c r="B54" s="20">
        <f>'Design Converter'!N10</f>
        <v>8</v>
      </c>
      <c r="C54" s="31" t="s">
        <v>458</v>
      </c>
      <c r="E54" s="31" t="s">
        <v>451</v>
      </c>
    </row>
    <row r="55" spans="1:5" s="31" customFormat="1" x14ac:dyDescent="0.4">
      <c r="A55" s="31" t="s">
        <v>604</v>
      </c>
      <c r="B55" s="28">
        <f>'Design Converter'!N11/1000</f>
        <v>27</v>
      </c>
      <c r="C55" s="2" t="s">
        <v>35</v>
      </c>
      <c r="E55" s="31" t="s">
        <v>605</v>
      </c>
    </row>
    <row r="56" spans="1:5" s="31" customFormat="1" x14ac:dyDescent="0.4">
      <c r="B56" s="174"/>
      <c r="C56" s="2"/>
    </row>
    <row r="57" spans="1:5" s="31" customFormat="1" ht="15" customHeight="1" x14ac:dyDescent="0.4">
      <c r="A57" s="31" t="s">
        <v>471</v>
      </c>
      <c r="B57" s="27">
        <f>((Np/NS1_)*(VOUT1+VD))/((VIN_min+(Np/NS1_)*(VOUT1+VD)))</f>
        <v>0.9305210918114144</v>
      </c>
      <c r="E57" s="31" t="s">
        <v>473</v>
      </c>
    </row>
    <row r="58" spans="1:5" s="31" customFormat="1" ht="15" customHeight="1" x14ac:dyDescent="0.4">
      <c r="B58" s="39">
        <f>((Np/NS1_)*(VOUT1+VD))/((VIN_nom+(Np/NS1_)*(VOUT1+VD)))</f>
        <v>0.92592592592592593</v>
      </c>
      <c r="E58" s="31" t="s">
        <v>474</v>
      </c>
    </row>
    <row r="59" spans="1:5" s="31" customFormat="1" ht="15" customHeight="1" x14ac:dyDescent="0.4">
      <c r="B59" s="28">
        <f>((Np/NS1_)*(VOUT1+VD))/((VIN_max+(Np/NS1_)*(VOUT1+VD)))</f>
        <v>0.91776798825256967</v>
      </c>
      <c r="E59" s="31" t="s">
        <v>475</v>
      </c>
    </row>
    <row r="60" spans="1:5" s="31" customFormat="1" ht="15" customHeight="1" x14ac:dyDescent="0.4">
      <c r="A60" s="31" t="s">
        <v>477</v>
      </c>
      <c r="B60" s="28">
        <f>(Np/NS1_)*VOUT1+VD</f>
        <v>187.5</v>
      </c>
      <c r="E60" s="31" t="s">
        <v>663</v>
      </c>
    </row>
    <row r="61" spans="1:5" s="31" customFormat="1" ht="15" customHeight="1" x14ac:dyDescent="0.4">
      <c r="B61" s="174"/>
    </row>
    <row r="62" spans="1:5" s="31" customFormat="1" ht="15" customHeight="1" x14ac:dyDescent="0.4">
      <c r="B62" s="174"/>
    </row>
    <row r="63" spans="1:5" s="31" customFormat="1" ht="15" customHeight="1" x14ac:dyDescent="0.4">
      <c r="A63" s="31" t="s">
        <v>452</v>
      </c>
      <c r="B63" s="28">
        <f>IF(EN_OUT_2=1,(NS1_*((VOUT2+VD)/(VOUT1+VD))),0)</f>
        <v>0</v>
      </c>
      <c r="C63" s="31" t="s">
        <v>458</v>
      </c>
      <c r="E63" s="31" t="s">
        <v>454</v>
      </c>
    </row>
    <row r="64" spans="1:5" s="31" customFormat="1" ht="15" customHeight="1" x14ac:dyDescent="0.4">
      <c r="A64" s="31" t="s">
        <v>453</v>
      </c>
      <c r="B64" s="20">
        <f>IF(EN_OUT_2=1,'Design Converter'!N17,0)</f>
        <v>0</v>
      </c>
      <c r="C64" s="31" t="s">
        <v>458</v>
      </c>
      <c r="E64" s="31" t="s">
        <v>455</v>
      </c>
    </row>
    <row r="65" spans="1:5" s="31" customFormat="1" ht="15" customHeight="1" x14ac:dyDescent="0.4">
      <c r="A65" s="31" t="s">
        <v>468</v>
      </c>
      <c r="B65" s="28">
        <f>IF(EN_OUT_2=1,((NS2_*VD)-(NS1_*VD)+(NS2_*VOUT1))/NS1_,0)</f>
        <v>0</v>
      </c>
      <c r="C65" s="31" t="s">
        <v>11</v>
      </c>
      <c r="E65" s="31" t="s">
        <v>469</v>
      </c>
    </row>
    <row r="66" spans="1:5" s="31" customFormat="1" ht="15" customHeight="1" x14ac:dyDescent="0.4">
      <c r="A66" s="31" t="s">
        <v>606</v>
      </c>
      <c r="B66" s="28">
        <f>IF(EN_OUT_2=1,'Design Converter'!N18/1000,0)</f>
        <v>0</v>
      </c>
    </row>
    <row r="67" spans="1:5" s="31" customFormat="1" ht="15" customHeight="1" x14ac:dyDescent="0.4"/>
    <row r="68" spans="1:5" s="31" customFormat="1" ht="15" customHeight="1" x14ac:dyDescent="0.4">
      <c r="A68" s="31" t="s">
        <v>463</v>
      </c>
      <c r="B68" s="28">
        <f>IF(EN_OUT_3=1,(NS1_*((VOUT3+VD)/(VOUT1+VD))),0)</f>
        <v>0</v>
      </c>
      <c r="C68" s="31" t="s">
        <v>458</v>
      </c>
      <c r="E68" s="31" t="s">
        <v>465</v>
      </c>
    </row>
    <row r="69" spans="1:5" s="31" customFormat="1" ht="15" customHeight="1" x14ac:dyDescent="0.4">
      <c r="A69" s="31" t="s">
        <v>464</v>
      </c>
      <c r="B69" s="20">
        <f>'Design Converter'!N25</f>
        <v>0.42</v>
      </c>
      <c r="C69" s="31" t="s">
        <v>458</v>
      </c>
      <c r="E69" s="31" t="s">
        <v>466</v>
      </c>
    </row>
    <row r="70" spans="1:5" s="31" customFormat="1" ht="15" customHeight="1" x14ac:dyDescent="0.4">
      <c r="A70" s="31" t="s">
        <v>470</v>
      </c>
      <c r="B70" s="28">
        <f>IF(EN_OUT_3=1,((NS3_*VD)-(NS1_*VD)+(NS3_*VOUT1))/NS1_,0)</f>
        <v>0</v>
      </c>
      <c r="C70" s="31" t="s">
        <v>11</v>
      </c>
      <c r="E70" s="31" t="s">
        <v>469</v>
      </c>
    </row>
    <row r="71" spans="1:5" s="31" customFormat="1" ht="15" customHeight="1" x14ac:dyDescent="0.4">
      <c r="A71" s="31" t="s">
        <v>607</v>
      </c>
      <c r="B71" s="28">
        <f>IF(EN_OUT_3=1,'Design Converter'!N26/1000,0)</f>
        <v>0</v>
      </c>
    </row>
    <row r="72" spans="1:5" s="31" customFormat="1" ht="15" customHeight="1" x14ac:dyDescent="0.4"/>
    <row r="74" spans="1:5" x14ac:dyDescent="0.4">
      <c r="A74" t="s">
        <v>76</v>
      </c>
      <c r="B74" s="3">
        <f>'Design Converter'!H22/100</f>
        <v>0.7</v>
      </c>
      <c r="E74" t="s">
        <v>92</v>
      </c>
    </row>
    <row r="75" spans="1:5" x14ac:dyDescent="0.4">
      <c r="A75" t="s">
        <v>74</v>
      </c>
      <c r="B75" s="37">
        <f>((Np^2)*(VIN_max^2)*((VOUT1+VD)^2))/(ILrip*POUT_Total*Fsw*((Np*VD)+(NS1_*VIN_max)+(Np*VOUT1))^2)</f>
        <v>4.5281944794840442E-5</v>
      </c>
      <c r="C75" t="s">
        <v>75</v>
      </c>
      <c r="E75" t="s">
        <v>478</v>
      </c>
    </row>
    <row r="76" spans="1:5" x14ac:dyDescent="0.4">
      <c r="A76" t="s">
        <v>77</v>
      </c>
      <c r="B76" s="33">
        <f>'Design Converter'!H24*10^-6</f>
        <v>4.4999999999999996E-5</v>
      </c>
      <c r="C76" t="s">
        <v>75</v>
      </c>
      <c r="E76" t="s">
        <v>78</v>
      </c>
    </row>
    <row r="77" spans="1:5" x14ac:dyDescent="0.4">
      <c r="A77" t="s">
        <v>80</v>
      </c>
      <c r="B77" s="3">
        <f>'Design Converter'!H25*(10^-3)</f>
        <v>1.1500000000000001</v>
      </c>
      <c r="C77" s="2" t="s">
        <v>35</v>
      </c>
      <c r="E77" t="s">
        <v>102</v>
      </c>
    </row>
    <row r="78" spans="1:5" s="31" customFormat="1" x14ac:dyDescent="0.4">
      <c r="A78" s="31" t="s">
        <v>103</v>
      </c>
      <c r="B78" s="21">
        <v>0.2</v>
      </c>
      <c r="C78" s="2"/>
      <c r="E78" s="31" t="s">
        <v>104</v>
      </c>
    </row>
    <row r="79" spans="1:5" x14ac:dyDescent="0.4">
      <c r="B79" t="s">
        <v>82</v>
      </c>
    </row>
    <row r="80" spans="1:5" s="31" customFormat="1" x14ac:dyDescent="0.4">
      <c r="A80" s="31" t="s">
        <v>479</v>
      </c>
      <c r="B80" s="27">
        <f>POUT_Total/(VIN_min*EFF_est*Dc_VIN_min)</f>
        <v>5.7571428571428571</v>
      </c>
      <c r="C80" s="31" t="s">
        <v>12</v>
      </c>
    </row>
    <row r="81" spans="1:5" s="31" customFormat="1" x14ac:dyDescent="0.4">
      <c r="A81" s="31" t="s">
        <v>85</v>
      </c>
      <c r="B81" s="27">
        <f>(VIN_min*Dc_VIN_min)/(Lm*Fsw)</f>
        <v>2.8949545078577339</v>
      </c>
      <c r="C81" s="31" t="s">
        <v>12</v>
      </c>
      <c r="E81" s="31" t="s">
        <v>86</v>
      </c>
    </row>
    <row r="82" spans="1:5" x14ac:dyDescent="0.4">
      <c r="A82" t="s">
        <v>83</v>
      </c>
      <c r="B82" s="27">
        <f>(IL_avg_VIN_min/EFF_est)+(ILrip_VINmin/2)</f>
        <v>7.2046201110717245</v>
      </c>
      <c r="C82" t="s">
        <v>12</v>
      </c>
      <c r="E82" t="s">
        <v>84</v>
      </c>
    </row>
    <row r="84" spans="1:5" s="31" customFormat="1" x14ac:dyDescent="0.4">
      <c r="A84" s="31" t="s">
        <v>479</v>
      </c>
      <c r="B84" s="27">
        <f>POUT_Total/(VIN_nom*EFF_est*Dc_VIN_nom)</f>
        <v>5.3999999999999995</v>
      </c>
    </row>
    <row r="85" spans="1:5" x14ac:dyDescent="0.4">
      <c r="A85" s="31" t="s">
        <v>87</v>
      </c>
      <c r="B85" s="27">
        <f>(VIN_nom*Dc_VIN_nom)/(Lm*Fsw)</f>
        <v>3.0864197530864197</v>
      </c>
      <c r="C85" s="31" t="s">
        <v>12</v>
      </c>
      <c r="E85" s="31" t="s">
        <v>93</v>
      </c>
    </row>
    <row r="86" spans="1:5" x14ac:dyDescent="0.4">
      <c r="A86" s="31" t="s">
        <v>88</v>
      </c>
      <c r="B86" s="27">
        <f>(IL_avg_VIN_nom/EFF_est)+(ILrip_VINnom/2)</f>
        <v>6.9432098765432091</v>
      </c>
      <c r="C86" s="31" t="s">
        <v>12</v>
      </c>
      <c r="E86" s="31" t="s">
        <v>94</v>
      </c>
    </row>
    <row r="88" spans="1:5" s="31" customFormat="1" x14ac:dyDescent="0.4">
      <c r="A88" s="31" t="s">
        <v>479</v>
      </c>
      <c r="B88" s="27">
        <f>POUT_Total/(VIN_max*EFF_est*Dc_VIN_max)</f>
        <v>4.8642857142857139</v>
      </c>
      <c r="E88" s="31" t="s">
        <v>480</v>
      </c>
    </row>
    <row r="89" spans="1:5" x14ac:dyDescent="0.4">
      <c r="A89" s="31" t="s">
        <v>89</v>
      </c>
      <c r="B89" s="27">
        <f>(VIN_max*Dc_VIN_max)/(Lm*Fsw)</f>
        <v>3.4263338228095939</v>
      </c>
      <c r="C89" s="31" t="s">
        <v>12</v>
      </c>
      <c r="E89" s="31" t="s">
        <v>95</v>
      </c>
    </row>
    <row r="90" spans="1:5" x14ac:dyDescent="0.4">
      <c r="A90" s="31" t="s">
        <v>90</v>
      </c>
      <c r="B90" s="27">
        <f>(IL_avg_VIN_max/EFF_est)+(ILrip_VINmax/2)</f>
        <v>6.577452625690511</v>
      </c>
      <c r="C90" s="31" t="s">
        <v>12</v>
      </c>
      <c r="E90" s="31" t="s">
        <v>96</v>
      </c>
    </row>
    <row r="92" spans="1:5" x14ac:dyDescent="0.4">
      <c r="A92" s="30" t="s">
        <v>91</v>
      </c>
    </row>
    <row r="93" spans="1:5" x14ac:dyDescent="0.4">
      <c r="A93" t="s">
        <v>98</v>
      </c>
      <c r="B93" s="3">
        <f>'Design Converter'!H30/100</f>
        <v>0.3</v>
      </c>
      <c r="E93" t="s">
        <v>99</v>
      </c>
    </row>
    <row r="94" spans="1:5" x14ac:dyDescent="0.4">
      <c r="A94" t="s">
        <v>100</v>
      </c>
      <c r="B94" s="28">
        <f>(1+Ipk_margin)*ILp_VINmin</f>
        <v>9.3660061443932427</v>
      </c>
      <c r="C94" t="s">
        <v>12</v>
      </c>
      <c r="E94" t="s">
        <v>101</v>
      </c>
    </row>
    <row r="95" spans="1:5" s="31" customFormat="1" x14ac:dyDescent="0.4">
      <c r="B95" s="184"/>
    </row>
    <row r="96" spans="1:5" s="31" customFormat="1" x14ac:dyDescent="0.4">
      <c r="A96" s="31" t="s">
        <v>107</v>
      </c>
      <c r="B96" s="21">
        <v>0.83299999999999996</v>
      </c>
      <c r="E96" s="31" t="s">
        <v>108</v>
      </c>
    </row>
    <row r="97" spans="1:11" s="31" customFormat="1" x14ac:dyDescent="0.4">
      <c r="B97" s="26"/>
    </row>
    <row r="98" spans="1:11" x14ac:dyDescent="0.4">
      <c r="A98" t="s">
        <v>105</v>
      </c>
      <c r="B98" s="185">
        <f>(1/B96)*((Fsw*Isl*Rsl_int*Lm)/((Np/NS1_)*ABS(VOUT1)))</f>
        <v>1.1521728691476589E-3</v>
      </c>
      <c r="C98" s="2" t="s">
        <v>35</v>
      </c>
      <c r="E98" t="s">
        <v>106</v>
      </c>
    </row>
    <row r="99" spans="1:11" x14ac:dyDescent="0.4">
      <c r="A99" t="s">
        <v>113</v>
      </c>
      <c r="B99" s="37">
        <f>Vcl/Ipk_selected</f>
        <v>1.067690950212144E-2</v>
      </c>
      <c r="C99" s="2" t="s">
        <v>35</v>
      </c>
      <c r="E99" t="s">
        <v>114</v>
      </c>
    </row>
    <row r="100" spans="1:11" s="31" customFormat="1" x14ac:dyDescent="0.4">
      <c r="B100" s="26"/>
    </row>
    <row r="101" spans="1:11" s="31" customFormat="1" x14ac:dyDescent="0.4">
      <c r="A101" s="31" t="s">
        <v>119</v>
      </c>
      <c r="B101" s="21">
        <v>0.83299999999999996</v>
      </c>
      <c r="E101" s="31" t="s">
        <v>120</v>
      </c>
    </row>
    <row r="102" spans="1:11" x14ac:dyDescent="0.4">
      <c r="A102" t="s">
        <v>118</v>
      </c>
      <c r="B102" s="36">
        <f>(Lm*NS1_*Fsw*(Vcl+(Dc_VIN_min*Isl*Rsl_int)))/((Dc_VIN_min*Kslope*VOUT1*Np)+(Ipk_selected*Lm*NS1_*Fsw))</f>
        <v>3.2933791994832788E-3</v>
      </c>
      <c r="C102" s="2" t="s">
        <v>35</v>
      </c>
      <c r="E102" t="s">
        <v>129</v>
      </c>
    </row>
    <row r="103" spans="1:11" x14ac:dyDescent="0.4">
      <c r="A103" t="s">
        <v>121</v>
      </c>
      <c r="B103" s="27">
        <f>(Vcl-(Ipk_selected*Rcs_w_sl))/(Isl*Dc_VIN_min)</f>
        <v>2477.2567682910717</v>
      </c>
      <c r="C103" s="2" t="s">
        <v>35</v>
      </c>
      <c r="E103" s="31" t="s">
        <v>128</v>
      </c>
    </row>
    <row r="105" spans="1:11" x14ac:dyDescent="0.4">
      <c r="A105" t="s">
        <v>117</v>
      </c>
      <c r="B105" s="1">
        <f>IF(Rcs_wo_sl&gt;Rcs_max,1,0)</f>
        <v>1</v>
      </c>
      <c r="E105" t="s">
        <v>664</v>
      </c>
    </row>
    <row r="106" spans="1:11" x14ac:dyDescent="0.4">
      <c r="A106" t="s">
        <v>122</v>
      </c>
      <c r="B106" s="39">
        <f>IF(B105=0,Rcs_wo_sl,Rcs_w_sl)</f>
        <v>3.2933791994832788E-3</v>
      </c>
      <c r="C106" s="2" t="s">
        <v>35</v>
      </c>
      <c r="E106" t="s">
        <v>126</v>
      </c>
    </row>
    <row r="107" spans="1:11" x14ac:dyDescent="0.4">
      <c r="A107" t="s">
        <v>123</v>
      </c>
      <c r="B107" s="1">
        <f>IF(B105=0,0,B103)</f>
        <v>2477.2567682910717</v>
      </c>
      <c r="C107" s="2" t="s">
        <v>35</v>
      </c>
      <c r="E107" t="s">
        <v>127</v>
      </c>
    </row>
    <row r="109" spans="1:11" x14ac:dyDescent="0.4">
      <c r="A109" t="s">
        <v>124</v>
      </c>
      <c r="B109" s="40">
        <f>'Design Converter'!H34/1000</f>
        <v>4.0000000000000001E-3</v>
      </c>
      <c r="C109" s="2" t="s">
        <v>35</v>
      </c>
      <c r="E109" t="s">
        <v>131</v>
      </c>
    </row>
    <row r="110" spans="1:11" x14ac:dyDescent="0.4">
      <c r="A110" t="s">
        <v>125</v>
      </c>
      <c r="B110" s="3">
        <f>'Design Converter'!H35</f>
        <v>3240</v>
      </c>
      <c r="C110" s="2" t="s">
        <v>35</v>
      </c>
      <c r="E110" t="s">
        <v>132</v>
      </c>
    </row>
    <row r="112" spans="1:11" x14ac:dyDescent="0.4">
      <c r="A112" t="s">
        <v>136</v>
      </c>
      <c r="B112" s="28">
        <f>(Isl*(Rsl_int+R_sl)*Fsw)/(((VOUT1*(Np/NS1_))/Lm)*R_cs)</f>
        <v>0.82313999999999987</v>
      </c>
      <c r="C112" t="s">
        <v>144</v>
      </c>
      <c r="E112" t="s">
        <v>134</v>
      </c>
      <c r="K112">
        <f>IF(B112&lt;0.5,1,0)</f>
        <v>0</v>
      </c>
    </row>
    <row r="113" spans="1:16" s="31" customFormat="1" x14ac:dyDescent="0.4">
      <c r="A113" s="31" t="s">
        <v>138</v>
      </c>
      <c r="B113" s="28">
        <f>(Vcl-(Isl*R_sl*Dc_VIN_min))/R_cs</f>
        <v>2.3883374689826313</v>
      </c>
      <c r="C113" s="31" t="s">
        <v>12</v>
      </c>
      <c r="E113" s="31" t="s">
        <v>140</v>
      </c>
      <c r="K113">
        <f>IF(IL_pk&lt;Ipk_selected,1,0)</f>
        <v>1</v>
      </c>
    </row>
    <row r="114" spans="1:16" x14ac:dyDescent="0.4">
      <c r="A114" t="s">
        <v>139</v>
      </c>
      <c r="B114" s="28">
        <f>(Vcl-(Isl*R_sl*Dc_VIN_max))/R_cs</f>
        <v>2.6982378854625599</v>
      </c>
      <c r="C114" t="s">
        <v>12</v>
      </c>
      <c r="E114" t="s">
        <v>141</v>
      </c>
    </row>
    <row r="115" spans="1:16" x14ac:dyDescent="0.4">
      <c r="A115" t="s">
        <v>142</v>
      </c>
      <c r="B115" s="1">
        <f>0.15</f>
        <v>0.15</v>
      </c>
      <c r="E115" t="s">
        <v>143</v>
      </c>
    </row>
    <row r="117" spans="1:16" x14ac:dyDescent="0.4">
      <c r="A117" s="34" t="s">
        <v>145</v>
      </c>
    </row>
    <row r="118" spans="1:16" x14ac:dyDescent="0.4">
      <c r="A118" t="s">
        <v>653</v>
      </c>
    </row>
    <row r="120" spans="1:16" x14ac:dyDescent="0.4">
      <c r="A120" s="42" t="s">
        <v>146</v>
      </c>
      <c r="E120">
        <f>VIN_min</f>
        <v>14</v>
      </c>
    </row>
    <row r="121" spans="1:16" s="31" customFormat="1" x14ac:dyDescent="0.4">
      <c r="A121" s="42"/>
    </row>
    <row r="122" spans="1:16" s="31" customFormat="1" x14ac:dyDescent="0.4">
      <c r="A122" s="194" t="s">
        <v>646</v>
      </c>
      <c r="B122" s="1">
        <f>fz_rhp/5</f>
        <v>1720.1195944864335</v>
      </c>
      <c r="C122" s="31" t="s">
        <v>61</v>
      </c>
      <c r="E122" s="31" t="s">
        <v>647</v>
      </c>
      <c r="O122" s="186"/>
      <c r="P122" s="31" t="s">
        <v>660</v>
      </c>
    </row>
    <row r="123" spans="1:16" s="31" customFormat="1" x14ac:dyDescent="0.4">
      <c r="A123" s="42"/>
    </row>
    <row r="124" spans="1:16" s="31" customFormat="1" x14ac:dyDescent="0.4">
      <c r="A124" s="42"/>
    </row>
    <row r="125" spans="1:16" x14ac:dyDescent="0.4">
      <c r="B125" s="46" t="s">
        <v>489</v>
      </c>
    </row>
    <row r="126" spans="1:16" x14ac:dyDescent="0.4">
      <c r="A126" t="s">
        <v>481</v>
      </c>
      <c r="B126" s="43">
        <f>'Design Converter'!H40/1000</f>
        <v>100</v>
      </c>
      <c r="C126" t="s">
        <v>11</v>
      </c>
      <c r="E126" t="s">
        <v>150</v>
      </c>
    </row>
    <row r="127" spans="1:16" s="31" customFormat="1" x14ac:dyDescent="0.4">
      <c r="A127" s="31" t="s">
        <v>648</v>
      </c>
      <c r="B127" s="43">
        <f>IOUT1-(IOUT1/2)</f>
        <v>2.5000000000000001E-2</v>
      </c>
      <c r="C127" s="31" t="s">
        <v>12</v>
      </c>
      <c r="E127" s="31" t="s">
        <v>649</v>
      </c>
    </row>
    <row r="128" spans="1:16" x14ac:dyDescent="0.4">
      <c r="A128" t="s">
        <v>482</v>
      </c>
      <c r="B128" s="1">
        <f>B127/(2*PI()*Vout1_rip_sel*B122)</f>
        <v>2.3131377551020417E-8</v>
      </c>
      <c r="C128" t="s">
        <v>151</v>
      </c>
      <c r="E128" t="s">
        <v>152</v>
      </c>
    </row>
    <row r="129" spans="1:16" x14ac:dyDescent="0.4">
      <c r="A129" t="s">
        <v>153</v>
      </c>
      <c r="B129" s="27"/>
      <c r="C129" t="s">
        <v>12</v>
      </c>
      <c r="D129" s="186"/>
      <c r="E129" t="s">
        <v>154</v>
      </c>
    </row>
    <row r="130" spans="1:16" x14ac:dyDescent="0.4">
      <c r="A130" t="s">
        <v>482</v>
      </c>
      <c r="B130" s="3">
        <f>'Design Converter'!H42*(10^-6)</f>
        <v>2.9999999999999999E-7</v>
      </c>
      <c r="C130" t="s">
        <v>151</v>
      </c>
      <c r="E130" t="s">
        <v>156</v>
      </c>
    </row>
    <row r="131" spans="1:16" x14ac:dyDescent="0.4">
      <c r="A131" t="s">
        <v>483</v>
      </c>
      <c r="B131" s="3">
        <f>'Design Converter'!H43/1000</f>
        <v>3.3299999999999996E-2</v>
      </c>
      <c r="C131" s="2" t="s">
        <v>35</v>
      </c>
      <c r="E131" t="s">
        <v>157</v>
      </c>
    </row>
    <row r="132" spans="1:16" x14ac:dyDescent="0.4">
      <c r="A132" t="s">
        <v>284</v>
      </c>
      <c r="D132" s="186"/>
      <c r="E132" s="94" t="s">
        <v>285</v>
      </c>
    </row>
    <row r="133" spans="1:16" s="31" customFormat="1" x14ac:dyDescent="0.4">
      <c r="B133" s="46" t="s">
        <v>487</v>
      </c>
    </row>
    <row r="134" spans="1:16" s="31" customFormat="1" x14ac:dyDescent="0.4">
      <c r="A134" s="31" t="s">
        <v>492</v>
      </c>
      <c r="B134" s="43">
        <f>'Design Converter'!N40*(10^-3)</f>
        <v>0.1</v>
      </c>
      <c r="C134" s="31" t="s">
        <v>11</v>
      </c>
      <c r="E134" s="31" t="s">
        <v>150</v>
      </c>
    </row>
    <row r="135" spans="1:16" s="31" customFormat="1" x14ac:dyDescent="0.4">
      <c r="B135" s="43">
        <f>IOUT2-(IOUT2/2)</f>
        <v>0</v>
      </c>
      <c r="E135" s="31" t="s">
        <v>661</v>
      </c>
    </row>
    <row r="136" spans="1:16" s="31" customFormat="1" x14ac:dyDescent="0.4">
      <c r="A136" s="31" t="s">
        <v>493</v>
      </c>
      <c r="B136" s="1">
        <f>IF(EN_OUT_2=1,B135/(2*PI()*Vout2_rip_sel*B122),0)</f>
        <v>0</v>
      </c>
      <c r="C136" s="31" t="s">
        <v>151</v>
      </c>
      <c r="E136" s="31" t="s">
        <v>152</v>
      </c>
      <c r="O136" s="186"/>
      <c r="P136" s="31" t="s">
        <v>658</v>
      </c>
    </row>
    <row r="137" spans="1:16" s="31" customFormat="1" x14ac:dyDescent="0.4">
      <c r="A137" s="31" t="s">
        <v>153</v>
      </c>
      <c r="B137" s="27"/>
      <c r="C137" s="31" t="s">
        <v>12</v>
      </c>
      <c r="E137" s="31" t="s">
        <v>154</v>
      </c>
    </row>
    <row r="138" spans="1:16" s="31" customFormat="1" x14ac:dyDescent="0.4">
      <c r="A138" s="31" t="s">
        <v>494</v>
      </c>
      <c r="B138" s="3">
        <f>IF(EN_OUT_2=1,'Design Converter'!N42*(10^-6),0)</f>
        <v>0</v>
      </c>
      <c r="C138" s="31" t="s">
        <v>151</v>
      </c>
      <c r="E138" s="31" t="s">
        <v>156</v>
      </c>
    </row>
    <row r="139" spans="1:16" s="31" customFormat="1" x14ac:dyDescent="0.4">
      <c r="A139" s="31" t="s">
        <v>495</v>
      </c>
      <c r="B139" s="3">
        <f>IF(EN_OUT_2=1,'Design Converter'!N43*(10^-3),0)</f>
        <v>0</v>
      </c>
      <c r="C139" s="2" t="s">
        <v>35</v>
      </c>
      <c r="E139" s="31" t="s">
        <v>157</v>
      </c>
    </row>
    <row r="140" spans="1:16" s="31" customFormat="1" x14ac:dyDescent="0.4">
      <c r="A140" s="31" t="s">
        <v>496</v>
      </c>
      <c r="B140" s="3">
        <f>IF(EN_OUT_2=1,1/(((Np^2)/(NS2_^2))*Resr2),0)</f>
        <v>0</v>
      </c>
      <c r="C140" s="2" t="s">
        <v>35</v>
      </c>
      <c r="E140" s="31" t="s">
        <v>497</v>
      </c>
      <c r="O140" s="31" t="s">
        <v>662</v>
      </c>
    </row>
    <row r="141" spans="1:16" s="31" customFormat="1" x14ac:dyDescent="0.4">
      <c r="B141" s="46" t="s">
        <v>488</v>
      </c>
      <c r="E141" s="187"/>
    </row>
    <row r="142" spans="1:16" s="31" customFormat="1" x14ac:dyDescent="0.4">
      <c r="A142" s="31" t="s">
        <v>484</v>
      </c>
      <c r="B142" s="43">
        <f>'Design Converter'!V40*(10^-3)</f>
        <v>0.70000000000000007</v>
      </c>
      <c r="C142" s="31" t="s">
        <v>11</v>
      </c>
      <c r="E142" s="31" t="s">
        <v>150</v>
      </c>
    </row>
    <row r="143" spans="1:16" s="31" customFormat="1" x14ac:dyDescent="0.4">
      <c r="B143" s="43">
        <f>IOUT3-(IOUT3/2)</f>
        <v>0</v>
      </c>
    </row>
    <row r="144" spans="1:16" s="31" customFormat="1" x14ac:dyDescent="0.4">
      <c r="A144" s="31" t="s">
        <v>485</v>
      </c>
      <c r="B144" s="1">
        <f>IF(EN_OUT_3=1,B143/(2*PI()*Vout3_rip_sel*B122),0)</f>
        <v>0</v>
      </c>
      <c r="C144" s="31" t="s">
        <v>151</v>
      </c>
      <c r="E144" s="31" t="s">
        <v>152</v>
      </c>
      <c r="O144" s="186"/>
      <c r="P144" s="31" t="s">
        <v>659</v>
      </c>
    </row>
    <row r="145" spans="1:11" s="31" customFormat="1" x14ac:dyDescent="0.4">
      <c r="A145" s="31" t="s">
        <v>153</v>
      </c>
      <c r="B145" s="27"/>
      <c r="C145" s="31" t="s">
        <v>12</v>
      </c>
      <c r="E145" s="31" t="s">
        <v>154</v>
      </c>
    </row>
    <row r="146" spans="1:11" s="31" customFormat="1" x14ac:dyDescent="0.4">
      <c r="A146" s="31" t="s">
        <v>485</v>
      </c>
      <c r="B146" s="3">
        <f>IF(EN_OUT_3=1,'Design Converter'!V42*(10^-6),0)</f>
        <v>0</v>
      </c>
      <c r="C146" s="31" t="s">
        <v>151</v>
      </c>
      <c r="E146" s="31" t="s">
        <v>156</v>
      </c>
    </row>
    <row r="147" spans="1:11" s="31" customFormat="1" x14ac:dyDescent="0.4">
      <c r="A147" s="31" t="s">
        <v>486</v>
      </c>
      <c r="B147" s="3">
        <f>IF(EN_OUT_3=1,'Design Converter'!V43*(10^-3),0)</f>
        <v>0</v>
      </c>
      <c r="C147" s="2" t="s">
        <v>35</v>
      </c>
      <c r="E147" s="31" t="s">
        <v>157</v>
      </c>
    </row>
    <row r="148" spans="1:11" s="31" customFormat="1" x14ac:dyDescent="0.4">
      <c r="B148" s="3">
        <f>IF(EN_OUT_3=1,1/(((Np^2)/(NS3_^2))*Resr3),0)</f>
        <v>0</v>
      </c>
      <c r="C148" s="2" t="s">
        <v>35</v>
      </c>
      <c r="E148" s="31" t="s">
        <v>497</v>
      </c>
    </row>
    <row r="149" spans="1:11" s="31" customFormat="1" x14ac:dyDescent="0.4"/>
    <row r="150" spans="1:11" s="31" customFormat="1" x14ac:dyDescent="0.4">
      <c r="A150" s="31" t="s">
        <v>490</v>
      </c>
      <c r="B150" s="200">
        <f>Cout1+(((NS2_^2)/(NS1_^2))*Cout2)+(((NS3_^2)/(NS1_^2))*Cout3)</f>
        <v>2.9999999999999999E-7</v>
      </c>
      <c r="C150" s="31" t="s">
        <v>151</v>
      </c>
      <c r="E150" s="31" t="s">
        <v>499</v>
      </c>
      <c r="K150" s="31">
        <f>(((NS2_^2)/(NS1_^2))*Cout2)</f>
        <v>0</v>
      </c>
    </row>
    <row r="151" spans="1:11" s="31" customFormat="1" x14ac:dyDescent="0.4">
      <c r="A151" s="31" t="s">
        <v>491</v>
      </c>
      <c r="B151" s="3">
        <f>1/((1/Resr1)+Resr2_Trans+Resr3_Trans)</f>
        <v>3.3299999999999996E-2</v>
      </c>
      <c r="C151" s="2" t="s">
        <v>35</v>
      </c>
      <c r="E151" s="31" t="s">
        <v>498</v>
      </c>
    </row>
    <row r="152" spans="1:11" s="31" customFormat="1" x14ac:dyDescent="0.4"/>
    <row r="153" spans="1:11" s="26" customFormat="1" x14ac:dyDescent="0.4">
      <c r="E153" s="26" t="s">
        <v>500</v>
      </c>
    </row>
    <row r="154" spans="1:11" s="31" customFormat="1" x14ac:dyDescent="0.4">
      <c r="A154" s="42" t="s">
        <v>303</v>
      </c>
    </row>
    <row r="155" spans="1:11" s="31" customFormat="1" x14ac:dyDescent="0.4">
      <c r="A155" s="31" t="s">
        <v>287</v>
      </c>
      <c r="B155" s="21">
        <f>Iss</f>
        <v>9.9999999999999991E-6</v>
      </c>
      <c r="C155" s="31" t="s">
        <v>12</v>
      </c>
      <c r="E155" s="31" t="s">
        <v>289</v>
      </c>
      <c r="J155" s="31" t="s">
        <v>665</v>
      </c>
    </row>
    <row r="156" spans="1:11" s="31" customFormat="1" x14ac:dyDescent="0.4">
      <c r="A156" s="31" t="s">
        <v>290</v>
      </c>
      <c r="B156" s="1">
        <f>Iss*VOUT1*Cout1/(Vref*IOUT1)</f>
        <v>8.9999999999999985E-8</v>
      </c>
      <c r="C156" s="31" t="s">
        <v>151</v>
      </c>
      <c r="E156" s="31" t="s">
        <v>291</v>
      </c>
    </row>
    <row r="157" spans="1:11" s="31" customFormat="1" x14ac:dyDescent="0.4">
      <c r="A157" s="31" t="s">
        <v>292</v>
      </c>
      <c r="B157" s="3">
        <f>'Design Converter'!H48*(10^-3)</f>
        <v>2.1999999999999999E-2</v>
      </c>
      <c r="C157" s="31" t="s">
        <v>47</v>
      </c>
      <c r="E157" s="31" t="s">
        <v>293</v>
      </c>
    </row>
    <row r="158" spans="1:11" s="31" customFormat="1" x14ac:dyDescent="0.4">
      <c r="A158" s="31" t="s">
        <v>296</v>
      </c>
      <c r="B158" s="1">
        <f>(tss*Iss)/(Vref)</f>
        <v>2.1999999999999996E-7</v>
      </c>
      <c r="C158" s="31" t="s">
        <v>151</v>
      </c>
      <c r="E158" s="31" t="s">
        <v>297</v>
      </c>
    </row>
    <row r="159" spans="1:11" s="31" customFormat="1" x14ac:dyDescent="0.4"/>
    <row r="160" spans="1:11" s="31" customFormat="1" x14ac:dyDescent="0.4">
      <c r="A160" s="42" t="s">
        <v>302</v>
      </c>
    </row>
    <row r="161" spans="1:5" s="31" customFormat="1" x14ac:dyDescent="0.4">
      <c r="A161" s="31" t="s">
        <v>304</v>
      </c>
      <c r="B161" s="3">
        <f>'Design Converter'!H52</f>
        <v>14</v>
      </c>
      <c r="C161" s="31" t="s">
        <v>11</v>
      </c>
      <c r="E161" s="31" t="s">
        <v>306</v>
      </c>
    </row>
    <row r="162" spans="1:5" s="31" customFormat="1" x14ac:dyDescent="0.4">
      <c r="A162" s="31" t="s">
        <v>305</v>
      </c>
      <c r="B162" s="3">
        <f>'Design Converter'!H53</f>
        <v>13</v>
      </c>
      <c r="C162" s="31" t="s">
        <v>11</v>
      </c>
      <c r="E162" s="31" t="s">
        <v>307</v>
      </c>
    </row>
    <row r="163" spans="1:5" s="31" customFormat="1" x14ac:dyDescent="0.4">
      <c r="A163" s="31" t="s">
        <v>309</v>
      </c>
      <c r="B163" s="21">
        <f>UV_rise</f>
        <v>1.5</v>
      </c>
      <c r="C163" s="31" t="s">
        <v>11</v>
      </c>
      <c r="E163" s="31" t="s">
        <v>314</v>
      </c>
    </row>
    <row r="164" spans="1:5" s="31" customFormat="1" x14ac:dyDescent="0.4">
      <c r="A164" s="31" t="s">
        <v>310</v>
      </c>
      <c r="B164" s="21">
        <f>UV_fall</f>
        <v>1.45</v>
      </c>
      <c r="C164" s="31" t="s">
        <v>11</v>
      </c>
      <c r="E164" s="31" t="s">
        <v>313</v>
      </c>
    </row>
    <row r="165" spans="1:5" s="31" customFormat="1" x14ac:dyDescent="0.4">
      <c r="A165" s="31" t="s">
        <v>315</v>
      </c>
      <c r="B165" s="21">
        <f>UV_I_hyst</f>
        <v>4.9999999999999996E-6</v>
      </c>
      <c r="C165" s="31" t="s">
        <v>12</v>
      </c>
      <c r="E165" s="31" t="s">
        <v>317</v>
      </c>
    </row>
    <row r="166" spans="1:5" s="31" customFormat="1" x14ac:dyDescent="0.4">
      <c r="A166" s="31" t="s">
        <v>318</v>
      </c>
      <c r="B166" s="29">
        <f>((Vuvlo_on*0.967)-Vuvlo_off)/(UV_I_hyst)</f>
        <v>107600.00000000006</v>
      </c>
      <c r="C166" s="2" t="s">
        <v>35</v>
      </c>
      <c r="E166" s="31" t="s">
        <v>392</v>
      </c>
    </row>
    <row r="167" spans="1:5" s="31" customFormat="1" x14ac:dyDescent="0.4">
      <c r="A167" s="31" t="s">
        <v>318</v>
      </c>
      <c r="B167" s="3">
        <f>'Design Converter'!H55*1000</f>
        <v>20000</v>
      </c>
      <c r="C167" s="2" t="s">
        <v>35</v>
      </c>
      <c r="E167" s="31" t="s">
        <v>393</v>
      </c>
    </row>
    <row r="168" spans="1:5" s="31" customFormat="1" x14ac:dyDescent="0.4">
      <c r="A168" s="31" t="s">
        <v>319</v>
      </c>
      <c r="B168" s="29">
        <f>UV_rise*Ruvlo_top/(Vuvlo_on-UV_rise)</f>
        <v>2400</v>
      </c>
      <c r="C168" s="2" t="s">
        <v>35</v>
      </c>
      <c r="E168" s="31" t="s">
        <v>394</v>
      </c>
    </row>
    <row r="169" spans="1:5" s="31" customFormat="1" x14ac:dyDescent="0.4">
      <c r="A169" s="31" t="s">
        <v>320</v>
      </c>
      <c r="B169" s="28">
        <f>UV_rise*(Ruvlo_top+Ruvlo_bottom_calc)/Ruvlo_bottom_calc</f>
        <v>14</v>
      </c>
      <c r="E169" s="31" t="s">
        <v>322</v>
      </c>
    </row>
    <row r="170" spans="1:5" s="31" customFormat="1" x14ac:dyDescent="0.4">
      <c r="A170" s="31" t="s">
        <v>321</v>
      </c>
      <c r="B170" s="28">
        <f>Ruvlo_top*((UV_fall/Ruvlo_top)-(UV_I_hyst)+(UV_fall/Ruvlo_bottom_calc))</f>
        <v>13.433333333333334</v>
      </c>
      <c r="E170" s="31" t="s">
        <v>323</v>
      </c>
    </row>
    <row r="171" spans="1:5" s="31" customFormat="1" x14ac:dyDescent="0.4"/>
    <row r="172" spans="1:5" s="31" customFormat="1" x14ac:dyDescent="0.4"/>
    <row r="173" spans="1:5" x14ac:dyDescent="0.4">
      <c r="A173" s="42" t="s">
        <v>557</v>
      </c>
    </row>
    <row r="174" spans="1:5" s="31" customFormat="1" x14ac:dyDescent="0.4">
      <c r="A174" s="47" t="s">
        <v>186</v>
      </c>
      <c r="B174" s="3">
        <f>'Design Converter'!H59</f>
        <v>15</v>
      </c>
      <c r="C174" s="31" t="s">
        <v>11</v>
      </c>
      <c r="E174" s="31" t="s">
        <v>650</v>
      </c>
    </row>
    <row r="175" spans="1:5" s="31" customFormat="1" x14ac:dyDescent="0.4">
      <c r="A175" s="47" t="s">
        <v>517</v>
      </c>
      <c r="B175" s="26">
        <v>2</v>
      </c>
      <c r="E175" s="31" t="s">
        <v>518</v>
      </c>
    </row>
    <row r="176" spans="1:5" s="31" customFormat="1" x14ac:dyDescent="0.4">
      <c r="A176" s="47"/>
      <c r="B176" s="26"/>
    </row>
    <row r="177" spans="1:5" s="31" customFormat="1" x14ac:dyDescent="0.4">
      <c r="A177" s="47" t="s">
        <v>556</v>
      </c>
      <c r="B177" s="26"/>
    </row>
    <row r="178" spans="1:5" s="31" customFormat="1" x14ac:dyDescent="0.4">
      <c r="A178" s="31" t="s">
        <v>396</v>
      </c>
      <c r="B178" s="32">
        <f>Gcomp*((VOUT1^2)/(POUT_Total))*((1-Dc_VIN_min)/((1+Dc_VIN_min)*((Acs*R_cs)/(Np/NS1_))))</f>
        <v>4791.1311053984573</v>
      </c>
      <c r="E178" s="31" t="s">
        <v>559</v>
      </c>
    </row>
    <row r="179" spans="1:5" s="31" customFormat="1" x14ac:dyDescent="0.4"/>
    <row r="180" spans="1:5" s="31" customFormat="1" x14ac:dyDescent="0.4">
      <c r="A180" s="31" t="s">
        <v>397</v>
      </c>
      <c r="B180" s="21">
        <f>(1+Dc_VIN_min)/(Cout_total*((VOUT1^2)/POUT_Total))</f>
        <v>214.50234353460161</v>
      </c>
      <c r="C180" s="31" t="s">
        <v>383</v>
      </c>
      <c r="E180" s="31" t="s">
        <v>382</v>
      </c>
    </row>
    <row r="181" spans="1:5" s="31" customFormat="1" x14ac:dyDescent="0.4">
      <c r="A181" s="31" t="s">
        <v>398</v>
      </c>
      <c r="B181" s="29">
        <f>B180/(2*PI())</f>
        <v>34.139108278327704</v>
      </c>
      <c r="C181" s="31" t="s">
        <v>61</v>
      </c>
      <c r="E181" s="31" t="s">
        <v>240</v>
      </c>
    </row>
    <row r="182" spans="1:5" s="31" customFormat="1" x14ac:dyDescent="0.4">
      <c r="B182" s="26"/>
    </row>
    <row r="183" spans="1:5" s="31" customFormat="1" x14ac:dyDescent="0.4">
      <c r="A183" s="31" t="s">
        <v>399</v>
      </c>
      <c r="B183" s="21">
        <f>1/(Cout_total*Resr_total)</f>
        <v>100100100.10010011</v>
      </c>
      <c r="C183" s="31" t="s">
        <v>384</v>
      </c>
      <c r="E183" s="31" t="s">
        <v>385</v>
      </c>
    </row>
    <row r="184" spans="1:5" s="31" customFormat="1" x14ac:dyDescent="0.4">
      <c r="A184" s="31" t="s">
        <v>400</v>
      </c>
      <c r="B184" s="1">
        <f>B183/(2*PI())</f>
        <v>15931425.734924462</v>
      </c>
      <c r="C184" s="31" t="s">
        <v>61</v>
      </c>
      <c r="E184" s="31" t="s">
        <v>242</v>
      </c>
    </row>
    <row r="185" spans="1:5" s="31" customFormat="1" x14ac:dyDescent="0.4">
      <c r="B185" s="26"/>
    </row>
    <row r="186" spans="1:5" s="31" customFormat="1" x14ac:dyDescent="0.4">
      <c r="A186" s="31" t="s">
        <v>401</v>
      </c>
      <c r="B186" s="21">
        <f>(((VOUT1^2)/POUT_Total)*((1-Dc_VIN_min)^2))/((Lm/((Np/NS1_)^2))*Dc_VIN_min)</f>
        <v>54039.150813344342</v>
      </c>
      <c r="E186" s="31" t="s">
        <v>381</v>
      </c>
    </row>
    <row r="187" spans="1:5" s="31" customFormat="1" x14ac:dyDescent="0.4">
      <c r="A187" s="31" t="s">
        <v>402</v>
      </c>
      <c r="B187" s="29">
        <f>B186/(2*PI())</f>
        <v>8600.5979724321678</v>
      </c>
      <c r="C187" s="31" t="s">
        <v>61</v>
      </c>
      <c r="E187" s="31" t="s">
        <v>241</v>
      </c>
    </row>
    <row r="188" spans="1:5" s="31" customFormat="1" x14ac:dyDescent="0.4">
      <c r="B188" s="26">
        <f>Fsw/10</f>
        <v>10000</v>
      </c>
      <c r="C188" s="31" t="s">
        <v>61</v>
      </c>
      <c r="E188" s="31" t="s">
        <v>249</v>
      </c>
    </row>
    <row r="189" spans="1:5" s="31" customFormat="1" x14ac:dyDescent="0.4">
      <c r="B189" s="31">
        <f>IF((B187/5)&lt;(B188),0,1)</f>
        <v>0</v>
      </c>
      <c r="E189" s="31" t="s">
        <v>251</v>
      </c>
    </row>
    <row r="190" spans="1:5" s="31" customFormat="1" x14ac:dyDescent="0.4"/>
    <row r="191" spans="1:5" s="31" customFormat="1" x14ac:dyDescent="0.4">
      <c r="A191" s="31" t="s">
        <v>403</v>
      </c>
      <c r="B191" s="1">
        <f>(Isl*(Rsl_int+R_sl)*Fsw)</f>
        <v>13718.999999999998</v>
      </c>
      <c r="C191" s="31" t="s">
        <v>144</v>
      </c>
      <c r="E191" s="31" t="s">
        <v>202</v>
      </c>
    </row>
    <row r="192" spans="1:5" s="31" customFormat="1" x14ac:dyDescent="0.4">
      <c r="A192" s="31" t="s">
        <v>404</v>
      </c>
      <c r="B192" s="1">
        <f>(R_cs*VIN_min*Acs)/Lm</f>
        <v>1244.4444444444446</v>
      </c>
      <c r="C192" s="31" t="s">
        <v>144</v>
      </c>
      <c r="E192" s="31" t="s">
        <v>203</v>
      </c>
    </row>
    <row r="193" spans="1:7" s="31" customFormat="1" x14ac:dyDescent="0.4">
      <c r="B193" s="1"/>
    </row>
    <row r="194" spans="1:7" s="31" customFormat="1" x14ac:dyDescent="0.4">
      <c r="A194" s="31" t="s">
        <v>405</v>
      </c>
      <c r="B194" s="1">
        <f>2*PI()*Fsw</f>
        <v>628318.53071795858</v>
      </c>
      <c r="C194" s="31" t="s">
        <v>205</v>
      </c>
    </row>
    <row r="195" spans="1:7" s="31" customFormat="1" x14ac:dyDescent="0.4">
      <c r="A195" s="31" t="s">
        <v>406</v>
      </c>
      <c r="B195" s="1">
        <f>1/(PI()*(((VIN_min/VOUT1)*(1+(B191/B192)))-0.5))</f>
        <v>-0.82086408416528689</v>
      </c>
    </row>
    <row r="196" spans="1:7" s="31" customFormat="1" x14ac:dyDescent="0.4">
      <c r="A196" s="47"/>
      <c r="B196" s="26"/>
      <c r="G196" s="31">
        <f>Dc_VIN_min</f>
        <v>0.9305210918114144</v>
      </c>
    </row>
    <row r="197" spans="1:7" s="31" customFormat="1" x14ac:dyDescent="0.4">
      <c r="A197" s="47"/>
      <c r="B197" s="26"/>
    </row>
    <row r="198" spans="1:7" s="31" customFormat="1" x14ac:dyDescent="0.4">
      <c r="A198" s="47"/>
      <c r="B198" s="26"/>
    </row>
    <row r="199" spans="1:7" s="31" customFormat="1" x14ac:dyDescent="0.4">
      <c r="A199" s="47"/>
      <c r="B199" s="26"/>
    </row>
    <row r="200" spans="1:7" s="31" customFormat="1" x14ac:dyDescent="0.4">
      <c r="A200" s="47"/>
      <c r="B200" s="26"/>
    </row>
    <row r="201" spans="1:7" s="31" customFormat="1" x14ac:dyDescent="0.4">
      <c r="A201" s="47"/>
      <c r="B201" s="26"/>
    </row>
    <row r="202" spans="1:7" s="31" customFormat="1" x14ac:dyDescent="0.4">
      <c r="A202" s="193" t="s">
        <v>519</v>
      </c>
      <c r="B202" s="26"/>
    </row>
    <row r="203" spans="1:7" s="31" customFormat="1" x14ac:dyDescent="0.4">
      <c r="A203" s="195" t="s">
        <v>530</v>
      </c>
      <c r="B203" s="26"/>
    </row>
    <row r="204" spans="1:7" s="31" customFormat="1" x14ac:dyDescent="0.4">
      <c r="A204" s="47" t="s">
        <v>520</v>
      </c>
      <c r="B204" s="3">
        <f>'Design Converter'!H62</f>
        <v>0</v>
      </c>
      <c r="C204" s="31" t="s">
        <v>11</v>
      </c>
      <c r="E204" s="31" t="s">
        <v>521</v>
      </c>
    </row>
    <row r="205" spans="1:7" s="31" customFormat="1" x14ac:dyDescent="0.4">
      <c r="A205" s="47" t="s">
        <v>522</v>
      </c>
      <c r="B205" s="3">
        <f>'Design Converter'!H63*1000</f>
        <v>30000000</v>
      </c>
      <c r="C205" s="2" t="s">
        <v>35</v>
      </c>
      <c r="E205" s="31" t="s">
        <v>526</v>
      </c>
    </row>
    <row r="206" spans="1:7" s="31" customFormat="1" x14ac:dyDescent="0.4">
      <c r="A206" s="47" t="s">
        <v>523</v>
      </c>
      <c r="B206" s="1">
        <f>(RFBT_iso*Vref_iso)/(VOUT1-Vref_iso)</f>
        <v>0</v>
      </c>
      <c r="C206" s="2" t="s">
        <v>35</v>
      </c>
      <c r="E206" s="31" t="s">
        <v>525</v>
      </c>
    </row>
    <row r="207" spans="1:7" s="31" customFormat="1" x14ac:dyDescent="0.4">
      <c r="A207" s="47" t="s">
        <v>524</v>
      </c>
      <c r="B207" s="3">
        <f>'Design Converter'!H65*1000</f>
        <v>21000</v>
      </c>
      <c r="C207" s="2" t="s">
        <v>35</v>
      </c>
      <c r="E207" s="31" t="s">
        <v>527</v>
      </c>
    </row>
    <row r="208" spans="1:7" s="31" customFormat="1" x14ac:dyDescent="0.4">
      <c r="A208" s="47"/>
      <c r="B208" s="26"/>
    </row>
    <row r="209" spans="1:13" s="31" customFormat="1" x14ac:dyDescent="0.4">
      <c r="A209" s="195" t="s">
        <v>531</v>
      </c>
      <c r="B209" s="26"/>
    </row>
    <row r="210" spans="1:13" s="31" customFormat="1" x14ac:dyDescent="0.4">
      <c r="A210" s="47" t="s">
        <v>533</v>
      </c>
      <c r="B210" s="3">
        <f>'Design Converter'!H68</f>
        <v>5</v>
      </c>
      <c r="C210" s="31" t="s">
        <v>528</v>
      </c>
      <c r="E210" s="31" t="s">
        <v>535</v>
      </c>
    </row>
    <row r="211" spans="1:13" s="31" customFormat="1" x14ac:dyDescent="0.4">
      <c r="A211" s="47" t="s">
        <v>534</v>
      </c>
      <c r="B211" s="3">
        <f>'Design Converter'!H69</f>
        <v>2</v>
      </c>
      <c r="C211" s="31" t="s">
        <v>528</v>
      </c>
      <c r="E211" s="31" t="s">
        <v>536</v>
      </c>
    </row>
    <row r="212" spans="1:13" s="31" customFormat="1" x14ac:dyDescent="0.4">
      <c r="A212" s="47" t="s">
        <v>537</v>
      </c>
      <c r="B212" s="3">
        <f>'Design Converter'!H70</f>
        <v>1.4</v>
      </c>
      <c r="C212" s="31" t="s">
        <v>11</v>
      </c>
      <c r="E212" s="31" t="s">
        <v>538</v>
      </c>
    </row>
    <row r="213" spans="1:13" s="31" customFormat="1" x14ac:dyDescent="0.4">
      <c r="A213" s="47" t="s">
        <v>539</v>
      </c>
      <c r="B213" s="3">
        <f>'Design Converter'!H71/(10^9)</f>
        <v>3.2999999999999998E-9</v>
      </c>
      <c r="C213" s="31" t="s">
        <v>151</v>
      </c>
      <c r="E213" s="31" t="s">
        <v>546</v>
      </c>
    </row>
    <row r="214" spans="1:13" s="31" customFormat="1" x14ac:dyDescent="0.4">
      <c r="A214" s="47"/>
      <c r="B214" s="3">
        <f>'Design Converter'!H72/1000</f>
        <v>0.2</v>
      </c>
    </row>
    <row r="215" spans="1:13" s="31" customFormat="1" x14ac:dyDescent="0.4">
      <c r="A215" s="47" t="s">
        <v>547</v>
      </c>
      <c r="B215" s="3">
        <f>'Design Converter'!H75</f>
        <v>6.8</v>
      </c>
      <c r="C215" s="31" t="s">
        <v>11</v>
      </c>
      <c r="E215" s="31" t="s">
        <v>548</v>
      </c>
      <c r="M215" s="31" t="s">
        <v>666</v>
      </c>
    </row>
    <row r="216" spans="1:13" s="31" customFormat="1" x14ac:dyDescent="0.4">
      <c r="A216" s="47" t="s">
        <v>544</v>
      </c>
      <c r="B216" s="1">
        <f>(Vpullup-Vcomp_max)/Icomp_sink_max</f>
        <v>2687.4999999999995</v>
      </c>
      <c r="C216" s="2" t="s">
        <v>35</v>
      </c>
      <c r="E216" s="31" t="s">
        <v>551</v>
      </c>
    </row>
    <row r="217" spans="1:13" s="31" customFormat="1" x14ac:dyDescent="0.4">
      <c r="A217" s="47" t="s">
        <v>550</v>
      </c>
      <c r="B217" s="3">
        <f>'Design Converter'!H77*1000</f>
        <v>4990</v>
      </c>
      <c r="C217" s="2" t="s">
        <v>35</v>
      </c>
      <c r="E217" s="31" t="s">
        <v>552</v>
      </c>
    </row>
    <row r="218" spans="1:13" s="31" customFormat="1" x14ac:dyDescent="0.4">
      <c r="A218" s="47" t="s">
        <v>561</v>
      </c>
      <c r="B218" s="29">
        <f>1/(2*PI()*Copto*Rpullup)</f>
        <v>9665.0842953722804</v>
      </c>
      <c r="C218" s="2" t="s">
        <v>61</v>
      </c>
      <c r="E218" s="31" t="s">
        <v>563</v>
      </c>
      <c r="M218" s="31" t="s">
        <v>667</v>
      </c>
    </row>
    <row r="219" spans="1:13" s="31" customFormat="1" x14ac:dyDescent="0.4">
      <c r="A219" s="47" t="s">
        <v>567</v>
      </c>
      <c r="B219" s="29">
        <f>((VOUT1-Vref_iso-Vd_opto)/(Vpullup-VCE_sat))*(kopto_min*Rpullup)</f>
        <v>5665162.1212121211</v>
      </c>
      <c r="C219" s="2" t="s">
        <v>35</v>
      </c>
      <c r="E219" s="31" t="s">
        <v>568</v>
      </c>
    </row>
    <row r="220" spans="1:13" s="31" customFormat="1" x14ac:dyDescent="0.4">
      <c r="A220" s="47" t="s">
        <v>558</v>
      </c>
      <c r="B220" s="3">
        <f>'Design Converter'!H79*1000</f>
        <v>1000</v>
      </c>
      <c r="C220" s="2" t="s">
        <v>35</v>
      </c>
      <c r="E220" s="31" t="s">
        <v>571</v>
      </c>
    </row>
    <row r="221" spans="1:13" s="31" customFormat="1" x14ac:dyDescent="0.4">
      <c r="A221" s="47"/>
      <c r="B221" s="26"/>
    </row>
    <row r="222" spans="1:13" s="31" customFormat="1" x14ac:dyDescent="0.4">
      <c r="A222" s="47" t="s">
        <v>554</v>
      </c>
      <c r="B222" s="26"/>
      <c r="E222" s="31">
        <f>NS1_</f>
        <v>8</v>
      </c>
      <c r="F222" s="31">
        <f>Np</f>
        <v>1</v>
      </c>
      <c r="G222" s="31">
        <f>Gcomp</f>
        <v>0.14199999999999999</v>
      </c>
      <c r="K222" s="31">
        <f>fcross_iso</f>
        <v>1000</v>
      </c>
    </row>
    <row r="223" spans="1:13" s="31" customFormat="1" x14ac:dyDescent="0.4">
      <c r="A223" s="47" t="s">
        <v>560</v>
      </c>
      <c r="B223" s="26">
        <f>fz_rhp/5</f>
        <v>1720.1195944864335</v>
      </c>
      <c r="C223" s="31" t="s">
        <v>61</v>
      </c>
    </row>
    <row r="224" spans="1:13" s="31" customFormat="1" x14ac:dyDescent="0.4">
      <c r="A224" s="47" t="s">
        <v>561</v>
      </c>
      <c r="B224" s="26">
        <f>fopto</f>
        <v>9665.0842953722804</v>
      </c>
      <c r="C224" s="31" t="s">
        <v>61</v>
      </c>
      <c r="E224" s="31" t="s">
        <v>562</v>
      </c>
    </row>
    <row r="225" spans="1:11" s="31" customFormat="1" x14ac:dyDescent="0.4">
      <c r="A225" s="47" t="s">
        <v>565</v>
      </c>
      <c r="B225" s="1">
        <f>IF(B223&lt;B224,B223,B224)</f>
        <v>1720.1195944864335</v>
      </c>
      <c r="C225" s="31" t="s">
        <v>61</v>
      </c>
      <c r="E225" s="31" t="s">
        <v>555</v>
      </c>
    </row>
    <row r="226" spans="1:11" s="31" customFormat="1" x14ac:dyDescent="0.4">
      <c r="A226" s="47" t="s">
        <v>564</v>
      </c>
      <c r="B226" s="3">
        <f>'Design Converter'!H83*1000</f>
        <v>1000</v>
      </c>
      <c r="C226" s="31" t="s">
        <v>61</v>
      </c>
      <c r="E226" s="31" t="s">
        <v>566</v>
      </c>
    </row>
    <row r="227" spans="1:11" s="31" customFormat="1" x14ac:dyDescent="0.4">
      <c r="A227" s="47"/>
      <c r="B227" s="26"/>
    </row>
    <row r="228" spans="1:11" s="31" customFormat="1" x14ac:dyDescent="0.4">
      <c r="A228" s="47" t="s">
        <v>572</v>
      </c>
      <c r="B228" s="29">
        <f>(NS1_/Np)*(2*PI()*Acs*Cout_total*RLED*R_cs*fcross_iso)/(Gcomp*(1-Dc_VIN_min)*kopto_max)</f>
        <v>3.0568897530704713</v>
      </c>
      <c r="C228" s="2" t="s">
        <v>35</v>
      </c>
      <c r="E228" s="31" t="s">
        <v>576</v>
      </c>
    </row>
    <row r="229" spans="1:11" s="31" customFormat="1" x14ac:dyDescent="0.4">
      <c r="A229" s="47" t="s">
        <v>573</v>
      </c>
      <c r="B229" s="3">
        <f>'Design Converter'!H86*1000</f>
        <v>35200</v>
      </c>
      <c r="C229" s="2" t="s">
        <v>35</v>
      </c>
      <c r="E229" s="31" t="s">
        <v>574</v>
      </c>
      <c r="K229" s="31">
        <f>Gcomp</f>
        <v>0.14199999999999999</v>
      </c>
    </row>
    <row r="230" spans="1:11" s="31" customFormat="1" x14ac:dyDescent="0.4">
      <c r="A230" s="47" t="s">
        <v>575</v>
      </c>
      <c r="B230" s="1">
        <f>SQRT(((VOUT1^2)*Cout_total)/(2*PI()*(Rcomp_iso^2)*POUT_Total*fcross_iso*(1+Dc_VIN_max)))</f>
        <v>2.4552211950490304E-8</v>
      </c>
      <c r="C230" s="2" t="s">
        <v>151</v>
      </c>
      <c r="E230" s="31">
        <f>(2*PI()*(Rcomp_iso^2)*POUT_Total*fcross_iso*(1+Dc_VIN_max))</f>
        <v>1119753745313676.1</v>
      </c>
      <c r="H230" s="31">
        <f>Acs</f>
        <v>1</v>
      </c>
    </row>
    <row r="231" spans="1:11" s="31" customFormat="1" x14ac:dyDescent="0.4">
      <c r="A231" s="47" t="s">
        <v>577</v>
      </c>
      <c r="B231" s="3">
        <f>'Design Converter'!$H$87*(10^-9)</f>
        <v>3.3000000000000004E-8</v>
      </c>
      <c r="C231" s="2" t="s">
        <v>151</v>
      </c>
      <c r="E231" s="31">
        <f>(1+Dc_VIN_max)</f>
        <v>1.9177679882525696</v>
      </c>
      <c r="H231" s="31">
        <f>(NS1_/Np)</f>
        <v>8</v>
      </c>
      <c r="I231" s="31">
        <f>R_cs</f>
        <v>4.0000000000000001E-3</v>
      </c>
    </row>
    <row r="232" spans="1:11" s="31" customFormat="1" x14ac:dyDescent="0.4">
      <c r="A232" s="47"/>
      <c r="B232" s="26"/>
      <c r="E232" s="31">
        <f>fcross_iso</f>
        <v>1000</v>
      </c>
      <c r="F232" s="31">
        <f>POUT_Total</f>
        <v>75</v>
      </c>
    </row>
    <row r="233" spans="1:11" s="31" customFormat="1" x14ac:dyDescent="0.4">
      <c r="A233" s="47"/>
      <c r="B233" s="26"/>
    </row>
    <row r="234" spans="1:11" s="31" customFormat="1" x14ac:dyDescent="0.4">
      <c r="A234" s="47"/>
      <c r="B234" s="26"/>
    </row>
    <row r="235" spans="1:11" s="31" customFormat="1" x14ac:dyDescent="0.4">
      <c r="A235" s="47"/>
      <c r="B235" s="26"/>
    </row>
    <row r="236" spans="1:11" s="31" customFormat="1" x14ac:dyDescent="0.4">
      <c r="A236" s="193" t="s">
        <v>532</v>
      </c>
      <c r="B236" s="26"/>
    </row>
    <row r="237" spans="1:11" x14ac:dyDescent="0.4">
      <c r="A237" s="194" t="s">
        <v>243</v>
      </c>
    </row>
    <row r="238" spans="1:11" s="31" customFormat="1" x14ac:dyDescent="0.4">
      <c r="A238" s="31" t="s">
        <v>178</v>
      </c>
      <c r="B238" s="3">
        <f>'Design Converter'!H63*(10^3)</f>
        <v>30000000</v>
      </c>
      <c r="C238" s="2" t="s">
        <v>35</v>
      </c>
      <c r="E238" s="31" t="s">
        <v>229</v>
      </c>
    </row>
    <row r="239" spans="1:11" s="31" customFormat="1" x14ac:dyDescent="0.4">
      <c r="A239" s="31" t="s">
        <v>233</v>
      </c>
      <c r="B239" s="29">
        <f>(RFBT*Vref)/(VOUT1-Vref)</f>
        <v>20013.342228152102</v>
      </c>
      <c r="C239" s="2" t="s">
        <v>35</v>
      </c>
      <c r="E239" s="31" t="s">
        <v>236</v>
      </c>
    </row>
    <row r="240" spans="1:11" x14ac:dyDescent="0.4">
      <c r="A240" t="s">
        <v>179</v>
      </c>
      <c r="B240" s="3">
        <f>'Design Converter'!H65*(10^3)</f>
        <v>21000</v>
      </c>
      <c r="C240" s="2" t="s">
        <v>35</v>
      </c>
      <c r="E240" t="s">
        <v>237</v>
      </c>
    </row>
    <row r="241" spans="1:5" x14ac:dyDescent="0.4">
      <c r="A241" t="s">
        <v>238</v>
      </c>
      <c r="B241" s="1">
        <f>VOUT1/(RFBB+RFBT)</f>
        <v>4.9965024482862E-5</v>
      </c>
      <c r="C241" s="2" t="s">
        <v>12</v>
      </c>
      <c r="E241" t="s">
        <v>239</v>
      </c>
    </row>
    <row r="242" spans="1:5" s="31" customFormat="1" x14ac:dyDescent="0.4">
      <c r="B242" s="26"/>
      <c r="C242" s="2"/>
    </row>
    <row r="243" spans="1:5" s="31" customFormat="1" x14ac:dyDescent="0.4">
      <c r="A243" s="46" t="s">
        <v>244</v>
      </c>
      <c r="E243" s="31" t="s">
        <v>386</v>
      </c>
    </row>
    <row r="244" spans="1:5" s="31" customFormat="1" x14ac:dyDescent="0.4"/>
    <row r="249" spans="1:5" x14ac:dyDescent="0.4">
      <c r="A249" s="42" t="s">
        <v>557</v>
      </c>
    </row>
    <row r="251" spans="1:5" s="31" customFormat="1" x14ac:dyDescent="0.4">
      <c r="B251" s="26"/>
    </row>
    <row r="252" spans="1:5" s="31" customFormat="1" x14ac:dyDescent="0.4">
      <c r="A252" s="31" t="s">
        <v>245</v>
      </c>
      <c r="B252" s="28">
        <f>IF(B189=0,fz_rhp/5,Fsw/10)</f>
        <v>1720.1195944864335</v>
      </c>
      <c r="C252" s="31" t="s">
        <v>61</v>
      </c>
      <c r="E252" s="31" t="s">
        <v>250</v>
      </c>
    </row>
    <row r="253" spans="1:5" s="31" customFormat="1" x14ac:dyDescent="0.4">
      <c r="A253" s="31" t="s">
        <v>247</v>
      </c>
      <c r="B253" s="3">
        <f>'Design Converter'!H83*1000</f>
        <v>1000</v>
      </c>
      <c r="C253" s="31" t="s">
        <v>61</v>
      </c>
      <c r="E253" s="31" t="s">
        <v>248</v>
      </c>
    </row>
    <row r="254" spans="1:5" s="31" customFormat="1" x14ac:dyDescent="0.4"/>
    <row r="255" spans="1:5" s="31" customFormat="1" x14ac:dyDescent="0.4">
      <c r="A255" s="31" t="s">
        <v>256</v>
      </c>
      <c r="B255" s="32">
        <f>Gplant_fc_dB</f>
        <v>44.32796025752328</v>
      </c>
      <c r="C255" s="31" t="s">
        <v>228</v>
      </c>
      <c r="E255" s="31" t="s">
        <v>257</v>
      </c>
    </row>
    <row r="256" spans="1:5" s="31" customFormat="1" x14ac:dyDescent="0.4">
      <c r="A256" s="31" t="s">
        <v>252</v>
      </c>
      <c r="B256" s="32">
        <f>10^(B255/20)</f>
        <v>164.58794124450708</v>
      </c>
      <c r="C256" s="31" t="s">
        <v>144</v>
      </c>
      <c r="E256" s="31" t="s">
        <v>253</v>
      </c>
    </row>
    <row r="257" spans="1:5" s="31" customFormat="1" x14ac:dyDescent="0.4">
      <c r="A257" s="31" t="s">
        <v>258</v>
      </c>
      <c r="B257" s="32">
        <f>1/B256</f>
        <v>6.0757792608538011E-3</v>
      </c>
      <c r="C257" s="31" t="s">
        <v>144</v>
      </c>
      <c r="E257" s="31" t="s">
        <v>259</v>
      </c>
    </row>
    <row r="258" spans="1:5" s="31" customFormat="1" x14ac:dyDescent="0.4"/>
    <row r="259" spans="1:5" s="31" customFormat="1" x14ac:dyDescent="0.4">
      <c r="A259" s="31" t="s">
        <v>265</v>
      </c>
      <c r="B259" s="31">
        <f>fcross/10</f>
        <v>100</v>
      </c>
      <c r="C259" s="31" t="s">
        <v>61</v>
      </c>
      <c r="E259" s="31" t="s">
        <v>263</v>
      </c>
    </row>
    <row r="260" spans="1:5" s="31" customFormat="1" x14ac:dyDescent="0.4">
      <c r="A260" s="31" t="s">
        <v>266</v>
      </c>
      <c r="B260" s="70">
        <f>SQRT(B181*fcross)</f>
        <v>184.76771438302663</v>
      </c>
      <c r="C260" s="31" t="s">
        <v>61</v>
      </c>
      <c r="E260" s="31" t="s">
        <v>264</v>
      </c>
    </row>
    <row r="261" spans="1:5" s="31" customFormat="1" x14ac:dyDescent="0.4">
      <c r="A261" s="31" t="s">
        <v>262</v>
      </c>
      <c r="B261" s="70">
        <f>B260</f>
        <v>184.76771438302663</v>
      </c>
      <c r="C261" s="31" t="s">
        <v>61</v>
      </c>
    </row>
    <row r="262" spans="1:5" s="31" customFormat="1" x14ac:dyDescent="0.4"/>
    <row r="263" spans="1:5" s="31" customFormat="1" x14ac:dyDescent="0.4">
      <c r="A263" s="31" t="s">
        <v>269</v>
      </c>
      <c r="B263" s="44">
        <f>fz_rhp</f>
        <v>8600.5979724321678</v>
      </c>
      <c r="C263" s="31" t="s">
        <v>61</v>
      </c>
      <c r="E263" s="31" t="s">
        <v>415</v>
      </c>
    </row>
    <row r="264" spans="1:5" s="31" customFormat="1" x14ac:dyDescent="0.4">
      <c r="E264" s="31" t="s">
        <v>416</v>
      </c>
    </row>
    <row r="265" spans="1:5" s="31" customFormat="1" x14ac:dyDescent="0.4"/>
    <row r="266" spans="1:5" s="31" customFormat="1" x14ac:dyDescent="0.4"/>
    <row r="267" spans="1:5" s="31" customFormat="1" x14ac:dyDescent="0.4">
      <c r="A267" s="31" t="s">
        <v>260</v>
      </c>
      <c r="B267" s="28">
        <f>(2*PI()*Acs*Cout_total*NS1_*R_cs*VOUT1*fcross)/(Gcomp*Np*gm_ea*(1-Dc_VIN_min))</f>
        <v>4585.3346296057071</v>
      </c>
      <c r="C267" s="2" t="s">
        <v>35</v>
      </c>
      <c r="E267" s="31" t="s">
        <v>261</v>
      </c>
    </row>
    <row r="268" spans="1:5" x14ac:dyDescent="0.4">
      <c r="A268" t="s">
        <v>168</v>
      </c>
      <c r="B268" s="3">
        <f>'Design Converter'!H86*1000</f>
        <v>35200</v>
      </c>
      <c r="C268" s="2" t="s">
        <v>35</v>
      </c>
      <c r="E268" t="s">
        <v>175</v>
      </c>
    </row>
    <row r="269" spans="1:5" s="31" customFormat="1" x14ac:dyDescent="0.4">
      <c r="A269" s="31" t="s">
        <v>267</v>
      </c>
      <c r="B269" s="22">
        <f>SQRT((Cout_total*(VOUT1^2))/(2*PI()*(RCOMP^2)*fcross*POUT_Total*(1+Dc_VIN_min)))</f>
        <v>2.4470981102011187E-8</v>
      </c>
      <c r="C269" s="2" t="s">
        <v>151</v>
      </c>
    </row>
    <row r="270" spans="1:5" x14ac:dyDescent="0.4">
      <c r="A270" t="s">
        <v>173</v>
      </c>
      <c r="B270" s="3">
        <f>'Design Converter'!H87*(10^-9)</f>
        <v>3.3000000000000004E-8</v>
      </c>
      <c r="C270" t="s">
        <v>151</v>
      </c>
      <c r="E270" t="s">
        <v>176</v>
      </c>
    </row>
    <row r="271" spans="1:5" s="31" customFormat="1" x14ac:dyDescent="0.4">
      <c r="A271" s="31" t="s">
        <v>268</v>
      </c>
      <c r="B271" s="22">
        <f>(Dc_VIN_min*Lm*(NS1_^2)*POUT_Total)/((Np^2)*RCOMP*(VOUT1^2)*(1-Dc_VIN_min)^2)</f>
        <v>5.2571312615955491E-10</v>
      </c>
      <c r="C271" s="31" t="s">
        <v>151</v>
      </c>
    </row>
    <row r="272" spans="1:5" x14ac:dyDescent="0.4">
      <c r="A272" t="s">
        <v>174</v>
      </c>
      <c r="B272" s="3">
        <f>'Design Converter'!H88*(10^-12)</f>
        <v>6.7999999999999998E-11</v>
      </c>
      <c r="C272" t="s">
        <v>151</v>
      </c>
      <c r="E272" t="s">
        <v>177</v>
      </c>
    </row>
    <row r="275" spans="1:8" x14ac:dyDescent="0.4">
      <c r="A275" s="42" t="s">
        <v>330</v>
      </c>
    </row>
    <row r="276" spans="1:8" s="31" customFormat="1" x14ac:dyDescent="0.4"/>
    <row r="277" spans="1:8" x14ac:dyDescent="0.4">
      <c r="A277" s="42" t="s">
        <v>345</v>
      </c>
    </row>
    <row r="278" spans="1:8" x14ac:dyDescent="0.4">
      <c r="A278" t="s">
        <v>353</v>
      </c>
      <c r="B278" s="3">
        <f>'Design Converter'!H93*(10^-3)</f>
        <v>0.23500000000000001</v>
      </c>
      <c r="C278" s="2" t="s">
        <v>35</v>
      </c>
      <c r="E278" s="95" t="s">
        <v>333</v>
      </c>
    </row>
    <row r="279" spans="1:8" x14ac:dyDescent="0.4">
      <c r="A279" t="s">
        <v>346</v>
      </c>
      <c r="B279" s="3">
        <f>'Design Converter'!H94*(10^-9)</f>
        <v>1.6000000000000003E-9</v>
      </c>
      <c r="C279" t="s">
        <v>151</v>
      </c>
      <c r="E279" s="95" t="s">
        <v>334</v>
      </c>
    </row>
    <row r="280" spans="1:8" x14ac:dyDescent="0.4">
      <c r="A280" t="s">
        <v>348</v>
      </c>
      <c r="B280" s="3">
        <f>'Design Converter'!H95*(10^-9)</f>
        <v>3.8000000000000003E-10</v>
      </c>
      <c r="C280" t="s">
        <v>151</v>
      </c>
      <c r="E280" s="95" t="s">
        <v>335</v>
      </c>
    </row>
    <row r="281" spans="1:8" x14ac:dyDescent="0.4">
      <c r="A281" t="s">
        <v>347</v>
      </c>
      <c r="B281" s="3">
        <f>'Design Converter'!H96*(10^-9)</f>
        <v>3E-10</v>
      </c>
      <c r="C281" t="s">
        <v>151</v>
      </c>
      <c r="E281" s="95" t="s">
        <v>336</v>
      </c>
    </row>
    <row r="282" spans="1:8" x14ac:dyDescent="0.4">
      <c r="A282" t="s">
        <v>349</v>
      </c>
      <c r="B282" s="3">
        <f>'Design Converter'!H97</f>
        <v>1</v>
      </c>
      <c r="C282" s="2" t="s">
        <v>35</v>
      </c>
      <c r="E282" s="95" t="s">
        <v>337</v>
      </c>
    </row>
    <row r="283" spans="1:8" s="31" customFormat="1" x14ac:dyDescent="0.4">
      <c r="A283" s="31" t="s">
        <v>354</v>
      </c>
      <c r="B283" s="21">
        <v>1.5</v>
      </c>
      <c r="C283" s="2"/>
      <c r="E283" s="95" t="s">
        <v>355</v>
      </c>
      <c r="H283" s="31" t="s">
        <v>364</v>
      </c>
    </row>
    <row r="284" spans="1:8" x14ac:dyDescent="0.4">
      <c r="A284" t="s">
        <v>350</v>
      </c>
      <c r="B284" s="21">
        <v>50</v>
      </c>
      <c r="C284" s="2" t="s">
        <v>342</v>
      </c>
      <c r="E284" s="246" t="s">
        <v>669</v>
      </c>
    </row>
    <row r="285" spans="1:8" x14ac:dyDescent="0.4">
      <c r="A285" t="s">
        <v>351</v>
      </c>
      <c r="B285" s="3">
        <f>'Design Converter'!H98</f>
        <v>1.2</v>
      </c>
      <c r="C285" s="2" t="s">
        <v>11</v>
      </c>
      <c r="E285" s="95" t="s">
        <v>338</v>
      </c>
    </row>
    <row r="286" spans="1:8" s="31" customFormat="1" x14ac:dyDescent="0.4">
      <c r="A286" s="31" t="s">
        <v>360</v>
      </c>
      <c r="B286" s="21">
        <f>Vcc</f>
        <v>6.75</v>
      </c>
      <c r="C286" s="2" t="s">
        <v>11</v>
      </c>
      <c r="E286" s="95" t="s">
        <v>365</v>
      </c>
    </row>
    <row r="287" spans="1:8" s="31" customFormat="1" x14ac:dyDescent="0.4">
      <c r="B287" s="26"/>
      <c r="C287" s="2"/>
      <c r="E287" s="95"/>
    </row>
    <row r="288" spans="1:8" s="31" customFormat="1" x14ac:dyDescent="0.4">
      <c r="B288" s="26"/>
      <c r="C288" s="2"/>
      <c r="E288" s="95"/>
    </row>
    <row r="289" spans="1:5" x14ac:dyDescent="0.4">
      <c r="A289" t="s">
        <v>356</v>
      </c>
      <c r="B289" s="39">
        <f>Vth+(((VOUT1*IOUT1)/VIN_min)/gfs)</f>
        <v>1.3071428571428572</v>
      </c>
      <c r="C289" s="2" t="s">
        <v>11</v>
      </c>
      <c r="E289" s="95" t="s">
        <v>357</v>
      </c>
    </row>
    <row r="290" spans="1:5" x14ac:dyDescent="0.4">
      <c r="A290" t="s">
        <v>366</v>
      </c>
      <c r="B290" s="1">
        <f>(Qgd+(Qgs/2))*((Rgate+B283)/(Vcc-B289))</f>
        <v>2.4343832020997375E-10</v>
      </c>
      <c r="C290" s="2" t="s">
        <v>47</v>
      </c>
      <c r="E290" s="95" t="s">
        <v>358</v>
      </c>
    </row>
    <row r="291" spans="1:5" ht="15" thickBot="1" x14ac:dyDescent="0.45">
      <c r="A291" t="s">
        <v>367</v>
      </c>
      <c r="B291" s="1">
        <f>(Qgd+(Qgs/2))*((B283+Rgate)/B289)</f>
        <v>1.0136612021857923E-9</v>
      </c>
      <c r="C291" t="s">
        <v>47</v>
      </c>
      <c r="E291" s="96" t="s">
        <v>359</v>
      </c>
    </row>
  </sheetData>
  <mergeCells count="2">
    <mergeCell ref="A1:J1"/>
    <mergeCell ref="E5:H5"/>
  </mergeCells>
  <conditionalFormatting sqref="Q11:U17">
    <cfRule type="expression" priority="1">
      <formula>$B$23=0</formula>
    </cfRule>
  </conditionalFormatting>
  <pageMargins left="0.7" right="0.7" top="0.75" bottom="0.75" header="0.3" footer="0.3"/>
  <pageSetup orientation="portrait" r:id="rId1"/>
  <drawing r:id="rId2"/>
  <legacyDrawing r:id="rId3"/>
  <oleObjects>
    <mc:AlternateContent xmlns:mc="http://schemas.openxmlformats.org/markup-compatibility/2006">
      <mc:Choice Requires="x14">
        <oleObject progId="Mathcad" shapeId="2053" r:id="rId4">
          <objectPr defaultSize="0" autoPict="0" r:id="rId5">
            <anchor moveWithCells="1">
              <from>
                <xdr:col>8</xdr:col>
                <xdr:colOff>59871</xdr:colOff>
                <xdr:row>129</xdr:row>
                <xdr:rowOff>136071</xdr:rowOff>
              </from>
              <to>
                <xdr:col>13</xdr:col>
                <xdr:colOff>157843</xdr:colOff>
                <xdr:row>132</xdr:row>
                <xdr:rowOff>21771</xdr:rowOff>
              </to>
            </anchor>
          </objectPr>
        </oleObject>
      </mc:Choice>
      <mc:Fallback>
        <oleObject progId="Mathcad" shapeId="2053"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X708"/>
  <sheetViews>
    <sheetView topLeftCell="A37" zoomScale="55" zoomScaleNormal="55" workbookViewId="0">
      <selection activeCell="H35" sqref="H35"/>
    </sheetView>
  </sheetViews>
  <sheetFormatPr defaultColWidth="8.84375" defaultRowHeight="14.6" x14ac:dyDescent="0.4"/>
  <cols>
    <col min="1" max="1" width="13.07421875" style="31" customWidth="1"/>
    <col min="2" max="2" width="25" style="31" customWidth="1"/>
    <col min="3" max="14" width="8.84375" style="31"/>
    <col min="15" max="15" width="16.69140625" style="50" bestFit="1" customWidth="1"/>
    <col min="16" max="16" width="16.69140625" style="31" customWidth="1"/>
    <col min="17" max="32" width="8.84375" style="31"/>
    <col min="33" max="33" width="10.07421875" style="31" customWidth="1"/>
    <col min="34" max="34" width="12" style="31" bestFit="1" customWidth="1"/>
    <col min="35" max="44" width="8.84375" style="31"/>
    <col min="45" max="45" width="9.07421875" style="31" customWidth="1"/>
    <col min="46" max="16384" width="8.84375" style="31"/>
  </cols>
  <sheetData>
    <row r="1" spans="1:50" ht="27.45" x14ac:dyDescent="0.65">
      <c r="A1" s="284" t="s">
        <v>16</v>
      </c>
      <c r="B1" s="284"/>
      <c r="C1" s="284"/>
      <c r="D1" s="284"/>
      <c r="E1" s="284"/>
      <c r="F1" s="284"/>
      <c r="G1" s="284"/>
      <c r="H1" s="284"/>
      <c r="I1" s="284"/>
      <c r="J1" s="284"/>
      <c r="K1" s="284"/>
      <c r="L1" s="284"/>
      <c r="M1" s="284"/>
      <c r="N1" s="284" t="s">
        <v>183</v>
      </c>
      <c r="O1" s="284"/>
      <c r="P1" s="284"/>
      <c r="Q1" s="284"/>
      <c r="R1" s="284"/>
      <c r="S1" s="284"/>
      <c r="T1" s="284"/>
      <c r="U1" s="284"/>
      <c r="V1" s="284"/>
      <c r="W1" s="284"/>
      <c r="X1" s="284"/>
    </row>
    <row r="2" spans="1:50" x14ac:dyDescent="0.4">
      <c r="A2" s="11"/>
      <c r="B2" s="11" t="s">
        <v>17</v>
      </c>
      <c r="C2" s="12"/>
      <c r="D2" s="17"/>
      <c r="E2" s="11"/>
      <c r="F2" s="11"/>
      <c r="G2" s="11"/>
      <c r="H2" s="11"/>
      <c r="I2" s="11"/>
      <c r="J2" s="11"/>
      <c r="K2" s="11"/>
      <c r="L2" s="11"/>
      <c r="M2" s="11"/>
      <c r="O2" s="31"/>
    </row>
    <row r="3" spans="1:50" ht="15" thickBot="1" x14ac:dyDescent="0.45">
      <c r="A3" s="11"/>
      <c r="B3" s="11" t="s">
        <v>18</v>
      </c>
      <c r="C3" s="13"/>
      <c r="D3" s="17"/>
      <c r="E3" s="11"/>
      <c r="F3" s="23"/>
      <c r="G3" s="24"/>
      <c r="H3" s="24"/>
      <c r="I3" s="24"/>
      <c r="J3" s="24"/>
      <c r="K3" s="38"/>
      <c r="L3" s="11"/>
      <c r="M3" s="11"/>
      <c r="O3" s="31"/>
    </row>
    <row r="4" spans="1:50" ht="15" thickBot="1" x14ac:dyDescent="0.45">
      <c r="A4" s="11"/>
      <c r="B4" s="11" t="s">
        <v>19</v>
      </c>
      <c r="C4" s="14"/>
      <c r="D4" s="17"/>
      <c r="E4" s="11"/>
      <c r="F4" s="23"/>
      <c r="G4" s="24"/>
      <c r="H4" s="24"/>
      <c r="I4" s="24"/>
      <c r="J4" s="24"/>
      <c r="K4" s="38"/>
      <c r="L4" s="11"/>
      <c r="M4" s="11"/>
      <c r="N4" s="84"/>
      <c r="O4" s="90"/>
      <c r="P4" s="286" t="s">
        <v>214</v>
      </c>
      <c r="Q4" s="286"/>
      <c r="R4" s="286"/>
      <c r="S4" s="286"/>
      <c r="T4" s="286"/>
      <c r="U4" s="286"/>
      <c r="V4" s="286"/>
      <c r="W4" s="286"/>
      <c r="X4" s="286"/>
      <c r="Y4" s="286"/>
      <c r="Z4" s="286"/>
      <c r="AA4" s="286"/>
      <c r="AB4" s="286"/>
      <c r="AC4" s="286"/>
      <c r="AD4" s="286"/>
      <c r="AE4" s="287"/>
      <c r="AF4" s="288" t="s">
        <v>215</v>
      </c>
      <c r="AG4" s="286"/>
      <c r="AH4" s="286"/>
      <c r="AI4" s="286"/>
      <c r="AJ4" s="286"/>
      <c r="AK4" s="286"/>
      <c r="AL4" s="286"/>
      <c r="AM4" s="286"/>
      <c r="AN4" s="286"/>
      <c r="AO4" s="286"/>
      <c r="AP4" s="286"/>
      <c r="AQ4" s="286"/>
      <c r="AR4" s="286"/>
      <c r="AS4" s="286"/>
      <c r="AT4" s="286"/>
      <c r="AU4" s="287"/>
      <c r="AV4" s="288" t="s">
        <v>226</v>
      </c>
      <c r="AW4" s="286"/>
      <c r="AX4" s="287"/>
    </row>
    <row r="5" spans="1:50" x14ac:dyDescent="0.4">
      <c r="A5" s="11"/>
      <c r="D5" s="17"/>
      <c r="E5" s="11"/>
      <c r="F5" s="11"/>
      <c r="G5" s="11"/>
      <c r="H5" s="11"/>
      <c r="I5" s="11"/>
      <c r="J5" s="11"/>
      <c r="K5" s="11"/>
      <c r="L5" s="11"/>
      <c r="M5" s="11"/>
      <c r="N5" s="58"/>
      <c r="O5" s="61"/>
      <c r="P5" s="49"/>
      <c r="Q5" s="289" t="s">
        <v>206</v>
      </c>
      <c r="R5" s="289"/>
      <c r="S5" s="289"/>
      <c r="T5" s="290" t="s">
        <v>208</v>
      </c>
      <c r="U5" s="290"/>
      <c r="V5" s="290"/>
      <c r="W5" s="290" t="s">
        <v>208</v>
      </c>
      <c r="X5" s="290"/>
      <c r="Y5" s="290"/>
      <c r="Z5" s="290" t="s">
        <v>211</v>
      </c>
      <c r="AA5" s="290"/>
      <c r="AB5" s="290"/>
      <c r="AC5" s="291" t="s">
        <v>213</v>
      </c>
      <c r="AD5" s="290"/>
      <c r="AE5" s="292"/>
      <c r="AF5" s="49"/>
      <c r="AG5" s="290" t="s">
        <v>222</v>
      </c>
      <c r="AH5" s="290"/>
      <c r="AI5" s="290"/>
      <c r="AJ5" s="293" t="s">
        <v>223</v>
      </c>
      <c r="AK5" s="293"/>
      <c r="AL5" s="293"/>
      <c r="AM5" s="293" t="s">
        <v>578</v>
      </c>
      <c r="AN5" s="293"/>
      <c r="AO5" s="293"/>
      <c r="AP5" s="290" t="s">
        <v>579</v>
      </c>
      <c r="AQ5" s="290"/>
      <c r="AR5" s="290"/>
      <c r="AS5" s="291" t="s">
        <v>213</v>
      </c>
      <c r="AT5" s="290"/>
      <c r="AU5" s="292"/>
      <c r="AV5" s="291" t="s">
        <v>213</v>
      </c>
      <c r="AW5" s="290"/>
      <c r="AX5" s="292"/>
    </row>
    <row r="6" spans="1:50" ht="15" thickBot="1" x14ac:dyDescent="0.45">
      <c r="A6" s="10" t="s">
        <v>20</v>
      </c>
      <c r="B6" s="10" t="s">
        <v>21</v>
      </c>
      <c r="C6" s="10" t="s">
        <v>22</v>
      </c>
      <c r="D6" s="17"/>
      <c r="E6" s="285" t="s">
        <v>23</v>
      </c>
      <c r="F6" s="285"/>
      <c r="G6" s="285"/>
      <c r="H6" s="285"/>
      <c r="I6" s="285"/>
      <c r="J6" s="285"/>
      <c r="K6" s="285"/>
      <c r="L6" s="188"/>
      <c r="M6" s="25"/>
      <c r="N6" s="58"/>
      <c r="O6" s="61"/>
      <c r="P6" s="79" t="s">
        <v>189</v>
      </c>
      <c r="Q6" s="49" t="s">
        <v>212</v>
      </c>
      <c r="R6" s="79" t="s">
        <v>209</v>
      </c>
      <c r="S6" s="79" t="s">
        <v>210</v>
      </c>
      <c r="T6" s="79" t="s">
        <v>212</v>
      </c>
      <c r="U6" s="79" t="s">
        <v>209</v>
      </c>
      <c r="V6" s="79" t="s">
        <v>210</v>
      </c>
      <c r="W6" s="81" t="s">
        <v>212</v>
      </c>
      <c r="X6" s="79" t="s">
        <v>209</v>
      </c>
      <c r="Y6" s="79" t="s">
        <v>210</v>
      </c>
      <c r="Z6" s="81" t="s">
        <v>212</v>
      </c>
      <c r="AA6" s="81" t="s">
        <v>209</v>
      </c>
      <c r="AB6" s="81" t="s">
        <v>210</v>
      </c>
      <c r="AC6" s="82" t="s">
        <v>227</v>
      </c>
      <c r="AD6" s="81" t="s">
        <v>209</v>
      </c>
      <c r="AE6" s="83" t="s">
        <v>210</v>
      </c>
      <c r="AF6" s="79" t="s">
        <v>224</v>
      </c>
      <c r="AG6" s="81" t="s">
        <v>212</v>
      </c>
      <c r="AH6" s="81" t="s">
        <v>225</v>
      </c>
      <c r="AI6" s="81" t="s">
        <v>210</v>
      </c>
      <c r="AJ6" s="81" t="s">
        <v>212</v>
      </c>
      <c r="AK6" s="81" t="s">
        <v>225</v>
      </c>
      <c r="AL6" s="81" t="s">
        <v>210</v>
      </c>
      <c r="AM6" s="81" t="s">
        <v>212</v>
      </c>
      <c r="AN6" s="81" t="s">
        <v>225</v>
      </c>
      <c r="AO6" s="81" t="s">
        <v>210</v>
      </c>
      <c r="AP6" s="81" t="s">
        <v>212</v>
      </c>
      <c r="AQ6" s="81" t="s">
        <v>225</v>
      </c>
      <c r="AR6" s="81" t="s">
        <v>210</v>
      </c>
      <c r="AS6" s="82" t="s">
        <v>227</v>
      </c>
      <c r="AT6" s="81" t="s">
        <v>209</v>
      </c>
      <c r="AU6" s="83" t="s">
        <v>210</v>
      </c>
      <c r="AV6" s="82" t="s">
        <v>227</v>
      </c>
      <c r="AW6" s="81" t="s">
        <v>209</v>
      </c>
      <c r="AX6" s="83" t="s">
        <v>210</v>
      </c>
    </row>
    <row r="7" spans="1:50" ht="15" thickBot="1" x14ac:dyDescent="0.45">
      <c r="A7" s="10"/>
      <c r="B7" s="10"/>
      <c r="C7" s="10"/>
      <c r="D7" s="17"/>
      <c r="E7" s="188"/>
      <c r="F7" s="188"/>
      <c r="G7" s="188"/>
      <c r="H7" s="188"/>
      <c r="I7" s="188"/>
      <c r="J7" s="188"/>
      <c r="K7" s="188"/>
      <c r="L7" s="188"/>
      <c r="M7" s="25"/>
      <c r="N7" s="31" t="s">
        <v>395</v>
      </c>
      <c r="O7" s="90">
        <f>fcross</f>
        <v>1000</v>
      </c>
      <c r="P7" s="48" t="str">
        <f t="shared" ref="P7:P13" si="0">COMPLEX(Adc,0)</f>
        <v>5120.19230769231</v>
      </c>
      <c r="Q7" s="17" t="str">
        <f>IMSUM(COMPLEX(1,0),IMDIV(COMPLEX(0,2*PI()*O7),COMPLEX(wp_lf,0)))</f>
        <v>1+29.3618082623969i</v>
      </c>
      <c r="R7" s="17">
        <f>IMABS(Q7)</f>
        <v>29.378832251091243</v>
      </c>
      <c r="S7" s="17">
        <f>IMARGUMENT(Q7)</f>
        <v>1.5367516380527442</v>
      </c>
      <c r="T7" s="17" t="str">
        <f>IMSUM(COMPLEX(1,0),IMDIV(COMPLEX(0,2*PI()*O7),COMPLEX(wz_esr,0)))</f>
        <v>1+0.0000627690212187242i</v>
      </c>
      <c r="U7" s="17">
        <f>IMABS(T7)</f>
        <v>1.0000000019699748</v>
      </c>
      <c r="V7" s="17">
        <f>IMARGUMENT(T7)</f>
        <v>6.2769021136288596E-5</v>
      </c>
      <c r="W7" s="31" t="str">
        <f>IMSUB(COMPLEX(1,0),IMDIV(COMPLEX(0,2*PI()*O7),COMPLEX(wz_rhp,0)))</f>
        <v>1-0.101787601976309i</v>
      </c>
      <c r="X7" s="17">
        <f>IMABS(W7)</f>
        <v>1.00516700896721</v>
      </c>
      <c r="Y7" s="17">
        <f>IMARGUMENT(W7)</f>
        <v>-0.10143824039066934</v>
      </c>
      <c r="Z7" s="31" t="str">
        <f>IMSUM(COMPLEX(1,0),IMDIV(COMPLEX(0,2*PI()*O7),COMPLEX(Q*(wsl/2),0)),IMDIV(IMPOWER(COMPLEX(0,2*PI()*O7),2),IMPOWER(COMPLEX(wsl/2,0),2)))</f>
        <v>0.9996+0.61973092902173i</v>
      </c>
      <c r="AA7" s="17">
        <f>IMABS(Z7)</f>
        <v>1.1761235412940838</v>
      </c>
      <c r="AB7" s="17">
        <f>IMARGUMENT(Z7)</f>
        <v>0.55498050080793704</v>
      </c>
      <c r="AC7" s="66" t="str">
        <f>(IMDIV(IMPRODUCT(P7,T7,W7),IMPRODUCT(Q7,Z7)))</f>
        <v>-86.8244503776531-121.025872180499i</v>
      </c>
      <c r="AD7" s="64">
        <f>20*LOG(IMABS(AC7))</f>
        <v>43.460740545518547</v>
      </c>
      <c r="AE7" s="61">
        <f>(180/PI())*IMARGUMENT(AC7)</f>
        <v>-125.65581008421319</v>
      </c>
      <c r="AF7" s="31" t="str">
        <f t="shared" ref="AF7:AF13" si="1">COMPLEX(Adc_ea_iso,0)</f>
        <v>-10.0808080808081</v>
      </c>
      <c r="AG7" s="31" t="str">
        <f>COMPLEX(0,1*2*PI()*O7)</f>
        <v>6283.18530717959i</v>
      </c>
      <c r="AH7" s="31">
        <f>IMABS(AG7)</f>
        <v>6283.1853071795904</v>
      </c>
      <c r="AI7" s="31">
        <f>IMARGUMENT(AG7)</f>
        <v>1.5707963267948966</v>
      </c>
      <c r="AJ7" s="31" t="str">
        <f t="shared" ref="AJ7:AJ13" si="2">IMSUM(IMPRODUCT(COMPLEX(wpA_ea_iso,0),IMPOWER(COMPLEX(0,2*PI()*O7),2)),COMPLEX(0,wpB_ea_iso*2*PI()*O7),COMPLEX(1,0))</f>
        <v>0.244854175114187+8.4366653898064i</v>
      </c>
      <c r="AK7" s="31">
        <f>IMABS(AJ7)</f>
        <v>8.4402177973455164</v>
      </c>
      <c r="AL7" s="31">
        <f>IMARGUMENT(AJ7)</f>
        <v>1.5417818464764446</v>
      </c>
      <c r="AM7" s="31" t="str">
        <f t="shared" ref="AM7:AM13" si="3">IMSUM(COMPLEX(1,0),IMDIV(COMPLEX(0,2*PI()*O7),COMPLEX(wz1_ea_iso,0)))</f>
        <v>1+6227.65200216064i</v>
      </c>
      <c r="AN7" s="31">
        <f t="shared" ref="AN7:AN13" si="4">IMABS(AM7)</f>
        <v>6227.6520824477202</v>
      </c>
      <c r="AO7" s="31">
        <f>IMARGUMENT(AM7)</f>
        <v>1.5706357526345134</v>
      </c>
      <c r="AP7" s="31" t="str">
        <f t="shared" ref="AP7:AP13" si="5">IMSUM(COMPLEX(1,0),IMDIV(COMPLEX(0,2*PI()*O7),COMPLEX(wz2_ea_iso,0)))</f>
        <v>1+7.29854805281982i</v>
      </c>
      <c r="AQ7" s="31">
        <f>IMABS(AP7)</f>
        <v>7.3667362976639783</v>
      </c>
      <c r="AR7" s="31">
        <f>IMARGUMENT(AP7)</f>
        <v>1.4346306164353351</v>
      </c>
      <c r="AS7" s="58" t="str">
        <f>IMDIV(IMPRODUCT(AF7,AM7,AP7),IMPRODUCT(AG7,AJ7))</f>
        <v>-8.67073368102164+0.934060321955342i</v>
      </c>
      <c r="AT7" s="49">
        <f>20*LOG(IMABS(AS7))</f>
        <v>18.811225814460389</v>
      </c>
      <c r="AU7" s="61">
        <f>(180/PI())*IMARGUMENT(AS7)</f>
        <v>173.85148652732022</v>
      </c>
      <c r="AV7" s="58" t="str">
        <f>IMPRODUCT(AC7,AS7)</f>
        <v>865.877151359552+968.283832117126i</v>
      </c>
      <c r="AW7" s="64">
        <f>20*LOG(IMABS(AV7))</f>
        <v>62.271966359978926</v>
      </c>
      <c r="AX7" s="61">
        <f>(180/PI())*IMARGUMENT(AV7)</f>
        <v>48.195676443107011</v>
      </c>
    </row>
    <row r="8" spans="1:50" ht="15" thickBot="1" x14ac:dyDescent="0.45">
      <c r="A8" s="10"/>
      <c r="B8" s="10"/>
      <c r="C8" s="10"/>
      <c r="D8" s="17"/>
      <c r="E8" s="188"/>
      <c r="F8" s="188"/>
      <c r="G8" s="188"/>
      <c r="H8" s="188"/>
      <c r="I8" s="188"/>
      <c r="J8" s="188"/>
      <c r="K8" s="188"/>
      <c r="L8" s="188"/>
      <c r="M8" s="25"/>
      <c r="N8" s="84" t="s">
        <v>254</v>
      </c>
      <c r="O8" s="90">
        <f>fcross</f>
        <v>1000</v>
      </c>
      <c r="P8" s="48" t="str">
        <f t="shared" si="0"/>
        <v>5120.19230769231</v>
      </c>
      <c r="Q8" s="17" t="str">
        <f t="shared" ref="Q8:Q13" si="6">IMSUM(COMPLEX(1,0),IMDIV(COMPLEX(0,2*PI()*O8),COMPLEX(wp_lf,0)))</f>
        <v>1+29.3618082623969i</v>
      </c>
      <c r="R8" s="17">
        <f t="shared" ref="R8:R13" si="7">IMABS(Q8)</f>
        <v>29.378832251091243</v>
      </c>
      <c r="S8" s="17">
        <f t="shared" ref="S8:S13" si="8">IMARGUMENT(Q8)</f>
        <v>1.5367516380527442</v>
      </c>
      <c r="T8" s="17" t="str">
        <f t="shared" ref="T8:T13" si="9">IMSUM(COMPLEX(1,0),IMDIV(COMPLEX(0,2*PI()*O8),COMPLEX(wz_esr,0)))</f>
        <v>1+0.0000627690212187242i</v>
      </c>
      <c r="U8" s="17">
        <f t="shared" ref="U8:U13" si="10">IMABS(T8)</f>
        <v>1.0000000019699748</v>
      </c>
      <c r="V8" s="17">
        <f t="shared" ref="V8:V13" si="11">IMARGUMENT(T8)</f>
        <v>6.2769021136288596E-5</v>
      </c>
      <c r="W8" s="31" t="str">
        <f t="shared" ref="W8:W13" si="12">IMSUB(COMPLEX(1,0),IMDIV(COMPLEX(0,2*PI()*O8),COMPLEX(wz_rhp,0)))</f>
        <v>1-0.101787601976309i</v>
      </c>
      <c r="X8" s="17">
        <f t="shared" ref="X8:X13" si="13">IMABS(W8)</f>
        <v>1.00516700896721</v>
      </c>
      <c r="Y8" s="17">
        <f t="shared" ref="Y8:Y13" si="14">IMARGUMENT(W8)</f>
        <v>-0.10143824039066934</v>
      </c>
      <c r="Z8" s="31" t="str">
        <f t="shared" ref="Z8:Z13" si="15">IMSUM(COMPLEX(1,0),IMDIV(COMPLEX(0,2*PI()*O8),COMPLEX(Q*(wsl/2),0)),IMDIV(IMPOWER(COMPLEX(0,2*PI()*O8),2),IMPOWER(COMPLEX(wsl/2,0),2)))</f>
        <v>0.9996+0.61973092902173i</v>
      </c>
      <c r="AA8" s="17">
        <f t="shared" ref="AA8:AA13" si="16">IMABS(Z8)</f>
        <v>1.1761235412940838</v>
      </c>
      <c r="AB8" s="17">
        <f t="shared" ref="AB8:AB13" si="17">IMARGUMENT(Z8)</f>
        <v>0.55498050080793704</v>
      </c>
      <c r="AC8" s="66" t="str">
        <f t="shared" ref="AC8:AC13" si="18">(IMDIV(IMPRODUCT(P8,T8,W8),IMPRODUCT(Q8,Z8)))</f>
        <v>-86.8244503776531-121.025872180499i</v>
      </c>
      <c r="AD8" s="64">
        <f t="shared" ref="AD8:AD13" si="19">20*LOG(IMABS(AC8))</f>
        <v>43.460740545518547</v>
      </c>
      <c r="AE8" s="61">
        <f t="shared" ref="AE8:AE13" si="20">(180/PI())*IMARGUMENT(AC8)</f>
        <v>-125.65581008421319</v>
      </c>
      <c r="AF8" s="31" t="str">
        <f t="shared" si="1"/>
        <v>-10.0808080808081</v>
      </c>
      <c r="AG8" s="31" t="str">
        <f t="shared" ref="AG8:AG13" si="21">COMPLEX(0,1*2*PI()*O8)</f>
        <v>6283.18530717959i</v>
      </c>
      <c r="AH8" s="31">
        <f t="shared" ref="AH8:AH13" si="22">IMABS(AG8)</f>
        <v>6283.1853071795904</v>
      </c>
      <c r="AI8" s="31">
        <f t="shared" ref="AI8:AI13" si="23">IMARGUMENT(AG8)</f>
        <v>1.5707963267948966</v>
      </c>
      <c r="AJ8" s="31" t="str">
        <f t="shared" si="2"/>
        <v>0.244854175114187+8.4366653898064i</v>
      </c>
      <c r="AK8" s="31">
        <f t="shared" ref="AK8:AK13" si="24">IMABS(AJ8)</f>
        <v>8.4402177973455164</v>
      </c>
      <c r="AL8" s="31">
        <f t="shared" ref="AL8:AL13" si="25">IMARGUMENT(AJ8)</f>
        <v>1.5417818464764446</v>
      </c>
      <c r="AM8" s="31" t="str">
        <f t="shared" si="3"/>
        <v>1+6227.65200216064i</v>
      </c>
      <c r="AN8" s="31">
        <f t="shared" si="4"/>
        <v>6227.6520824477202</v>
      </c>
      <c r="AO8" s="31">
        <f t="shared" ref="AO8:AO13" si="26">IMARGUMENT(AM8)</f>
        <v>1.5706357526345134</v>
      </c>
      <c r="AP8" s="31" t="str">
        <f t="shared" si="5"/>
        <v>1+7.29854805281982i</v>
      </c>
      <c r="AQ8" s="31">
        <f t="shared" ref="AQ8:AQ13" si="27">IMABS(AP8)</f>
        <v>7.3667362976639783</v>
      </c>
      <c r="AR8" s="31">
        <f t="shared" ref="AR8:AR13" si="28">IMARGUMENT(AP8)</f>
        <v>1.4346306164353351</v>
      </c>
      <c r="AS8" s="58" t="str">
        <f t="shared" ref="AS8:AS13" si="29">IMDIV(IMPRODUCT(AF8,AM8,AP8),IMPRODUCT(AG8,AJ8))</f>
        <v>-8.67073368102164+0.934060321955342i</v>
      </c>
      <c r="AT8" s="49">
        <f t="shared" ref="AT8:AT13" si="30">20*LOG(IMABS(AS8))</f>
        <v>18.811225814460389</v>
      </c>
      <c r="AU8" s="61">
        <f t="shared" ref="AU8:AU13" si="31">(180/PI())*IMARGUMENT(AS8)</f>
        <v>173.85148652732022</v>
      </c>
      <c r="AV8" s="58" t="str">
        <f t="shared" ref="AV8:AV13" si="32">IMPRODUCT(AC8,AS8)</f>
        <v>865.877151359552+968.283832117126i</v>
      </c>
      <c r="AW8" s="64">
        <f t="shared" ref="AW8:AW13" si="33">20*LOG(IMABS(AV8))</f>
        <v>62.271966359978926</v>
      </c>
      <c r="AX8" s="61">
        <f t="shared" ref="AX8:AX13" si="34">(180/PI())*IMARGUMENT(AV8)</f>
        <v>48.195676443107011</v>
      </c>
    </row>
    <row r="9" spans="1:50" x14ac:dyDescent="0.4">
      <c r="A9" s="69" t="s">
        <v>159</v>
      </c>
      <c r="B9" s="10"/>
      <c r="C9" s="10"/>
      <c r="D9" s="17"/>
      <c r="E9" s="188"/>
      <c r="F9" s="188"/>
      <c r="G9" s="188"/>
      <c r="H9" s="188"/>
      <c r="I9" s="188"/>
      <c r="J9" s="188"/>
      <c r="K9" s="188"/>
      <c r="L9" s="188"/>
      <c r="M9" s="25"/>
      <c r="N9" s="71" t="s">
        <v>255</v>
      </c>
      <c r="O9" s="91">
        <f>wz_rhp/(2*PI())</f>
        <v>9824.3792032034162</v>
      </c>
      <c r="P9" s="48" t="str">
        <f t="shared" si="0"/>
        <v>5120.19230769231</v>
      </c>
      <c r="Q9" s="17" t="str">
        <f t="shared" si="6"/>
        <v>1+288.461538461539i</v>
      </c>
      <c r="R9" s="17">
        <f t="shared" si="7"/>
        <v>288.46327178966465</v>
      </c>
      <c r="S9" s="17">
        <f t="shared" si="8"/>
        <v>1.5673296740153397</v>
      </c>
      <c r="T9" s="17" t="str">
        <f t="shared" si="9"/>
        <v>1+0.000616666666666667i</v>
      </c>
      <c r="U9" s="17">
        <f t="shared" si="10"/>
        <v>1.0000001901388709</v>
      </c>
      <c r="V9" s="17">
        <f t="shared" si="11"/>
        <v>6.1666658849847487E-4</v>
      </c>
      <c r="W9" s="31" t="str">
        <f t="shared" si="12"/>
        <v>1-i</v>
      </c>
      <c r="X9" s="17">
        <f t="shared" si="13"/>
        <v>1.4142135623730951</v>
      </c>
      <c r="Y9" s="17">
        <f t="shared" si="14"/>
        <v>-0.78539816339744828</v>
      </c>
      <c r="Z9" s="31" t="str">
        <f t="shared" si="15"/>
        <v>0.961392629308666+6.08847165066301i</v>
      </c>
      <c r="AA9" s="17">
        <f t="shared" si="16"/>
        <v>6.1639080808052444</v>
      </c>
      <c r="AB9" s="17">
        <f t="shared" si="17"/>
        <v>1.4141856360512461</v>
      </c>
      <c r="AC9" s="66" t="str">
        <f t="shared" si="18"/>
        <v>-3.30330328557499+2.38179626139308i</v>
      </c>
      <c r="AD9" s="64">
        <f t="shared" si="19"/>
        <v>12.197093490071769</v>
      </c>
      <c r="AE9" s="61">
        <f t="shared" si="20"/>
        <v>144.20708857243335</v>
      </c>
      <c r="AF9" s="31" t="str">
        <f t="shared" si="1"/>
        <v>-10.0808080808081</v>
      </c>
      <c r="AG9" s="31" t="str">
        <f t="shared" si="21"/>
        <v>61728.3950617284i</v>
      </c>
      <c r="AH9" s="31">
        <f t="shared" si="22"/>
        <v>61728.395061728399</v>
      </c>
      <c r="AI9" s="31">
        <f t="shared" si="23"/>
        <v>1.5707963267948966</v>
      </c>
      <c r="AJ9" s="31" t="str">
        <f t="shared" si="2"/>
        <v>-71.8854869684498+82.885i</v>
      </c>
      <c r="AK9" s="31">
        <f t="shared" si="24"/>
        <v>109.71529730029066</v>
      </c>
      <c r="AL9" s="31">
        <f t="shared" si="25"/>
        <v>2.2852439495381414</v>
      </c>
      <c r="AM9" s="31" t="str">
        <f t="shared" si="3"/>
        <v>1+61182.814814815i</v>
      </c>
      <c r="AN9" s="31">
        <f t="shared" si="4"/>
        <v>61182.814822987231</v>
      </c>
      <c r="AO9" s="31">
        <f t="shared" si="26"/>
        <v>1.5707799823360329</v>
      </c>
      <c r="AP9" s="31" t="str">
        <f t="shared" si="5"/>
        <v>1+71.7037037037038i</v>
      </c>
      <c r="AQ9" s="31">
        <f t="shared" si="27"/>
        <v>71.71067650516585</v>
      </c>
      <c r="AR9" s="31">
        <f t="shared" si="28"/>
        <v>1.5568509498757486</v>
      </c>
      <c r="AS9" s="58" t="str">
        <f t="shared" si="29"/>
        <v>-4.87339496509096+4.34734620243094i</v>
      </c>
      <c r="AT9" s="49">
        <f t="shared" si="30"/>
        <v>16.299129002443237</v>
      </c>
      <c r="AU9" s="61">
        <f t="shared" si="31"/>
        <v>138.26521882395954</v>
      </c>
      <c r="AV9" s="58" t="str">
        <f t="shared" si="32"/>
        <v>5.74380866815816-25.9680369021676i</v>
      </c>
      <c r="AW9" s="64">
        <f t="shared" si="33"/>
        <v>28.49622249251501</v>
      </c>
      <c r="AX9" s="61">
        <f t="shared" si="34"/>
        <v>-77.527692603607093</v>
      </c>
    </row>
    <row r="10" spans="1:50" x14ac:dyDescent="0.4">
      <c r="A10" s="31" t="s">
        <v>26</v>
      </c>
      <c r="B10" s="3">
        <f>VIN_min</f>
        <v>14</v>
      </c>
      <c r="C10" s="31" t="s">
        <v>11</v>
      </c>
      <c r="E10" s="31" t="s">
        <v>29</v>
      </c>
      <c r="N10" s="58" t="s">
        <v>208</v>
      </c>
      <c r="O10" s="92">
        <f>wz_esr/(2*PI())</f>
        <v>15931425.734924462</v>
      </c>
      <c r="P10" s="48" t="str">
        <f t="shared" si="0"/>
        <v>5120.19230769231</v>
      </c>
      <c r="Q10" s="17" t="str">
        <f t="shared" si="6"/>
        <v>1+467775.467775468i</v>
      </c>
      <c r="R10" s="17">
        <f t="shared" si="7"/>
        <v>467775.46777653688</v>
      </c>
      <c r="S10" s="17">
        <f t="shared" si="8"/>
        <v>1.5707941890171189</v>
      </c>
      <c r="T10" s="17" t="str">
        <f t="shared" si="9"/>
        <v>1+i</v>
      </c>
      <c r="U10" s="17">
        <f t="shared" si="10"/>
        <v>1.4142135623730951</v>
      </c>
      <c r="V10" s="17">
        <f t="shared" si="11"/>
        <v>0.78539816339744828</v>
      </c>
      <c r="W10" s="31" t="str">
        <f t="shared" si="12"/>
        <v>1-1621.62162162162i</v>
      </c>
      <c r="X10" s="17">
        <f t="shared" si="13"/>
        <v>1621.6219299549241</v>
      </c>
      <c r="Y10" s="17">
        <f t="shared" si="14"/>
        <v>-1.5701796602063982</v>
      </c>
      <c r="Z10" s="31" t="str">
        <f t="shared" si="15"/>
        <v>-101523.130378965+9873.19727134542i</v>
      </c>
      <c r="AA10" s="17">
        <f t="shared" si="16"/>
        <v>102002.0883428532</v>
      </c>
      <c r="AB10" s="17">
        <f t="shared" si="17"/>
        <v>3.0446467974233875</v>
      </c>
      <c r="AC10" s="66" t="str">
        <f t="shared" si="18"/>
        <v>0.0001562376198136+0.000190139414781409i</v>
      </c>
      <c r="AD10" s="64">
        <f t="shared" si="19"/>
        <v>-72.177912511916745</v>
      </c>
      <c r="AE10" s="61">
        <f t="shared" si="20"/>
        <v>50.590043278149224</v>
      </c>
      <c r="AF10" s="31" t="str">
        <f t="shared" si="1"/>
        <v>-10.0808080808081</v>
      </c>
      <c r="AG10" s="31" t="str">
        <f t="shared" si="21"/>
        <v>100100100.1001i</v>
      </c>
      <c r="AH10" s="31">
        <f t="shared" si="22"/>
        <v>100100100.1001</v>
      </c>
      <c r="AI10" s="31">
        <f t="shared" si="23"/>
        <v>1.5707963267948966</v>
      </c>
      <c r="AJ10" s="31" t="str">
        <f t="shared" si="2"/>
        <v>-191663806.952095+134408.108108131i</v>
      </c>
      <c r="AK10" s="31">
        <f t="shared" si="24"/>
        <v>191663854.08028677</v>
      </c>
      <c r="AL10" s="31">
        <f t="shared" si="25"/>
        <v>3.1408913835471468</v>
      </c>
      <c r="AM10" s="31" t="str">
        <f t="shared" si="3"/>
        <v>1+99215375.3753756i</v>
      </c>
      <c r="AN10" s="31">
        <f t="shared" si="4"/>
        <v>99215375.375375599</v>
      </c>
      <c r="AO10" s="31">
        <f t="shared" si="26"/>
        <v>1.5707963167158137</v>
      </c>
      <c r="AP10" s="31" t="str">
        <f t="shared" si="5"/>
        <v>1+116276.276276276i</v>
      </c>
      <c r="AQ10" s="31">
        <f t="shared" si="27"/>
        <v>116276.2762805761</v>
      </c>
      <c r="AR10" s="31">
        <f t="shared" si="28"/>
        <v>1.5707877265882852</v>
      </c>
      <c r="AS10" s="58" t="str">
        <f t="shared" si="29"/>
        <v>-4.19865929183094E-06+0.00606164654177699i</v>
      </c>
      <c r="AT10" s="49">
        <f t="shared" si="30"/>
        <v>-44.348185740356591</v>
      </c>
      <c r="AU10" s="61">
        <f t="shared" si="31"/>
        <v>90.039686480711907</v>
      </c>
      <c r="AV10" s="58" t="str">
        <f t="shared" si="32"/>
        <v>-1.15321391459939E-06+9.46258897217961E-07i</v>
      </c>
      <c r="AW10" s="64">
        <f t="shared" si="33"/>
        <v>-116.52609825227333</v>
      </c>
      <c r="AX10" s="61">
        <f t="shared" si="34"/>
        <v>140.62972975886109</v>
      </c>
    </row>
    <row r="11" spans="1:50" ht="15" thickBot="1" x14ac:dyDescent="0.45">
      <c r="A11" s="31" t="s">
        <v>27</v>
      </c>
      <c r="B11" s="3">
        <f>VIN_nom</f>
        <v>15</v>
      </c>
      <c r="C11" s="31" t="s">
        <v>11</v>
      </c>
      <c r="E11" s="31" t="s">
        <v>30</v>
      </c>
      <c r="N11" s="62" t="s">
        <v>206</v>
      </c>
      <c r="O11" s="93">
        <f>wp_lf/(2*PI())</f>
        <v>34.057847904438518</v>
      </c>
      <c r="P11" s="48" t="str">
        <f t="shared" si="0"/>
        <v>5120.19230769231</v>
      </c>
      <c r="Q11" s="17" t="str">
        <f t="shared" si="6"/>
        <v>1+i</v>
      </c>
      <c r="R11" s="17">
        <f t="shared" si="7"/>
        <v>1.4142135623730951</v>
      </c>
      <c r="S11" s="17">
        <f t="shared" si="8"/>
        <v>0.78539816339744828</v>
      </c>
      <c r="T11" s="17" t="str">
        <f t="shared" si="9"/>
        <v>1+2.13777777777778E-06i</v>
      </c>
      <c r="U11" s="17">
        <f t="shared" si="10"/>
        <v>1.0000000000022851</v>
      </c>
      <c r="V11" s="17">
        <f t="shared" si="11"/>
        <v>2.1377777777745234E-6</v>
      </c>
      <c r="W11" s="31" t="str">
        <f t="shared" si="12"/>
        <v>1-0.00346666666666666i</v>
      </c>
      <c r="X11" s="17">
        <f t="shared" si="13"/>
        <v>1.0000060088708356</v>
      </c>
      <c r="Y11" s="17">
        <f t="shared" si="14"/>
        <v>-3.4666527795569188E-3</v>
      </c>
      <c r="Z11" s="31" t="str">
        <f t="shared" si="15"/>
        <v>0.999999536025198+0.0211067017222984i</v>
      </c>
      <c r="AA11" s="17">
        <f t="shared" si="16"/>
        <v>1.0002222577548479</v>
      </c>
      <c r="AB11" s="17">
        <f t="shared" si="17"/>
        <v>2.1103578053482161E-2</v>
      </c>
      <c r="AC11" s="66" t="str">
        <f t="shared" si="18"/>
        <v>2495.89348261107-2621.64699554851i</v>
      </c>
      <c r="AD11" s="64">
        <f t="shared" si="19"/>
        <v>71.173547400025441</v>
      </c>
      <c r="AE11" s="61">
        <f t="shared" si="20"/>
        <v>-46.407648042751248</v>
      </c>
      <c r="AF11" s="31" t="str">
        <f t="shared" si="1"/>
        <v>-10.0808080808081</v>
      </c>
      <c r="AG11" s="31" t="str">
        <f t="shared" si="21"/>
        <v>213.991769547325i</v>
      </c>
      <c r="AH11" s="31">
        <f t="shared" si="22"/>
        <v>213.99176954732499</v>
      </c>
      <c r="AI11" s="31">
        <f t="shared" si="23"/>
        <v>1.5707963267948966</v>
      </c>
      <c r="AJ11" s="31" t="str">
        <f t="shared" si="2"/>
        <v>0.999124078414388+0.287334666666667i</v>
      </c>
      <c r="AK11" s="31">
        <f t="shared" si="24"/>
        <v>1.0396201877300406</v>
      </c>
      <c r="AL11" s="31">
        <f t="shared" si="25"/>
        <v>0.28002978138492529</v>
      </c>
      <c r="AM11" s="31" t="str">
        <f t="shared" si="3"/>
        <v>1+212.100424691359i</v>
      </c>
      <c r="AN11" s="31">
        <f t="shared" si="4"/>
        <v>212.10278205213351</v>
      </c>
      <c r="AO11" s="31">
        <f t="shared" si="26"/>
        <v>1.5660816139793117</v>
      </c>
      <c r="AP11" s="31" t="str">
        <f t="shared" si="5"/>
        <v>1+0.248572839506173i</v>
      </c>
      <c r="AQ11" s="31">
        <f t="shared" si="27"/>
        <v>1.0304311993239343</v>
      </c>
      <c r="AR11" s="31">
        <f t="shared" si="28"/>
        <v>0.24363500285423795</v>
      </c>
      <c r="AS11" s="58" t="str">
        <f t="shared" si="29"/>
        <v>-9.89513803862934+0.407013400302366i</v>
      </c>
      <c r="AT11" s="49">
        <f t="shared" si="30"/>
        <v>19.915778743877752</v>
      </c>
      <c r="AU11" s="61">
        <f t="shared" si="31"/>
        <v>177.644599647929</v>
      </c>
      <c r="AV11" s="58" t="str">
        <f t="shared" si="32"/>
        <v>-23630.1650821012+26957.4210026604i</v>
      </c>
      <c r="AW11" s="64">
        <f t="shared" si="33"/>
        <v>91.089326143903193</v>
      </c>
      <c r="AX11" s="61">
        <f t="shared" si="34"/>
        <v>131.23695160517781</v>
      </c>
    </row>
    <row r="12" spans="1:50" x14ac:dyDescent="0.4">
      <c r="A12" s="31" t="s">
        <v>28</v>
      </c>
      <c r="B12" s="3">
        <f>VIN_max</f>
        <v>16.8</v>
      </c>
      <c r="C12" s="31" t="s">
        <v>11</v>
      </c>
      <c r="E12" s="31" t="s">
        <v>31</v>
      </c>
      <c r="N12" s="71" t="s">
        <v>217</v>
      </c>
      <c r="O12" s="77">
        <f>wz2_ea_iso/(2*PI())</f>
        <v>137.01355293723773</v>
      </c>
      <c r="P12" s="48" t="str">
        <f t="shared" si="0"/>
        <v>5120.19230769231</v>
      </c>
      <c r="Q12" s="17" t="str">
        <f t="shared" si="6"/>
        <v>1+4.02296567069295i</v>
      </c>
      <c r="R12" s="17">
        <f t="shared" si="7"/>
        <v>4.1453893408911515</v>
      </c>
      <c r="S12" s="17">
        <f t="shared" si="8"/>
        <v>1.3271613239406592</v>
      </c>
      <c r="T12" s="17" t="str">
        <f t="shared" si="9"/>
        <v>1+8.60020661157026E-06i</v>
      </c>
      <c r="U12" s="17">
        <f t="shared" si="10"/>
        <v>1.0000000000369818</v>
      </c>
      <c r="V12" s="17">
        <f t="shared" si="11"/>
        <v>8.6002066113582261E-6</v>
      </c>
      <c r="W12" s="31" t="str">
        <f t="shared" si="12"/>
        <v>1-0.0139462809917355i</v>
      </c>
      <c r="X12" s="17">
        <f t="shared" si="13"/>
        <v>1.0000972446484895</v>
      </c>
      <c r="Y12" s="17">
        <f t="shared" si="14"/>
        <v>-1.394537691914813E-2</v>
      </c>
      <c r="Z12" s="31" t="str">
        <f t="shared" si="15"/>
        <v>0.999992490914525+0.0849115364503622i</v>
      </c>
      <c r="AA12" s="17">
        <f t="shared" si="16"/>
        <v>1.0035910277138778</v>
      </c>
      <c r="AB12" s="17">
        <f t="shared" si="17"/>
        <v>8.4708977930998949E-2</v>
      </c>
      <c r="AC12" s="66" t="str">
        <f t="shared" si="18"/>
        <v>177.835935147211-1217.93883828962i</v>
      </c>
      <c r="AD12" s="64">
        <f t="shared" si="19"/>
        <v>61.804128144805773</v>
      </c>
      <c r="AE12" s="61">
        <f t="shared" si="20"/>
        <v>-81.692728002752048</v>
      </c>
      <c r="AF12" s="31" t="str">
        <f t="shared" si="1"/>
        <v>-10.0808080808081</v>
      </c>
      <c r="AG12" s="31" t="str">
        <f t="shared" si="21"/>
        <v>860.881542699725i</v>
      </c>
      <c r="AH12" s="31">
        <f t="shared" si="22"/>
        <v>860.88154269972495</v>
      </c>
      <c r="AI12" s="31">
        <f t="shared" si="23"/>
        <v>1.5707963267948966</v>
      </c>
      <c r="AJ12" s="31" t="str">
        <f t="shared" si="2"/>
        <v>0.985823863636364+1.1559375i</v>
      </c>
      <c r="AK12" s="31">
        <f t="shared" si="24"/>
        <v>1.5192235497191249</v>
      </c>
      <c r="AL12" s="31">
        <f t="shared" si="25"/>
        <v>0.86465874694865574</v>
      </c>
      <c r="AM12" s="31" t="str">
        <f t="shared" si="3"/>
        <v>1+853.272727272731i</v>
      </c>
      <c r="AN12" s="31">
        <f t="shared" si="4"/>
        <v>853.27331325164766</v>
      </c>
      <c r="AO12" s="31">
        <f t="shared" si="26"/>
        <v>1.5696243690957821</v>
      </c>
      <c r="AP12" s="31" t="str">
        <f t="shared" si="5"/>
        <v>1+i</v>
      </c>
      <c r="AQ12" s="31">
        <f t="shared" si="27"/>
        <v>1.4142135623730951</v>
      </c>
      <c r="AR12" s="31">
        <f t="shared" si="28"/>
        <v>0.78539816339744828</v>
      </c>
      <c r="AS12" s="58" t="str">
        <f t="shared" si="29"/>
        <v>-9.27101104933994+0.747303207013936i</v>
      </c>
      <c r="AT12" s="49">
        <f t="shared" si="30"/>
        <v>19.370668539950998</v>
      </c>
      <c r="AU12" s="61">
        <f t="shared" si="31"/>
        <v>175.39155485084467</v>
      </c>
      <c r="AV12" s="58" t="str">
        <f t="shared" si="32"/>
        <v>-738.549319918833+11424.4217918612i</v>
      </c>
      <c r="AW12" s="64">
        <f t="shared" si="33"/>
        <v>81.174796684756814</v>
      </c>
      <c r="AX12" s="61">
        <f t="shared" si="34"/>
        <v>93.698826848092594</v>
      </c>
    </row>
    <row r="13" spans="1:50" ht="15" thickBot="1" x14ac:dyDescent="0.45">
      <c r="A13" s="31" t="s">
        <v>60</v>
      </c>
      <c r="B13" s="3">
        <f>Fsw</f>
        <v>100000</v>
      </c>
      <c r="C13" s="31" t="s">
        <v>61</v>
      </c>
      <c r="E13" s="31" t="s">
        <v>62</v>
      </c>
      <c r="M13" s="201"/>
      <c r="N13" s="62" t="s">
        <v>223</v>
      </c>
      <c r="O13" s="63">
        <f>wpB_ea_iso/(2*PI())</f>
        <v>2.137032308223823E-4</v>
      </c>
      <c r="P13" s="48" t="str">
        <f t="shared" si="0"/>
        <v>5120.19230769231</v>
      </c>
      <c r="Q13" s="17" t="str">
        <f t="shared" si="6"/>
        <v>1+6.27471328846154E-06i</v>
      </c>
      <c r="R13" s="17">
        <f t="shared" si="7"/>
        <v>1.000000000019686</v>
      </c>
      <c r="S13" s="17">
        <f t="shared" si="8"/>
        <v>6.2747132883791906E-6</v>
      </c>
      <c r="T13" s="17" t="str">
        <f t="shared" si="9"/>
        <v>1+1.341394263E-11i</v>
      </c>
      <c r="U13" s="17">
        <f t="shared" si="10"/>
        <v>1</v>
      </c>
      <c r="V13" s="17">
        <f t="shared" si="11"/>
        <v>1.3413942630000001E-11</v>
      </c>
      <c r="W13" s="31" t="str">
        <f t="shared" si="12"/>
        <v>1-0.0000000217523394i</v>
      </c>
      <c r="X13" s="17">
        <f t="shared" si="13"/>
        <v>1.0000000000000002</v>
      </c>
      <c r="Y13" s="17">
        <f t="shared" si="14"/>
        <v>-2.1752339399999998E-8</v>
      </c>
      <c r="Z13" s="31" t="str">
        <f t="shared" si="15"/>
        <v>1+0.0000001324385017725i</v>
      </c>
      <c r="AA13" s="17">
        <f t="shared" si="16"/>
        <v>1.0000000000000089</v>
      </c>
      <c r="AB13" s="17">
        <f t="shared" si="17"/>
        <v>1.3243850177249924E-7</v>
      </c>
      <c r="AC13" s="66" t="str">
        <f t="shared" si="18"/>
        <v>5120.19230748566-0.032917156788181i</v>
      </c>
      <c r="AD13" s="64">
        <f t="shared" si="19"/>
        <v>74.185725456068838</v>
      </c>
      <c r="AE13" s="61">
        <f t="shared" si="20"/>
        <v>-3.6834830495523891E-4</v>
      </c>
      <c r="AF13" s="31" t="str">
        <f t="shared" si="1"/>
        <v>-10.0808080808081</v>
      </c>
      <c r="AG13" s="31" t="str">
        <f t="shared" si="21"/>
        <v>0.001342737i</v>
      </c>
      <c r="AH13" s="31">
        <f t="shared" si="22"/>
        <v>1.3427370000000001E-3</v>
      </c>
      <c r="AI13" s="31">
        <f t="shared" si="23"/>
        <v>1.5707963267948966</v>
      </c>
      <c r="AJ13" s="31" t="str">
        <f t="shared" si="2"/>
        <v>0.999999999999965+0.000001802942651169i</v>
      </c>
      <c r="AK13" s="31">
        <f t="shared" si="24"/>
        <v>1.0000000000015903</v>
      </c>
      <c r="AL13" s="31">
        <f t="shared" si="25"/>
        <v>1.8029426511671096E-6</v>
      </c>
      <c r="AM13" s="31" t="str">
        <f t="shared" si="3"/>
        <v>1+0.0013308693532992i</v>
      </c>
      <c r="AN13" s="31">
        <f t="shared" si="4"/>
        <v>1.0000008856062257</v>
      </c>
      <c r="AO13" s="31">
        <f t="shared" si="26"/>
        <v>1.3308685675488972E-3</v>
      </c>
      <c r="AP13" s="31" t="str">
        <f t="shared" si="5"/>
        <v>1+0.0000015597232992i</v>
      </c>
      <c r="AQ13" s="31">
        <f t="shared" si="27"/>
        <v>1.0000000000012164</v>
      </c>
      <c r="AR13" s="31">
        <f t="shared" si="28"/>
        <v>1.5597232991987351E-6</v>
      </c>
      <c r="AS13" s="58" t="str">
        <f t="shared" si="29"/>
        <v>-9.98988385932933+7507.65643909951i</v>
      </c>
      <c r="AT13" s="49">
        <f t="shared" si="30"/>
        <v>77.510095499037618</v>
      </c>
      <c r="AU13" s="61">
        <f t="shared" si="31"/>
        <v>90.076239216564801</v>
      </c>
      <c r="AV13" s="58" t="str">
        <f t="shared" si="32"/>
        <v>-50902.9957850956+38440645.0755611i</v>
      </c>
      <c r="AW13" s="64">
        <f t="shared" si="33"/>
        <v>151.69582095510646</v>
      </c>
      <c r="AX13" s="61">
        <f t="shared" si="34"/>
        <v>90.075870868259855</v>
      </c>
    </row>
    <row r="14" spans="1:50" x14ac:dyDescent="0.4">
      <c r="B14" s="26"/>
    </row>
    <row r="15" spans="1:50" ht="15" thickBot="1" x14ac:dyDescent="0.45">
      <c r="A15" s="68" t="s">
        <v>216</v>
      </c>
      <c r="O15" s="50" t="s">
        <v>185</v>
      </c>
      <c r="P15" s="31">
        <f>B16</f>
        <v>15</v>
      </c>
      <c r="Q15" s="31" t="s">
        <v>11</v>
      </c>
    </row>
    <row r="16" spans="1:50" ht="15" thickBot="1" x14ac:dyDescent="0.45">
      <c r="A16" s="31" t="s">
        <v>187</v>
      </c>
      <c r="B16" s="43">
        <f>VIN_var</f>
        <v>15</v>
      </c>
      <c r="C16" s="31" t="s">
        <v>11</v>
      </c>
      <c r="E16" s="31" t="s">
        <v>188</v>
      </c>
      <c r="O16" s="67"/>
      <c r="P16" s="286" t="s">
        <v>214</v>
      </c>
      <c r="Q16" s="286"/>
      <c r="R16" s="286"/>
      <c r="S16" s="286"/>
      <c r="T16" s="286"/>
      <c r="U16" s="286"/>
      <c r="V16" s="286"/>
      <c r="W16" s="286"/>
      <c r="X16" s="286"/>
      <c r="Y16" s="286"/>
      <c r="Z16" s="286"/>
      <c r="AA16" s="286"/>
      <c r="AB16" s="286"/>
      <c r="AC16" s="286"/>
      <c r="AD16" s="286"/>
      <c r="AE16" s="287"/>
      <c r="AF16" s="288" t="s">
        <v>215</v>
      </c>
      <c r="AG16" s="286"/>
      <c r="AH16" s="286"/>
      <c r="AI16" s="286"/>
      <c r="AJ16" s="286"/>
      <c r="AK16" s="286"/>
      <c r="AL16" s="286"/>
      <c r="AM16" s="286"/>
      <c r="AN16" s="286"/>
      <c r="AO16" s="286"/>
      <c r="AP16" s="286"/>
      <c r="AQ16" s="286"/>
      <c r="AR16" s="286"/>
      <c r="AS16" s="286"/>
      <c r="AT16" s="286"/>
      <c r="AU16" s="287"/>
      <c r="AV16" s="288" t="s">
        <v>226</v>
      </c>
      <c r="AW16" s="286"/>
      <c r="AX16" s="287"/>
    </row>
    <row r="17" spans="1:50" x14ac:dyDescent="0.4">
      <c r="A17" s="31" t="s">
        <v>501</v>
      </c>
      <c r="B17" s="43">
        <f>POUT_Total</f>
        <v>75</v>
      </c>
      <c r="C17" s="31" t="s">
        <v>36</v>
      </c>
      <c r="E17" s="31" t="s">
        <v>502</v>
      </c>
      <c r="O17" s="52"/>
      <c r="P17" s="49"/>
      <c r="Q17" s="289" t="s">
        <v>206</v>
      </c>
      <c r="R17" s="289"/>
      <c r="S17" s="289"/>
      <c r="T17" s="290" t="s">
        <v>208</v>
      </c>
      <c r="U17" s="290"/>
      <c r="V17" s="290"/>
      <c r="W17" s="290" t="s">
        <v>208</v>
      </c>
      <c r="X17" s="290"/>
      <c r="Y17" s="290"/>
      <c r="Z17" s="290" t="s">
        <v>211</v>
      </c>
      <c r="AA17" s="290"/>
      <c r="AB17" s="290"/>
      <c r="AC17" s="291" t="s">
        <v>213</v>
      </c>
      <c r="AD17" s="290"/>
      <c r="AE17" s="292"/>
      <c r="AF17" s="71"/>
      <c r="AG17" s="293" t="s">
        <v>222</v>
      </c>
      <c r="AH17" s="293"/>
      <c r="AI17" s="293"/>
      <c r="AJ17" s="293" t="s">
        <v>223</v>
      </c>
      <c r="AK17" s="293"/>
      <c r="AL17" s="293"/>
      <c r="AM17" s="293" t="s">
        <v>578</v>
      </c>
      <c r="AN17" s="293"/>
      <c r="AO17" s="293"/>
      <c r="AP17" s="293" t="s">
        <v>217</v>
      </c>
      <c r="AQ17" s="293"/>
      <c r="AR17" s="294"/>
      <c r="AS17" s="291" t="s">
        <v>213</v>
      </c>
      <c r="AT17" s="290"/>
      <c r="AU17" s="292"/>
      <c r="AV17" s="291" t="s">
        <v>213</v>
      </c>
      <c r="AW17" s="290"/>
      <c r="AX17" s="292"/>
    </row>
    <row r="18" spans="1:50" ht="15" thickBot="1" x14ac:dyDescent="0.45">
      <c r="A18" s="31" t="s">
        <v>503</v>
      </c>
      <c r="B18" s="1">
        <f>Cout_total</f>
        <v>2.9999999999999999E-7</v>
      </c>
      <c r="C18" s="31" t="s">
        <v>151</v>
      </c>
      <c r="N18" s="10"/>
      <c r="O18" s="53" t="s">
        <v>184</v>
      </c>
      <c r="P18" s="54" t="s">
        <v>189</v>
      </c>
      <c r="Q18" s="55" t="s">
        <v>212</v>
      </c>
      <c r="R18" s="54" t="s">
        <v>209</v>
      </c>
      <c r="S18" s="54" t="s">
        <v>210</v>
      </c>
      <c r="T18" s="54" t="s">
        <v>212</v>
      </c>
      <c r="U18" s="54" t="s">
        <v>209</v>
      </c>
      <c r="V18" s="54" t="s">
        <v>210</v>
      </c>
      <c r="W18" s="56" t="s">
        <v>212</v>
      </c>
      <c r="X18" s="54" t="s">
        <v>209</v>
      </c>
      <c r="Y18" s="54" t="s">
        <v>210</v>
      </c>
      <c r="Z18" s="56" t="s">
        <v>212</v>
      </c>
      <c r="AA18" s="56" t="s">
        <v>209</v>
      </c>
      <c r="AB18" s="56" t="s">
        <v>210</v>
      </c>
      <c r="AC18" s="60" t="s">
        <v>227</v>
      </c>
      <c r="AD18" s="56" t="s">
        <v>209</v>
      </c>
      <c r="AE18" s="57" t="s">
        <v>210</v>
      </c>
      <c r="AF18" s="59" t="s">
        <v>224</v>
      </c>
      <c r="AG18" s="56" t="s">
        <v>212</v>
      </c>
      <c r="AH18" s="56" t="s">
        <v>225</v>
      </c>
      <c r="AI18" s="56" t="s">
        <v>210</v>
      </c>
      <c r="AJ18" s="56" t="s">
        <v>212</v>
      </c>
      <c r="AK18" s="56" t="s">
        <v>225</v>
      </c>
      <c r="AL18" s="56" t="s">
        <v>210</v>
      </c>
      <c r="AM18" s="56" t="s">
        <v>212</v>
      </c>
      <c r="AN18" s="56" t="s">
        <v>225</v>
      </c>
      <c r="AO18" s="56" t="s">
        <v>210</v>
      </c>
      <c r="AP18" s="56" t="s">
        <v>212</v>
      </c>
      <c r="AQ18" s="56" t="s">
        <v>225</v>
      </c>
      <c r="AR18" s="57" t="s">
        <v>210</v>
      </c>
      <c r="AS18" s="60" t="s">
        <v>227</v>
      </c>
      <c r="AT18" s="56" t="s">
        <v>209</v>
      </c>
      <c r="AU18" s="57" t="s">
        <v>210</v>
      </c>
      <c r="AV18" s="60" t="s">
        <v>227</v>
      </c>
      <c r="AW18" s="56" t="s">
        <v>209</v>
      </c>
      <c r="AX18" s="57" t="s">
        <v>210</v>
      </c>
    </row>
    <row r="19" spans="1:50" x14ac:dyDescent="0.4">
      <c r="A19" s="31" t="s">
        <v>491</v>
      </c>
      <c r="B19" s="1">
        <f>Resr_total</f>
        <v>3.3299999999999996E-2</v>
      </c>
      <c r="C19" s="2" t="s">
        <v>35</v>
      </c>
      <c r="N19" s="10">
        <v>1</v>
      </c>
      <c r="O19" s="50">
        <f>10^(1+(N19/100))</f>
        <v>10.232929922807543</v>
      </c>
      <c r="P19" s="48" t="str">
        <f>COMPLEX(Adc,0)</f>
        <v>5120.19230769231</v>
      </c>
      <c r="Q19" s="17" t="str">
        <f t="shared" ref="Q19:Q82" si="35">IMSUM(COMPLEX(1,0),IMDIV(COMPLEX(0,2*PI()*O19),COMPLEX(wp_lf,0)))</f>
        <v>1+0.300457326356019i</v>
      </c>
      <c r="R19" s="17">
        <f>IMABS(Q19)</f>
        <v>1.0441621545339628</v>
      </c>
      <c r="S19" s="17">
        <f>IMARGUMENT(Q19)</f>
        <v>0.29187630711358736</v>
      </c>
      <c r="T19" s="17" t="str">
        <f t="shared" ref="T19:T82" si="36">IMSUM(COMPLEX(1,0),IMDIV(COMPLEX(0,2*PI()*O19),COMPLEX(wz_esr,0)))</f>
        <v>1+6.42310995454424E-07i</v>
      </c>
      <c r="U19" s="17">
        <f>IMABS(T19)</f>
        <v>1.0000000000002063</v>
      </c>
      <c r="V19" s="17">
        <f>IMARGUMENT(T19)</f>
        <v>6.4231099545433571E-7</v>
      </c>
      <c r="W19" s="31" t="str">
        <f t="shared" ref="W19:W82" si="37">IMSUB(COMPLEX(1,0),IMDIV(COMPLEX(0,2*PI()*O19),COMPLEX(wz_rhp,0)))</f>
        <v>1-0.0010415853980342i</v>
      </c>
      <c r="X19" s="17">
        <f>IMABS(W19)</f>
        <v>1.0000005424499236</v>
      </c>
      <c r="Y19" s="17">
        <f>IMARGUMENT(W19)</f>
        <v>-1.0415850213623967E-3</v>
      </c>
      <c r="Z19" s="31" t="str">
        <f t="shared" ref="Z19:Z82" si="38">IMSUM(COMPLEX(1,0),IMDIV(COMPLEX(0,2*PI()*O19),COMPLEX(Q*(wsl/2),0)),IMDIV(IMPOWER(COMPLEX(0,2*PI()*O19),2),IMPOWER(COMPLEX(wsl/2,0),2)))</f>
        <v>0.999999958114858+0.00634166316767577i</v>
      </c>
      <c r="AA19" s="17">
        <f>IMABS(Z19)</f>
        <v>1.0000200662593977</v>
      </c>
      <c r="AB19" s="17">
        <f>IMARGUMENT(Z19)</f>
        <v>6.3415784217669864E-3</v>
      </c>
      <c r="AC19" s="66" t="str">
        <f>(IMDIV(IMPRODUCT(P19,T19,W19),IMPRODUCT(Q19,Z19)))</f>
        <v>4685.60475900993-1445.62312482961i</v>
      </c>
      <c r="AD19" s="64">
        <f>20*LOG(IMABS(AC19))</f>
        <v>73.810196911614611</v>
      </c>
      <c r="AE19" s="61">
        <f>(180/PI())*IMARGUMENT(AC19)</f>
        <v>-17.146267840510163</v>
      </c>
      <c r="AF19" s="31" t="str">
        <f>COMPLEX(Adc_ea_iso,0)</f>
        <v>-10.0808080808081</v>
      </c>
      <c r="AG19" s="31" t="str">
        <f>COMPLEX(0,1*2*PI()*O19)</f>
        <v>64.2953949403827i</v>
      </c>
      <c r="AH19" s="31">
        <f>IMABS(AG19)</f>
        <v>64.295394940382707</v>
      </c>
      <c r="AI19" s="31">
        <f>IMARGUMENT(AG19)</f>
        <v>1.5707963267948966</v>
      </c>
      <c r="AJ19" s="31" t="str">
        <f t="shared" ref="AJ19:AJ82" si="39">IMSUM(IMPRODUCT(COMPLEX(wpA_ea_iso,0),IMPOWER(COMPLEX(0,2*PI()*O19),2)),COMPLEX(0,wpB_ea_iso*2*PI()*O19),COMPLEX(1,0))</f>
        <v>0.999920926524882+0.0863318057160646i</v>
      </c>
      <c r="AK19" s="31">
        <f>IMABS(AJ19)</f>
        <v>1.0036408919432163</v>
      </c>
      <c r="AL19" s="31">
        <f>IMARGUMENT(AJ19)</f>
        <v>8.6125054186497005E-2</v>
      </c>
      <c r="AM19" s="31" t="str">
        <f t="shared" ref="AM19:AM82" si="40">IMSUM(COMPLEX(1,0),IMDIV(COMPLEX(0,2*PI()*O19),COMPLEX(wz1_ea_iso,0)))</f>
        <v>1+63.7271265217419i</v>
      </c>
      <c r="AN19" s="31">
        <f>IMABS(AM19)</f>
        <v>63.734971991192552</v>
      </c>
      <c r="AO19" s="31">
        <f>IMARGUMENT(AM19)</f>
        <v>1.5551057098147296</v>
      </c>
      <c r="AP19" s="31" t="str">
        <f t="shared" ref="AP19:AP82" si="41">IMSUM(COMPLEX(1,0),IMDIV(COMPLEX(0,2*PI()*O19),COMPLEX(wz2_ea_iso,0)))</f>
        <v>1+0.0746855307627486i</v>
      </c>
      <c r="AQ19" s="31">
        <f>IMABS(AP19)</f>
        <v>1.0027850859009191</v>
      </c>
      <c r="AR19" s="31">
        <f>IMARGUMENT(AP19)</f>
        <v>7.4547130144572107E-2</v>
      </c>
      <c r="AS19" s="58" t="str">
        <f>IMDIV(IMPRODUCT(AF19,AM19,AP19),IMPRODUCT(AG19,AJ19))</f>
        <v>-9.98070711147827+0.272226798172729i</v>
      </c>
      <c r="AT19" s="49">
        <f>20*LOG(IMABS(AS19))</f>
        <v>19.986455922234143</v>
      </c>
      <c r="AU19" s="61">
        <f>(180/PI())*IMARGUMENT(AS19)</f>
        <v>178.43762768595479</v>
      </c>
      <c r="AV19" s="58" t="str">
        <f t="shared" ref="AV19:AV82" si="42">IMPRODUCT(AC19,AS19)</f>
        <v>-46372.11138519+15703.8881835525i</v>
      </c>
      <c r="AW19" s="64">
        <f>20*LOG(IMABS(AV19))</f>
        <v>93.796652833848754</v>
      </c>
      <c r="AX19" s="61">
        <f>(180/PI())*IMARGUMENT(AV19)</f>
        <v>161.29135984544462</v>
      </c>
    </row>
    <row r="20" spans="1:50" x14ac:dyDescent="0.4">
      <c r="N20" s="10">
        <v>2</v>
      </c>
      <c r="O20" s="50">
        <f t="shared" ref="O20:O83" si="43">10^(1+(N20/100))</f>
        <v>10.471285480509</v>
      </c>
      <c r="P20" s="48" t="str">
        <f t="shared" ref="P20:P82" si="44">COMPLEX(Adc,0)</f>
        <v>5120.19230769231</v>
      </c>
      <c r="Q20" s="17" t="str">
        <f t="shared" si="35"/>
        <v>1+0.307455876539526i</v>
      </c>
      <c r="R20" s="17">
        <f t="shared" ref="R20:R83" si="45">IMABS(Q20)</f>
        <v>1.0461974555592688</v>
      </c>
      <c r="S20" s="17">
        <f t="shared" ref="S20:S83" si="46">IMARGUMENT(Q20)</f>
        <v>0.29828293418206303</v>
      </c>
      <c r="T20" s="17" t="str">
        <f t="shared" si="36"/>
        <v>1+6.57272340513387E-07i</v>
      </c>
      <c r="U20" s="17">
        <f t="shared" ref="U20:U83" si="47">IMABS(T20)</f>
        <v>1.000000000000216</v>
      </c>
      <c r="V20" s="17">
        <f t="shared" ref="V20:V83" si="48">IMARGUMENT(T20)</f>
        <v>6.572723405132923E-7</v>
      </c>
      <c r="W20" s="31" t="str">
        <f t="shared" si="37"/>
        <v>1-0.00106584703867036i</v>
      </c>
      <c r="X20" s="17">
        <f t="shared" ref="X20:X83" si="49">IMABS(W20)</f>
        <v>1.0000005680147936</v>
      </c>
      <c r="Y20" s="17">
        <f t="shared" ref="Y20:Y83" si="50">IMARGUMENT(W20)</f>
        <v>-1.0658466350592635E-3</v>
      </c>
      <c r="Z20" s="31" t="str">
        <f t="shared" si="38"/>
        <v>0.999999956140872+0.00648937947888759i</v>
      </c>
      <c r="AA20" s="17">
        <f t="shared" ref="AA20:AA83" si="51">IMABS(Z20)</f>
        <v>1.0000210119431325</v>
      </c>
      <c r="AB20" s="17">
        <f t="shared" ref="AB20:AB83" si="52">IMARGUMENT(Z20)</f>
        <v>6.4892886721133374E-3</v>
      </c>
      <c r="AC20" s="66" t="str">
        <f t="shared" ref="AC20:AC83" si="53">(IMDIV(IMPRODUCT(P20,T20,W20),IMPRODUCT(Q20,Z20)))</f>
        <v>4666.89218489804-1473.54264907636i</v>
      </c>
      <c r="AD20" s="64">
        <f t="shared" ref="AD20:AD83" si="54">20*LOG(IMABS(AC20))</f>
        <v>73.79327469541694</v>
      </c>
      <c r="AE20" s="61">
        <f t="shared" ref="AE20:AE83" si="55">(180/PI())*IMARGUMENT(AC20)</f>
        <v>-17.523192937230853</v>
      </c>
      <c r="AF20" s="31" t="str">
        <f t="shared" ref="AF20:AF82" si="56">COMPLEX(Adc_ea_iso,0)</f>
        <v>-10.0808080808081</v>
      </c>
      <c r="AG20" s="31" t="str">
        <f t="shared" ref="AG20:AG83" si="57">COMPLEX(0,1*2*PI()*O20)</f>
        <v>65.7930270784171i</v>
      </c>
      <c r="AH20" s="31">
        <f t="shared" ref="AH20:AH83" si="58">IMABS(AG20)</f>
        <v>65.793027078417097</v>
      </c>
      <c r="AI20" s="31">
        <f t="shared" ref="AI20:AI83" si="59">IMARGUMENT(AG20)</f>
        <v>1.5707963267948966</v>
      </c>
      <c r="AJ20" s="31" t="str">
        <f t="shared" si="39"/>
        <v>0.99991719990681+0.0883427318001925i</v>
      </c>
      <c r="AK20" s="31">
        <f t="shared" ref="AK20:AK83" si="60">IMABS(AJ20)</f>
        <v>1.003812156198258</v>
      </c>
      <c r="AL20" s="31">
        <f t="shared" ref="AL20:AL83" si="61">IMARGUMENT(AJ20)</f>
        <v>8.8121238953483658E-2</v>
      </c>
      <c r="AM20" s="31" t="str">
        <f t="shared" si="40"/>
        <v>1+65.2115219878874i</v>
      </c>
      <c r="AN20" s="31">
        <f t="shared" ref="AN20:AN83" si="62">IMABS(AM20)</f>
        <v>65.219188893888585</v>
      </c>
      <c r="AO20" s="31">
        <f t="shared" ref="AO20:AO83" si="63">IMARGUMENT(AM20)</f>
        <v>1.5554628152297938</v>
      </c>
      <c r="AP20" s="31" t="str">
        <f t="shared" si="41"/>
        <v>1+0.0764251802542893i</v>
      </c>
      <c r="AQ20" s="31">
        <f t="shared" ref="AQ20:AQ83" si="64">IMABS(AP20)</f>
        <v>1.0029161521168659</v>
      </c>
      <c r="AR20" s="31">
        <f t="shared" ref="AR20:AR83" si="65">IMARGUMENT(AP20)</f>
        <v>7.6276904599002965E-2</v>
      </c>
      <c r="AS20" s="58" t="str">
        <f t="shared" ref="AS20:AS83" si="66">IMDIV(IMPRODUCT(AF20,AM20,AP20),IMPRODUCT(AG20,AJ20))</f>
        <v>-9.98027790027416+0.271309257830353i</v>
      </c>
      <c r="AT20" s="49">
        <f t="shared" ref="AT20:AT83" si="67">20*LOG(IMABS(AS20))</f>
        <v>19.986060934591833</v>
      </c>
      <c r="AU20" s="61">
        <f t="shared" ref="AU20:AU83" si="68">(180/PI())*IMARGUMENT(AS20)</f>
        <v>178.44282413255104</v>
      </c>
      <c r="AV20" s="58" t="str">
        <f t="shared" si="42"/>
        <v>-46177.0951733978+15972.5361907472i</v>
      </c>
      <c r="AW20" s="64">
        <f t="shared" ref="AW20:AW83" si="69">20*LOG(IMABS(AV20))</f>
        <v>93.779335630008774</v>
      </c>
      <c r="AX20" s="61">
        <f t="shared" ref="AX20:AX83" si="70">(180/PI())*IMARGUMENT(AV20)</f>
        <v>160.91963119532016</v>
      </c>
    </row>
    <row r="21" spans="1:50" x14ac:dyDescent="0.4">
      <c r="N21" s="10">
        <v>3</v>
      </c>
      <c r="O21" s="50">
        <f t="shared" si="43"/>
        <v>10.715193052376069</v>
      </c>
      <c r="P21" s="48" t="str">
        <f t="shared" si="44"/>
        <v>5120.19230769231</v>
      </c>
      <c r="Q21" s="17" t="str">
        <f t="shared" si="35"/>
        <v>1+0.314617443898434i</v>
      </c>
      <c r="R21" s="17">
        <f t="shared" si="45"/>
        <v>1.0483244421481281</v>
      </c>
      <c r="S21" s="17">
        <f t="shared" si="46"/>
        <v>0.30481276300031973</v>
      </c>
      <c r="T21" s="17" t="str">
        <f t="shared" si="36"/>
        <v>1+6.72582180067319E-07i</v>
      </c>
      <c r="U21" s="17">
        <f t="shared" si="47"/>
        <v>1.000000000000226</v>
      </c>
      <c r="V21" s="17">
        <f t="shared" si="48"/>
        <v>6.7258218006721754E-7</v>
      </c>
      <c r="W21" s="31" t="str">
        <f t="shared" si="37"/>
        <v>1-0.00109067380551457i</v>
      </c>
      <c r="X21" s="17">
        <f t="shared" si="49"/>
        <v>1.0000005947844981</v>
      </c>
      <c r="Y21" s="17">
        <f t="shared" si="50"/>
        <v>-1.090673373037502E-3</v>
      </c>
      <c r="Z21" s="31" t="str">
        <f t="shared" si="38"/>
        <v>0.999999954073855+0.0066405365449962i</v>
      </c>
      <c r="AA21" s="17">
        <f t="shared" si="51"/>
        <v>1.0000220021946105</v>
      </c>
      <c r="AB21" s="17">
        <f t="shared" si="52"/>
        <v>6.6404392439001628E-3</v>
      </c>
      <c r="AC21" s="66" t="str">
        <f t="shared" si="53"/>
        <v>4647.45300399136-1501.74988282102i</v>
      </c>
      <c r="AD21" s="64">
        <f t="shared" si="54"/>
        <v>73.77562528228971</v>
      </c>
      <c r="AE21" s="61">
        <f t="shared" si="55"/>
        <v>-17.907406449410335</v>
      </c>
      <c r="AF21" s="31" t="str">
        <f t="shared" si="56"/>
        <v>-10.0808080808081</v>
      </c>
      <c r="AG21" s="31" t="str">
        <f t="shared" si="57"/>
        <v>67.3255435502821i</v>
      </c>
      <c r="AH21" s="31">
        <f t="shared" si="58"/>
        <v>67.325543550282106</v>
      </c>
      <c r="AI21" s="31">
        <f t="shared" si="59"/>
        <v>1.5707963267948966</v>
      </c>
      <c r="AJ21" s="31" t="str">
        <f t="shared" si="39"/>
        <v>0.99991329765864+0.0904004983700751i</v>
      </c>
      <c r="AK21" s="31">
        <f t="shared" si="60"/>
        <v>1.0039914605912412</v>
      </c>
      <c r="AL21" s="31">
        <f t="shared" si="61"/>
        <v>9.0163215432725027E-2</v>
      </c>
      <c r="AM21" s="31" t="str">
        <f t="shared" si="40"/>
        <v>1+66.7304934661675i</v>
      </c>
      <c r="AN21" s="31">
        <f t="shared" si="62"/>
        <v>66.737985871902254</v>
      </c>
      <c r="AO21" s="31">
        <f t="shared" si="63"/>
        <v>1.5558117957124764</v>
      </c>
      <c r="AP21" s="31" t="str">
        <f t="shared" si="41"/>
        <v>1+0.0782053513880077i</v>
      </c>
      <c r="AQ21" s="31">
        <f t="shared" si="64"/>
        <v>1.0030533769374996</v>
      </c>
      <c r="AR21" s="31">
        <f t="shared" si="65"/>
        <v>7.8046497270293974E-2</v>
      </c>
      <c r="AS21" s="58" t="str">
        <f t="shared" si="66"/>
        <v>-9.97982877448553+0.270532063538514i</v>
      </c>
      <c r="AT21" s="49">
        <f t="shared" si="67"/>
        <v>19.985651988548504</v>
      </c>
      <c r="AU21" s="61">
        <f t="shared" si="68"/>
        <v>178.44721279873792</v>
      </c>
      <c r="AV21" s="58" t="str">
        <f t="shared" si="42"/>
        <v>-45974.5137225839+16244.4917440255i</v>
      </c>
      <c r="AW21" s="64">
        <f t="shared" si="69"/>
        <v>93.761277270838207</v>
      </c>
      <c r="AX21" s="61">
        <f t="shared" si="70"/>
        <v>160.53980634932762</v>
      </c>
    </row>
    <row r="22" spans="1:50" x14ac:dyDescent="0.4">
      <c r="N22" s="10">
        <v>4</v>
      </c>
      <c r="O22" s="50">
        <f t="shared" si="43"/>
        <v>10.964781961431854</v>
      </c>
      <c r="P22" s="48" t="str">
        <f t="shared" si="44"/>
        <v>5120.19230769231</v>
      </c>
      <c r="Q22" s="17" t="str">
        <f t="shared" si="35"/>
        <v>1+0.321945825590551i</v>
      </c>
      <c r="R22" s="17">
        <f t="shared" si="45"/>
        <v>1.0505470549267089</v>
      </c>
      <c r="S22" s="17">
        <f t="shared" si="46"/>
        <v>0.31146702758015038</v>
      </c>
      <c r="T22" s="17" t="str">
        <f t="shared" si="36"/>
        <v>1+0.0000006882486315958i</v>
      </c>
      <c r="U22" s="17">
        <f t="shared" si="47"/>
        <v>1.0000000000002367</v>
      </c>
      <c r="V22" s="17">
        <f t="shared" si="48"/>
        <v>6.8824863159569132E-7</v>
      </c>
      <c r="W22" s="31" t="str">
        <f t="shared" si="37"/>
        <v>1-0.00111607886204724i</v>
      </c>
      <c r="X22" s="17">
        <f t="shared" si="49"/>
        <v>1.0000006228158194</v>
      </c>
      <c r="Y22" s="17">
        <f t="shared" si="50"/>
        <v>-1.1160783986397282E-3</v>
      </c>
      <c r="Z22" s="31" t="str">
        <f t="shared" si="38"/>
        <v>0.999999951909423+0.00679521451147886i</v>
      </c>
      <c r="AA22" s="17">
        <f t="shared" si="51"/>
        <v>1.0000230391141522</v>
      </c>
      <c r="AB22" s="17">
        <f t="shared" si="52"/>
        <v>6.7951102516057606E-3</v>
      </c>
      <c r="AC22" s="66" t="str">
        <f t="shared" si="53"/>
        <v>4627.26589100404-1530.23089048831i</v>
      </c>
      <c r="AD22" s="64">
        <f t="shared" si="54"/>
        <v>73.757220560861981</v>
      </c>
      <c r="AE22" s="61">
        <f t="shared" si="55"/>
        <v>-18.298984424676409</v>
      </c>
      <c r="AF22" s="31" t="str">
        <f t="shared" si="56"/>
        <v>-10.0808080808081</v>
      </c>
      <c r="AG22" s="31" t="str">
        <f t="shared" si="57"/>
        <v>68.8937569164964i</v>
      </c>
      <c r="AH22" s="31">
        <f t="shared" si="58"/>
        <v>68.8937569164964</v>
      </c>
      <c r="AI22" s="31">
        <f t="shared" si="59"/>
        <v>1.5707963267948966</v>
      </c>
      <c r="AJ22" s="31" t="str">
        <f t="shared" si="39"/>
        <v>0.999909211503179+0.0925061964807856i</v>
      </c>
      <c r="AK22" s="31">
        <f t="shared" si="60"/>
        <v>1.0041791810410385</v>
      </c>
      <c r="AL22" s="31">
        <f t="shared" si="61"/>
        <v>9.2252000340283483E-2</v>
      </c>
      <c r="AM22" s="31" t="str">
        <f t="shared" si="40"/>
        <v>1+68.2848463353659i</v>
      </c>
      <c r="AN22" s="31">
        <f t="shared" si="62"/>
        <v>68.292168211622439</v>
      </c>
      <c r="AO22" s="31">
        <f t="shared" si="63"/>
        <v>1.5561528359566423</v>
      </c>
      <c r="AP22" s="31" t="str">
        <f t="shared" si="41"/>
        <v>1+0.0800269880342023i</v>
      </c>
      <c r="AQ22" s="31">
        <f t="shared" si="64"/>
        <v>1.0031970488462505</v>
      </c>
      <c r="AR22" s="31">
        <f t="shared" si="65"/>
        <v>7.9856802063884957E-2</v>
      </c>
      <c r="AS22" s="58" t="str">
        <f t="shared" si="66"/>
        <v>-9.97935882544602+0.269894556518298i</v>
      </c>
      <c r="AT22" s="49">
        <f t="shared" si="67"/>
        <v>19.985228248174984</v>
      </c>
      <c r="AU22" s="61">
        <f t="shared" si="68"/>
        <v>178.45079723016406</v>
      </c>
      <c r="AV22" s="58" t="str">
        <f t="shared" si="42"/>
        <v>-45764.1457195176+16519.5970175094i</v>
      </c>
      <c r="AW22" s="64">
        <f t="shared" si="69"/>
        <v>93.742448809036972</v>
      </c>
      <c r="AX22" s="61">
        <f t="shared" si="70"/>
        <v>160.15181280548768</v>
      </c>
    </row>
    <row r="23" spans="1:50" x14ac:dyDescent="0.4">
      <c r="N23" s="10">
        <v>5</v>
      </c>
      <c r="O23" s="50">
        <f t="shared" si="43"/>
        <v>11.220184543019636</v>
      </c>
      <c r="P23" s="48" t="str">
        <f t="shared" si="44"/>
        <v>5120.19230769231</v>
      </c>
      <c r="Q23" s="17" t="str">
        <f t="shared" si="35"/>
        <v>1+0.329444907220852i</v>
      </c>
      <c r="R23" s="17">
        <f t="shared" si="45"/>
        <v>1.052869387385613</v>
      </c>
      <c r="S23" s="17">
        <f t="shared" si="46"/>
        <v>0.31824689810267165</v>
      </c>
      <c r="T23" s="17" t="str">
        <f t="shared" si="36"/>
        <v>1+0.0000007042800016588i</v>
      </c>
      <c r="U23" s="17">
        <f t="shared" si="47"/>
        <v>1.000000000000248</v>
      </c>
      <c r="V23" s="17">
        <f t="shared" si="48"/>
        <v>7.0428000165868359E-7</v>
      </c>
      <c r="W23" s="31" t="str">
        <f t="shared" si="37"/>
        <v>1-0.00114207567836562i</v>
      </c>
      <c r="X23" s="17">
        <f t="shared" si="49"/>
        <v>1.000000652168215</v>
      </c>
      <c r="Y23" s="17">
        <f t="shared" si="50"/>
        <v>-1.1420751818155424E-3</v>
      </c>
      <c r="Z23" s="31" t="str">
        <f t="shared" si="38"/>
        <v>0.999999949642984+0.00695349539064081i</v>
      </c>
      <c r="AA23" s="17">
        <f t="shared" si="51"/>
        <v>1.0000241249010537</v>
      </c>
      <c r="AB23" s="17">
        <f t="shared" si="52"/>
        <v>6.9533836743195798E-3</v>
      </c>
      <c r="AC23" s="66" t="str">
        <f t="shared" si="53"/>
        <v>4606.30949530637-1558.97047896052i</v>
      </c>
      <c r="AD23" s="64">
        <f t="shared" si="54"/>
        <v>73.738031605646682</v>
      </c>
      <c r="AE23" s="61">
        <f t="shared" si="55"/>
        <v>-18.697999377819713</v>
      </c>
      <c r="AF23" s="31" t="str">
        <f t="shared" si="56"/>
        <v>-10.0808080808081</v>
      </c>
      <c r="AG23" s="31" t="str">
        <f t="shared" si="57"/>
        <v>70.4984986645445i</v>
      </c>
      <c r="AH23" s="31">
        <f t="shared" si="58"/>
        <v>70.498498664544499</v>
      </c>
      <c r="AI23" s="31">
        <f t="shared" si="59"/>
        <v>1.5707963267948966</v>
      </c>
      <c r="AJ23" s="31" t="str">
        <f t="shared" si="39"/>
        <v>0.999904932773144+0.0946609426013345i</v>
      </c>
      <c r="AK23" s="31">
        <f t="shared" si="60"/>
        <v>1.0043757108961959</v>
      </c>
      <c r="AL23" s="31">
        <f t="shared" si="61"/>
        <v>9.4388630570290719E-2</v>
      </c>
      <c r="AM23" s="31" t="str">
        <f t="shared" si="40"/>
        <v>1+69.875404733948i</v>
      </c>
      <c r="AN23" s="31">
        <f t="shared" si="62"/>
        <v>69.882559961216657</v>
      </c>
      <c r="AO23" s="31">
        <f t="shared" si="63"/>
        <v>1.5564861164688339</v>
      </c>
      <c r="AP23" s="31" t="str">
        <f t="shared" si="41"/>
        <v>1+0.0818910560487349i</v>
      </c>
      <c r="AQ23" s="31">
        <f t="shared" si="64"/>
        <v>1.0033474697535132</v>
      </c>
      <c r="AR23" s="31">
        <f t="shared" si="65"/>
        <v>8.1708731338954052E-2</v>
      </c>
      <c r="AS23" s="58" t="str">
        <f t="shared" si="66"/>
        <v>-9.97886710449381+0.26939613489561i</v>
      </c>
      <c r="AT23" s="49">
        <f t="shared" si="67"/>
        <v>19.9847888491432</v>
      </c>
      <c r="AU23" s="61">
        <f t="shared" si="68"/>
        <v>178.45358063376531</v>
      </c>
      <c r="AV23" s="58" t="str">
        <f t="shared" si="42"/>
        <v>-45545.7696743819+16797.6812035446i</v>
      </c>
      <c r="AW23" s="64">
        <f t="shared" si="69"/>
        <v>93.722820454789883</v>
      </c>
      <c r="AX23" s="61">
        <f t="shared" si="70"/>
        <v>159.7555812559456</v>
      </c>
    </row>
    <row r="24" spans="1:50" x14ac:dyDescent="0.4">
      <c r="N24" s="10">
        <v>6</v>
      </c>
      <c r="O24" s="50">
        <f t="shared" si="43"/>
        <v>11.481536214968834</v>
      </c>
      <c r="P24" s="48" t="str">
        <f t="shared" si="44"/>
        <v>5120.19230769231</v>
      </c>
      <c r="Q24" s="17" t="str">
        <f t="shared" si="35"/>
        <v>1+0.337118664901682i</v>
      </c>
      <c r="R24" s="17">
        <f t="shared" si="45"/>
        <v>1.0552956904228752</v>
      </c>
      <c r="S24" s="17">
        <f t="shared" si="46"/>
        <v>0.32515347530287153</v>
      </c>
      <c r="T24" s="17" t="str">
        <f t="shared" si="36"/>
        <v>1+7.20684790300928E-07i</v>
      </c>
      <c r="U24" s="17">
        <f t="shared" si="47"/>
        <v>1.0000000000002598</v>
      </c>
      <c r="V24" s="17">
        <f t="shared" si="48"/>
        <v>7.2068479030080324E-7</v>
      </c>
      <c r="W24" s="31" t="str">
        <f t="shared" si="37"/>
        <v>1-0.00116867803832583i</v>
      </c>
      <c r="X24" s="17">
        <f t="shared" si="49"/>
        <v>1.0000006829039454</v>
      </c>
      <c r="Y24" s="17">
        <f t="shared" si="50"/>
        <v>-1.1686775062628553E-3</v>
      </c>
      <c r="Z24" s="31" t="str">
        <f t="shared" si="38"/>
        <v>0.99999994726973+0.00711546310509926i</v>
      </c>
      <c r="AA24" s="17">
        <f t="shared" si="51"/>
        <v>1.0000252618582506</v>
      </c>
      <c r="AB24" s="17">
        <f t="shared" si="52"/>
        <v>7.115343399067677E-3</v>
      </c>
      <c r="AC24" s="66" t="str">
        <f t="shared" si="53"/>
        <v>4584.56250164724-1587.95215237636i</v>
      </c>
      <c r="AD24" s="64">
        <f t="shared" si="54"/>
        <v>73.71802867717507</v>
      </c>
      <c r="AE24" s="61">
        <f t="shared" si="55"/>
        <v>-19.104519971942569</v>
      </c>
      <c r="AF24" s="31" t="str">
        <f t="shared" si="56"/>
        <v>-10.0808080808081</v>
      </c>
      <c r="AG24" s="31" t="str">
        <f t="shared" si="57"/>
        <v>72.1406196497425i</v>
      </c>
      <c r="AH24" s="31">
        <f t="shared" si="58"/>
        <v>72.140619649742504</v>
      </c>
      <c r="AI24" s="31">
        <f t="shared" si="59"/>
        <v>1.5707963267948966</v>
      </c>
      <c r="AJ24" s="31" t="str">
        <f t="shared" si="39"/>
        <v>0.999900452392775+0.0968658792066363i</v>
      </c>
      <c r="AK24" s="31">
        <f t="shared" si="60"/>
        <v>1.0045814617290878</v>
      </c>
      <c r="AL24" s="31">
        <f t="shared" si="61"/>
        <v>9.6574163422175938E-2</v>
      </c>
      <c r="AM24" s="31" t="str">
        <f t="shared" si="40"/>
        <v>1+71.5030119970305i</v>
      </c>
      <c r="AN24" s="31">
        <f t="shared" si="62"/>
        <v>71.510004367553265</v>
      </c>
      <c r="AO24" s="31">
        <f t="shared" si="63"/>
        <v>1.5568118136624651</v>
      </c>
      <c r="AP24" s="31" t="str">
        <f t="shared" si="41"/>
        <v>1+0.0837985437851409i</v>
      </c>
      <c r="AQ24" s="31">
        <f t="shared" si="64"/>
        <v>1.0035049556133293</v>
      </c>
      <c r="AR24" s="31">
        <f t="shared" si="65"/>
        <v>8.3603216172961056E-2</v>
      </c>
      <c r="AS24" s="58" t="str">
        <f t="shared" si="66"/>
        <v>-9.97835262135185+0.269036252212812i</v>
      </c>
      <c r="AT24" s="49">
        <f t="shared" si="67"/>
        <v>19.984332897175157</v>
      </c>
      <c r="AU24" s="61">
        <f t="shared" si="68"/>
        <v>178.45556588529954</v>
      </c>
      <c r="AV24" s="58" t="str">
        <f t="shared" si="42"/>
        <v>-45319.1645602945+17078.5600357245i</v>
      </c>
      <c r="AW24" s="64">
        <f t="shared" si="69"/>
        <v>93.702361574350221</v>
      </c>
      <c r="AX24" s="61">
        <f t="shared" si="70"/>
        <v>159.35104591335701</v>
      </c>
    </row>
    <row r="25" spans="1:50" x14ac:dyDescent="0.4">
      <c r="A25" s="31" t="s">
        <v>32</v>
      </c>
      <c r="B25" s="43">
        <f>VOUT1</f>
        <v>1500</v>
      </c>
      <c r="C25" s="31" t="s">
        <v>11</v>
      </c>
      <c r="E25" s="31" t="s">
        <v>160</v>
      </c>
      <c r="N25" s="10">
        <v>7</v>
      </c>
      <c r="O25" s="50">
        <f t="shared" si="43"/>
        <v>11.748975549395301</v>
      </c>
      <c r="P25" s="48" t="str">
        <f t="shared" si="44"/>
        <v>5120.19230769231</v>
      </c>
      <c r="Q25" s="17" t="str">
        <f t="shared" si="35"/>
        <v>1+0.344971167360935i</v>
      </c>
      <c r="R25" s="17">
        <f t="shared" si="45"/>
        <v>1.057830376908494</v>
      </c>
      <c r="S25" s="17">
        <f t="shared" si="46"/>
        <v>0.33218778465972598</v>
      </c>
      <c r="T25" s="17" t="str">
        <f t="shared" si="36"/>
        <v>1+7.37471695558265E-07i</v>
      </c>
      <c r="U25" s="17">
        <f t="shared" si="47"/>
        <v>1.0000000000002718</v>
      </c>
      <c r="V25" s="17">
        <f t="shared" si="48"/>
        <v>7.3747169555813124E-7</v>
      </c>
      <c r="W25" s="31" t="str">
        <f t="shared" si="37"/>
        <v>1-0.00119590004685124i</v>
      </c>
      <c r="X25" s="17">
        <f t="shared" si="49"/>
        <v>1.0000007150882053</v>
      </c>
      <c r="Y25" s="17">
        <f t="shared" si="50"/>
        <v>-1.1958994767355133E-3</v>
      </c>
      <c r="Z25" s="31" t="str">
        <f t="shared" si="38"/>
        <v>0.999999944784629+0.00728120353228033i</v>
      </c>
      <c r="AA25" s="17">
        <f t="shared" si="51"/>
        <v>1.0000264523972051</v>
      </c>
      <c r="AB25" s="17">
        <f t="shared" si="52"/>
        <v>7.2810752651397805E-3</v>
      </c>
      <c r="AC25" s="66" t="str">
        <f t="shared" si="53"/>
        <v>4562.00369605624-1617.15806875889i</v>
      </c>
      <c r="AD25" s="64">
        <f t="shared" si="54"/>
        <v>73.697181224541637</v>
      </c>
      <c r="AE25" s="61">
        <f t="shared" si="55"/>
        <v>-19.518610688535709</v>
      </c>
      <c r="AF25" s="31" t="str">
        <f t="shared" si="56"/>
        <v>-10.0808080808081</v>
      </c>
      <c r="AG25" s="31" t="str">
        <f t="shared" si="57"/>
        <v>73.8209905463728i</v>
      </c>
      <c r="AH25" s="31">
        <f t="shared" si="58"/>
        <v>73.820990546372798</v>
      </c>
      <c r="AI25" s="31">
        <f t="shared" si="59"/>
        <v>1.5707963267948966</v>
      </c>
      <c r="AJ25" s="31" t="str">
        <f t="shared" si="39"/>
        <v>0.999895760858585+0.0991221753832649i</v>
      </c>
      <c r="AK25" s="31">
        <f t="shared" si="60"/>
        <v>1.0047968641649314</v>
      </c>
      <c r="AL25" s="31">
        <f t="shared" si="61"/>
        <v>9.8809676816760519E-2</v>
      </c>
      <c r="AM25" s="31" t="str">
        <f t="shared" si="40"/>
        <v>1+73.168531103528i</v>
      </c>
      <c r="AN25" s="31">
        <f t="shared" si="62"/>
        <v>73.17536432330175</v>
      </c>
      <c r="AO25" s="31">
        <f t="shared" si="63"/>
        <v>1.557130099949944</v>
      </c>
      <c r="AP25" s="31" t="str">
        <f t="shared" si="41"/>
        <v>1+0.0857504626186667i</v>
      </c>
      <c r="AQ25" s="31">
        <f t="shared" si="64"/>
        <v>1.0036698370676063</v>
      </c>
      <c r="AR25" s="31">
        <f t="shared" si="65"/>
        <v>8.5541206621016358E-2</v>
      </c>
      <c r="AS25" s="58" t="str">
        <f t="shared" si="66"/>
        <v>-9.97781434245595+0.268814415893026i</v>
      </c>
      <c r="AT25" s="49">
        <f t="shared" si="67"/>
        <v>19.98385946645439</v>
      </c>
      <c r="AU25" s="61">
        <f t="shared" si="68"/>
        <v>178.45675553710456</v>
      </c>
      <c r="AV25" s="58" t="str">
        <f t="shared" si="42"/>
        <v>-45084.1105071869+17362.035331338i</v>
      </c>
      <c r="AW25" s="64">
        <f t="shared" si="69"/>
        <v>93.681040690996028</v>
      </c>
      <c r="AX25" s="61">
        <f t="shared" si="70"/>
        <v>158.93814484856887</v>
      </c>
    </row>
    <row r="26" spans="1:50" x14ac:dyDescent="0.4">
      <c r="A26" s="31" t="s">
        <v>33</v>
      </c>
      <c r="B26" s="43">
        <f>IOUT1</f>
        <v>0.05</v>
      </c>
      <c r="C26" s="31" t="s">
        <v>12</v>
      </c>
      <c r="E26" s="31" t="s">
        <v>34</v>
      </c>
      <c r="N26" s="10">
        <v>8</v>
      </c>
      <c r="O26" s="50">
        <f t="shared" si="43"/>
        <v>12.022644346174133</v>
      </c>
      <c r="P26" s="48" t="str">
        <f t="shared" si="44"/>
        <v>5120.19230769231</v>
      </c>
      <c r="Q26" s="17" t="str">
        <f t="shared" si="35"/>
        <v>1+0.353006578099355i</v>
      </c>
      <c r="R26" s="17">
        <f t="shared" si="45"/>
        <v>1.0604780262605238</v>
      </c>
      <c r="S26" s="17">
        <f t="shared" si="46"/>
        <v>0.33935077040092448</v>
      </c>
      <c r="T26" s="17" t="str">
        <f t="shared" si="36"/>
        <v>1+7.54649618070177E-07i</v>
      </c>
      <c r="U26" s="17">
        <f t="shared" si="47"/>
        <v>1.0000000000002847</v>
      </c>
      <c r="V26" s="17">
        <f t="shared" si="48"/>
        <v>7.5464961807003378E-7</v>
      </c>
      <c r="W26" s="31" t="str">
        <f t="shared" si="37"/>
        <v>1-0.0012237561374111i</v>
      </c>
      <c r="X26" s="17">
        <f t="shared" si="49"/>
        <v>1.0000007487892615</v>
      </c>
      <c r="Y26" s="17">
        <f t="shared" si="50"/>
        <v>-1.2237555265211173E-3</v>
      </c>
      <c r="Z26" s="31" t="str">
        <f t="shared" si="38"/>
        <v>0.999999942182409+0.00745080454995233i</v>
      </c>
      <c r="AA26" s="17">
        <f t="shared" si="51"/>
        <v>1.000027699043013</v>
      </c>
      <c r="AB26" s="17">
        <f t="shared" si="52"/>
        <v>7.4506671094406052E-3</v>
      </c>
      <c r="AC26" s="66" t="str">
        <f t="shared" si="53"/>
        <v>4538.61203703976-1646.5689989291i</v>
      </c>
      <c r="AD26" s="64">
        <f t="shared" si="54"/>
        <v>73.675457890558377</v>
      </c>
      <c r="AE26" s="61">
        <f t="shared" si="55"/>
        <v>-19.940331487001217</v>
      </c>
      <c r="AF26" s="31" t="str">
        <f t="shared" si="56"/>
        <v>-10.0808080808081</v>
      </c>
      <c r="AG26" s="31" t="str">
        <f t="shared" si="57"/>
        <v>75.540502309327i</v>
      </c>
      <c r="AH26" s="31">
        <f t="shared" si="58"/>
        <v>75.540502309326996</v>
      </c>
      <c r="AI26" s="31">
        <f t="shared" si="59"/>
        <v>1.5707963267948966</v>
      </c>
      <c r="AJ26" s="31" t="str">
        <f t="shared" si="39"/>
        <v>0.9998908482192+0.101431027449319i</v>
      </c>
      <c r="AK26" s="31">
        <f t="shared" si="60"/>
        <v>1.0050223687470523</v>
      </c>
      <c r="AL26" s="31">
        <f t="shared" si="61"/>
        <v>0.10109626949989658</v>
      </c>
      <c r="AM26" s="31" t="str">
        <f t="shared" si="40"/>
        <v>1+74.8728451337165i</v>
      </c>
      <c r="AN26" s="31">
        <f t="shared" si="62"/>
        <v>74.879522824451115</v>
      </c>
      <c r="AO26" s="31">
        <f t="shared" si="63"/>
        <v>1.5574411438327704</v>
      </c>
      <c r="AP26" s="31" t="str">
        <f t="shared" si="41"/>
        <v>1+0.0877478474825143i</v>
      </c>
      <c r="AQ26" s="31">
        <f t="shared" si="64"/>
        <v>1.0038424601190241</v>
      </c>
      <c r="AR26" s="31">
        <f t="shared" si="65"/>
        <v>8.7523671969204589E-2</v>
      </c>
      <c r="AS26" s="58" t="str">
        <f t="shared" si="66"/>
        <v>-9.9772511892309+0.268730185651572i</v>
      </c>
      <c r="AT26" s="49">
        <f t="shared" si="67"/>
        <v>19.983367597999219</v>
      </c>
      <c r="AU26" s="61">
        <f t="shared" si="68"/>
        <v>178.45715182610681</v>
      </c>
      <c r="AV26" s="58" t="str">
        <f t="shared" si="42"/>
        <v>-44840.3895512423+17647.8945580302i</v>
      </c>
      <c r="AW26" s="64">
        <f t="shared" si="69"/>
        <v>93.658825488557596</v>
      </c>
      <c r="AX26" s="61">
        <f t="shared" si="70"/>
        <v>158.51682033910566</v>
      </c>
    </row>
    <row r="27" spans="1:50" x14ac:dyDescent="0.4">
      <c r="N27" s="10">
        <v>9</v>
      </c>
      <c r="O27" s="50">
        <f t="shared" si="43"/>
        <v>12.302687708123818</v>
      </c>
      <c r="P27" s="48" t="str">
        <f t="shared" si="44"/>
        <v>5120.19230769231</v>
      </c>
      <c r="Q27" s="17" t="str">
        <f t="shared" si="35"/>
        <v>1+0.361229157598079i</v>
      </c>
      <c r="R27" s="17">
        <f t="shared" si="45"/>
        <v>1.0632433890220139</v>
      </c>
      <c r="S27" s="17">
        <f t="shared" si="46"/>
        <v>0.3466432893332741</v>
      </c>
      <c r="T27" s="17" t="str">
        <f t="shared" si="36"/>
        <v>1+7.72227665798561E-07i</v>
      </c>
      <c r="U27" s="17">
        <f t="shared" si="47"/>
        <v>1.0000000000002982</v>
      </c>
      <c r="V27" s="17">
        <f t="shared" si="48"/>
        <v>7.7222766579840751E-7</v>
      </c>
      <c r="W27" s="31" t="str">
        <f t="shared" si="37"/>
        <v>1-0.00125226107967334i</v>
      </c>
      <c r="X27" s="17">
        <f t="shared" si="49"/>
        <v>1.0000007840785985</v>
      </c>
      <c r="Y27" s="17">
        <f t="shared" si="50"/>
        <v>-1.2522604250929576E-3</v>
      </c>
      <c r="Z27" s="31" t="str">
        <f t="shared" si="38"/>
        <v>0.99999993945755+0.00762435608281978i</v>
      </c>
      <c r="AA27" s="17">
        <f t="shared" si="51"/>
        <v>1.0000290044397619</v>
      </c>
      <c r="AB27" s="17">
        <f t="shared" si="52"/>
        <v>7.6242088128888339E-3</v>
      </c>
      <c r="AC27" s="66" t="str">
        <f t="shared" si="53"/>
        <v>4514.36673215466-1676.16428819566i</v>
      </c>
      <c r="AD27" s="64">
        <f t="shared" si="54"/>
        <v>73.652826519722467</v>
      </c>
      <c r="AE27" s="61">
        <f t="shared" si="55"/>
        <v>-20.369737454256899</v>
      </c>
      <c r="AF27" s="31" t="str">
        <f t="shared" si="56"/>
        <v>-10.0808080808081</v>
      </c>
      <c r="AG27" s="31" t="str">
        <f t="shared" si="57"/>
        <v>77.3000666465025i</v>
      </c>
      <c r="AH27" s="31">
        <f t="shared" si="58"/>
        <v>77.300066646502501</v>
      </c>
      <c r="AI27" s="31">
        <f t="shared" si="59"/>
        <v>1.5707963267948966</v>
      </c>
      <c r="AJ27" s="31" t="str">
        <f t="shared" si="39"/>
        <v>0.999885704054253+0.103793659588725i</v>
      </c>
      <c r="AK27" s="31">
        <f t="shared" si="60"/>
        <v>1.0052584468398609</v>
      </c>
      <c r="AL27" s="31">
        <f t="shared" si="61"/>
        <v>0.10343506123223073</v>
      </c>
      <c r="AM27" s="31" t="str">
        <f t="shared" si="40"/>
        <v>1+76.6168577374543i</v>
      </c>
      <c r="AN27" s="31">
        <f t="shared" si="62"/>
        <v>76.623383438486385</v>
      </c>
      <c r="AO27" s="31">
        <f t="shared" si="63"/>
        <v>1.5577451099896462</v>
      </c>
      <c r="AP27" s="31" t="str">
        <f t="shared" si="41"/>
        <v>1+0.0897917574165774i</v>
      </c>
      <c r="AQ27" s="31">
        <f t="shared" si="64"/>
        <v>1.0040231868338287</v>
      </c>
      <c r="AR27" s="31">
        <f t="shared" si="65"/>
        <v>8.9551600980922644E-2</v>
      </c>
      <c r="AS27" s="58" t="str">
        <f t="shared" si="66"/>
        <v>-9.97666203631418+0.268783171848758i</v>
      </c>
      <c r="AT27" s="49">
        <f t="shared" si="67"/>
        <v>19.982856297996754</v>
      </c>
      <c r="AU27" s="61">
        <f t="shared" si="68"/>
        <v>178.45675668211135</v>
      </c>
      <c r="AV27" s="58" t="str">
        <f t="shared" si="42"/>
        <v>-44587.7864407663+17935.9104298243i</v>
      </c>
      <c r="AW27" s="64">
        <f t="shared" si="69"/>
        <v>93.635682817719243</v>
      </c>
      <c r="AX27" s="61">
        <f t="shared" si="70"/>
        <v>158.08701922785443</v>
      </c>
    </row>
    <row r="28" spans="1:50" x14ac:dyDescent="0.4">
      <c r="A28" s="31" t="s">
        <v>161</v>
      </c>
      <c r="N28" s="10">
        <v>10</v>
      </c>
      <c r="O28" s="50">
        <f t="shared" si="43"/>
        <v>12.58925411794168</v>
      </c>
      <c r="P28" s="48" t="str">
        <f t="shared" si="44"/>
        <v>5120.19230769231</v>
      </c>
      <c r="Q28" s="17" t="str">
        <f t="shared" si="35"/>
        <v>1+0.369643265577595i</v>
      </c>
      <c r="R28" s="17">
        <f t="shared" si="45"/>
        <v>1.066131391427374</v>
      </c>
      <c r="S28" s="17">
        <f t="shared" si="46"/>
        <v>0.35406610451209991</v>
      </c>
      <c r="T28" s="17" t="str">
        <f t="shared" si="36"/>
        <v>1+7.90215158856992E-07i</v>
      </c>
      <c r="U28" s="17">
        <f t="shared" si="47"/>
        <v>1.0000000000003122</v>
      </c>
      <c r="V28" s="17">
        <f t="shared" si="48"/>
        <v>7.9021515885682762E-7</v>
      </c>
      <c r="W28" s="31" t="str">
        <f t="shared" si="37"/>
        <v>1-0.00128142998733566i</v>
      </c>
      <c r="X28" s="17">
        <f t="shared" si="49"/>
        <v>1.0000008210310691</v>
      </c>
      <c r="Y28" s="17">
        <f t="shared" si="50"/>
        <v>-1.2814292859401747E-3</v>
      </c>
      <c r="Z28" s="31" t="str">
        <f t="shared" si="38"/>
        <v>0.999999936604272+0.00780195015020263i</v>
      </c>
      <c r="AA28" s="17">
        <f t="shared" si="51"/>
        <v>1.0000303713561376</v>
      </c>
      <c r="AB28" s="17">
        <f t="shared" si="52"/>
        <v>7.8017923478873796E-3</v>
      </c>
      <c r="AC28" s="66" t="str">
        <f t="shared" si="53"/>
        <v>4489.24732000559-1705.92182134433i</v>
      </c>
      <c r="AD28" s="64">
        <f t="shared" si="54"/>
        <v>73.629254169202625</v>
      </c>
      <c r="AE28" s="61">
        <f t="shared" si="55"/>
        <v>-20.806878445188048</v>
      </c>
      <c r="AF28" s="31" t="str">
        <f t="shared" si="56"/>
        <v>-10.0808080808081</v>
      </c>
      <c r="AG28" s="31" t="str">
        <f t="shared" si="57"/>
        <v>79.1006165022013i</v>
      </c>
      <c r="AH28" s="31">
        <f t="shared" si="58"/>
        <v>79.100616502201305</v>
      </c>
      <c r="AI28" s="31">
        <f t="shared" si="59"/>
        <v>1.5707963267948966</v>
      </c>
      <c r="AJ28" s="31" t="str">
        <f t="shared" si="39"/>
        <v>0.999880317452282+0.106211324500316i</v>
      </c>
      <c r="AK28" s="31">
        <f t="shared" si="60"/>
        <v>1.0055055915710205</v>
      </c>
      <c r="AL28" s="31">
        <f t="shared" si="61"/>
        <v>0.10582719296357929</v>
      </c>
      <c r="AM28" s="31" t="str">
        <f t="shared" si="40"/>
        <v>1+78.4014936133085i</v>
      </c>
      <c r="AN28" s="31">
        <f t="shared" si="62"/>
        <v>78.407870783472077</v>
      </c>
      <c r="AO28" s="31">
        <f t="shared" si="63"/>
        <v>1.5580421593626417</v>
      </c>
      <c r="AP28" s="31" t="str">
        <f t="shared" si="41"/>
        <v>1+0.0918832761289571i</v>
      </c>
      <c r="AQ28" s="31">
        <f t="shared" si="64"/>
        <v>1.0042123960757456</v>
      </c>
      <c r="AR28" s="31">
        <f t="shared" si="65"/>
        <v>9.1626002135217238E-2</v>
      </c>
      <c r="AS28" s="58" t="str">
        <f t="shared" si="66"/>
        <v>-9.97604570972764+0.268973033778031i</v>
      </c>
      <c r="AT28" s="49">
        <f t="shared" si="67"/>
        <v>19.982324536097085</v>
      </c>
      <c r="AU28" s="61">
        <f t="shared" si="68"/>
        <v>178.45557173640356</v>
      </c>
      <c r="AV28" s="58" t="str">
        <f t="shared" si="42"/>
        <v>-44326.0894989729+18225.8405379947i</v>
      </c>
      <c r="AW28" s="64">
        <f t="shared" si="69"/>
        <v>93.611578705299706</v>
      </c>
      <c r="AX28" s="61">
        <f t="shared" si="70"/>
        <v>157.64869329121544</v>
      </c>
    </row>
    <row r="29" spans="1:50" x14ac:dyDescent="0.4">
      <c r="A29" s="31" t="s">
        <v>162</v>
      </c>
      <c r="B29" s="43">
        <f>Lm</f>
        <v>4.4999999999999996E-5</v>
      </c>
      <c r="C29" s="31" t="s">
        <v>75</v>
      </c>
      <c r="E29" s="31" t="s">
        <v>163</v>
      </c>
      <c r="N29" s="10">
        <v>11</v>
      </c>
      <c r="O29" s="50">
        <f t="shared" si="43"/>
        <v>12.882495516931346</v>
      </c>
      <c r="P29" s="48" t="str">
        <f t="shared" si="44"/>
        <v>5120.19230769231</v>
      </c>
      <c r="Q29" s="17" t="str">
        <f t="shared" si="35"/>
        <v>1+0.378253363309326i</v>
      </c>
      <c r="R29" s="17">
        <f t="shared" si="45"/>
        <v>1.0691471399460493</v>
      </c>
      <c r="S29" s="17">
        <f t="shared" si="46"/>
        <v>0.36161987876533647</v>
      </c>
      <c r="T29" s="17" t="str">
        <f t="shared" si="36"/>
        <v>1+8.08621634452382E-07i</v>
      </c>
      <c r="U29" s="17">
        <f t="shared" si="47"/>
        <v>1.0000000000003268</v>
      </c>
      <c r="V29" s="17">
        <f t="shared" si="48"/>
        <v>8.0862163445220569E-7</v>
      </c>
      <c r="W29" s="31" t="str">
        <f t="shared" si="37"/>
        <v>1-0.001311278326139i</v>
      </c>
      <c r="X29" s="17">
        <f t="shared" si="49"/>
        <v>1.0000008597250547</v>
      </c>
      <c r="Y29" s="17">
        <f t="shared" si="50"/>
        <v>-1.3112775745802319E-3</v>
      </c>
      <c r="Z29" s="31" t="str">
        <f t="shared" si="38"/>
        <v>0.999999933616524+0.00798368091482612i</v>
      </c>
      <c r="AA29" s="17">
        <f t="shared" si="51"/>
        <v>1.0000318026912953</v>
      </c>
      <c r="AB29" s="17">
        <f t="shared" si="52"/>
        <v>7.9835118268893335E-3</v>
      </c>
      <c r="AC29" s="66" t="str">
        <f t="shared" si="53"/>
        <v>4463.23375767079-1735.81799148198i</v>
      </c>
      <c r="AD29" s="64">
        <f t="shared" si="54"/>
        <v>73.604707123051071</v>
      </c>
      <c r="AE29" s="61">
        <f t="shared" si="55"/>
        <v>-21.251798714846473</v>
      </c>
      <c r="AF29" s="31" t="str">
        <f t="shared" si="56"/>
        <v>-10.0808080808081</v>
      </c>
      <c r="AG29" s="31" t="str">
        <f t="shared" si="57"/>
        <v>80.9431065517899i</v>
      </c>
      <c r="AH29" s="31">
        <f t="shared" si="58"/>
        <v>80.943106551789896</v>
      </c>
      <c r="AI29" s="31">
        <f t="shared" si="59"/>
        <v>1.5707963267948966</v>
      </c>
      <c r="AJ29" s="31" t="str">
        <f t="shared" si="39"/>
        <v>0.999874676987581+0.108685304062031i</v>
      </c>
      <c r="AK29" s="31">
        <f t="shared" si="60"/>
        <v>1.0057643188143413</v>
      </c>
      <c r="AL29" s="31">
        <f t="shared" si="61"/>
        <v>0.1082738269902946</v>
      </c>
      <c r="AM29" s="31" t="str">
        <f t="shared" si="40"/>
        <v>1+80.2276989988428i</v>
      </c>
      <c r="AN29" s="31">
        <f t="shared" si="62"/>
        <v>80.233931018297497</v>
      </c>
      <c r="AO29" s="31">
        <f t="shared" si="63"/>
        <v>1.5583324492414568</v>
      </c>
      <c r="AP29" s="31" t="str">
        <f t="shared" si="41"/>
        <v>1+0.0940235125705592i</v>
      </c>
      <c r="AQ29" s="31">
        <f t="shared" si="64"/>
        <v>1.004410484272295</v>
      </c>
      <c r="AR29" s="31">
        <f t="shared" si="65"/>
        <v>9.3747903856038942E-2</v>
      </c>
      <c r="AS29" s="58" t="str">
        <f t="shared" si="66"/>
        <v>-9.97540098499744+0.269299477883126i</v>
      </c>
      <c r="AT29" s="49">
        <f t="shared" si="67"/>
        <v>19.981771243667112</v>
      </c>
      <c r="AU29" s="61">
        <f t="shared" si="68"/>
        <v>178.45359833069574</v>
      </c>
      <c r="AV29" s="58" t="str">
        <f t="shared" si="42"/>
        <v>-44055.0915437368+18517.4270226167i</v>
      </c>
      <c r="AW29" s="64">
        <f t="shared" si="69"/>
        <v>93.586478366718183</v>
      </c>
      <c r="AX29" s="61">
        <f t="shared" si="70"/>
        <v>157.2017996158493</v>
      </c>
    </row>
    <row r="30" spans="1:50" x14ac:dyDescent="0.4">
      <c r="N30" s="10">
        <v>12</v>
      </c>
      <c r="O30" s="50">
        <f t="shared" si="43"/>
        <v>13.182567385564075</v>
      </c>
      <c r="P30" s="48" t="str">
        <f t="shared" si="44"/>
        <v>5120.19230769231</v>
      </c>
      <c r="Q30" s="17" t="str">
        <f t="shared" si="35"/>
        <v>1+0.387064015981059i</v>
      </c>
      <c r="R30" s="17">
        <f t="shared" si="45"/>
        <v>1.0722959257907239</v>
      </c>
      <c r="S30" s="17">
        <f t="shared" si="46"/>
        <v>0.36930516809048586</v>
      </c>
      <c r="T30" s="17" t="str">
        <f t="shared" si="36"/>
        <v>1+8.27456851941732E-07i</v>
      </c>
      <c r="U30" s="17">
        <f t="shared" si="47"/>
        <v>1.0000000000003424</v>
      </c>
      <c r="V30" s="17">
        <f t="shared" si="48"/>
        <v>8.2745685194154307E-7</v>
      </c>
      <c r="W30" s="31" t="str">
        <f t="shared" si="37"/>
        <v>1-0.00134182192206767i</v>
      </c>
      <c r="X30" s="17">
        <f t="shared" si="49"/>
        <v>1.00000090024263</v>
      </c>
      <c r="Y30" s="17">
        <f t="shared" si="50"/>
        <v>-1.34182111675798E-3</v>
      </c>
      <c r="Z30" s="31" t="str">
        <f t="shared" si="38"/>
        <v>0.999999930487967+0.00816964473274717i</v>
      </c>
      <c r="AA30" s="17">
        <f t="shared" si="51"/>
        <v>1.0000333014810048</v>
      </c>
      <c r="AB30" s="17">
        <f t="shared" si="52"/>
        <v>8.1694635520844789E-3</v>
      </c>
      <c r="AC30" s="66" t="str">
        <f t="shared" si="53"/>
        <v>4436.30651351366-1765.82767331945i</v>
      </c>
      <c r="AD30" s="64">
        <f t="shared" si="54"/>
        <v>73.579150909847485</v>
      </c>
      <c r="AE30" s="61">
        <f t="shared" si="55"/>
        <v>-21.704536543441197</v>
      </c>
      <c r="AF30" s="31" t="str">
        <f t="shared" si="56"/>
        <v>-10.0808080808081</v>
      </c>
      <c r="AG30" s="31" t="str">
        <f t="shared" si="57"/>
        <v>82.828513707881i</v>
      </c>
      <c r="AH30" s="31">
        <f t="shared" si="58"/>
        <v>82.828513707881001</v>
      </c>
      <c r="AI30" s="31">
        <f t="shared" si="59"/>
        <v>1.5707963267948966</v>
      </c>
      <c r="AJ30" s="31" t="str">
        <f t="shared" si="39"/>
        <v>0.999868770695969+0.111216910010579i</v>
      </c>
      <c r="AK30" s="31">
        <f t="shared" si="60"/>
        <v>1.0060351682149931</v>
      </c>
      <c r="AL30" s="31">
        <f t="shared" si="61"/>
        <v>0.11077614709388282</v>
      </c>
      <c r="AM30" s="31" t="str">
        <f t="shared" si="40"/>
        <v>1+82.0964421723256i</v>
      </c>
      <c r="AN30" s="31">
        <f t="shared" si="62"/>
        <v>82.102532344343686</v>
      </c>
      <c r="AO30" s="31">
        <f t="shared" si="63"/>
        <v>1.5586161333458175</v>
      </c>
      <c r="AP30" s="31" t="str">
        <f t="shared" si="41"/>
        <v>1+0.0962136015230746i</v>
      </c>
      <c r="AQ30" s="31">
        <f t="shared" si="64"/>
        <v>1.0046178662148315</v>
      </c>
      <c r="AR30" s="31">
        <f t="shared" si="65"/>
        <v>9.5918354731241426E-2</v>
      </c>
      <c r="AS30" s="58" t="str">
        <f t="shared" si="66"/>
        <v>-9.97472658522267+0.26976225589749i</v>
      </c>
      <c r="AT30" s="49">
        <f t="shared" si="67"/>
        <v>19.981195312003507</v>
      </c>
      <c r="AU30" s="61">
        <f t="shared" si="68"/>
        <v>178.4508375264538</v>
      </c>
      <c r="AV30" s="58" t="str">
        <f t="shared" si="42"/>
        <v>-43774.5908638603+18810.3962909196i</v>
      </c>
      <c r="AW30" s="64">
        <f t="shared" si="69"/>
        <v>93.560346221850992</v>
      </c>
      <c r="AX30" s="61">
        <f t="shared" si="70"/>
        <v>156.74630098301259</v>
      </c>
    </row>
    <row r="31" spans="1:50" x14ac:dyDescent="0.4">
      <c r="A31" s="31" t="s">
        <v>124</v>
      </c>
      <c r="B31" s="43">
        <f>R_cs</f>
        <v>4.0000000000000001E-3</v>
      </c>
      <c r="C31" s="2" t="s">
        <v>35</v>
      </c>
      <c r="E31" s="31" t="s">
        <v>164</v>
      </c>
      <c r="N31" s="10">
        <v>13</v>
      </c>
      <c r="O31" s="50">
        <f t="shared" si="43"/>
        <v>13.489628825916535</v>
      </c>
      <c r="P31" s="48" t="str">
        <f t="shared" si="44"/>
        <v>5120.19230769231</v>
      </c>
      <c r="Q31" s="17" t="str">
        <f t="shared" si="35"/>
        <v>1+0.396079895117464i</v>
      </c>
      <c r="R31" s="17">
        <f t="shared" si="45"/>
        <v>1.0755832293766305</v>
      </c>
      <c r="S31" s="17">
        <f t="shared" si="46"/>
        <v>0.37712241494523691</v>
      </c>
      <c r="T31" s="17" t="str">
        <f t="shared" si="36"/>
        <v>1+8.46730798006668E-07i</v>
      </c>
      <c r="U31" s="17">
        <f t="shared" si="47"/>
        <v>1.0000000000003584</v>
      </c>
      <c r="V31" s="17">
        <f t="shared" si="48"/>
        <v>8.4673079800646572E-7</v>
      </c>
      <c r="W31" s="31" t="str">
        <f t="shared" si="37"/>
        <v>1-0.00137307696974054i</v>
      </c>
      <c r="X31" s="17">
        <f t="shared" si="49"/>
        <v>1.000000942669738</v>
      </c>
      <c r="Y31" s="17">
        <f t="shared" si="50"/>
        <v>-1.3730761068357045E-3</v>
      </c>
      <c r="Z31" s="31" t="str">
        <f t="shared" si="38"/>
        <v>0.999999927211966+0.00835994020444355i</v>
      </c>
      <c r="AA31" s="17">
        <f t="shared" si="51"/>
        <v>1.0000348709040896</v>
      </c>
      <c r="AB31" s="17">
        <f t="shared" si="52"/>
        <v>8.3597460662313515E-3</v>
      </c>
      <c r="AC31" s="66" t="str">
        <f t="shared" si="53"/>
        <v>4408.44666528415-1795.92420150316i</v>
      </c>
      <c r="AD31" s="64">
        <f t="shared" si="54"/>
        <v>73.552550323977954</v>
      </c>
      <c r="AE31" s="61">
        <f t="shared" si="55"/>
        <v>-22.165123855310398</v>
      </c>
      <c r="AF31" s="31" t="str">
        <f t="shared" si="56"/>
        <v>-10.0808080808081</v>
      </c>
      <c r="AG31" s="31" t="str">
        <f t="shared" si="57"/>
        <v>84.757837638305i</v>
      </c>
      <c r="AH31" s="31">
        <f t="shared" si="58"/>
        <v>84.757837638305006</v>
      </c>
      <c r="AI31" s="31">
        <f t="shared" si="59"/>
        <v>1.5707963267948966</v>
      </c>
      <c r="AJ31" s="31" t="str">
        <f t="shared" si="39"/>
        <v>0.999862586049408+0.113807484636945i</v>
      </c>
      <c r="AK31" s="31">
        <f t="shared" si="60"/>
        <v>1.006318704258645</v>
      </c>
      <c r="AL31" s="31">
        <f t="shared" si="61"/>
        <v>0.11333535865904423</v>
      </c>
      <c r="AM31" s="31" t="str">
        <f t="shared" si="40"/>
        <v>1+84.0087139661229i</v>
      </c>
      <c r="AN31" s="31">
        <f t="shared" si="62"/>
        <v>84.01466551883577</v>
      </c>
      <c r="AO31" s="31">
        <f t="shared" si="63"/>
        <v>1.5588933619060465</v>
      </c>
      <c r="AP31" s="31" t="str">
        <f t="shared" si="41"/>
        <v>1+0.0984547042006551i</v>
      </c>
      <c r="AQ31" s="31">
        <f t="shared" si="64"/>
        <v>1.004834975893673</v>
      </c>
      <c r="AR31" s="31">
        <f t="shared" si="65"/>
        <v>9.813842372007392E-2</v>
      </c>
      <c r="AS31" s="58" t="str">
        <f t="shared" si="66"/>
        <v>-9.97402117909382+0.270361162899247i</v>
      </c>
      <c r="AT31" s="49">
        <f t="shared" si="67"/>
        <v>19.980595590504922</v>
      </c>
      <c r="AU31" s="61">
        <f t="shared" si="68"/>
        <v>178.44729011463858</v>
      </c>
      <c r="AV31" s="58" t="str">
        <f t="shared" si="42"/>
        <v>-43484.3922508523+19104.4587888452i</v>
      </c>
      <c r="AW31" s="64">
        <f t="shared" si="69"/>
        <v>93.533145914482873</v>
      </c>
      <c r="AX31" s="61">
        <f t="shared" si="70"/>
        <v>156.28216625932816</v>
      </c>
    </row>
    <row r="32" spans="1:50" x14ac:dyDescent="0.4">
      <c r="A32" s="31" t="s">
        <v>125</v>
      </c>
      <c r="B32" s="43">
        <f>R_sl</f>
        <v>3240</v>
      </c>
      <c r="C32" s="2" t="s">
        <v>35</v>
      </c>
      <c r="E32" s="31" t="s">
        <v>165</v>
      </c>
      <c r="N32" s="10">
        <v>14</v>
      </c>
      <c r="O32" s="50">
        <f t="shared" si="43"/>
        <v>13.803842646028857</v>
      </c>
      <c r="P32" s="48" t="str">
        <f t="shared" si="44"/>
        <v>5120.19230769231</v>
      </c>
      <c r="Q32" s="17" t="str">
        <f t="shared" si="35"/>
        <v>1+0.405305781056997i</v>
      </c>
      <c r="R32" s="17">
        <f t="shared" si="45"/>
        <v>1.079014724717982</v>
      </c>
      <c r="S32" s="17">
        <f t="shared" si="46"/>
        <v>0.38507194145528628</v>
      </c>
      <c r="T32" s="17" t="str">
        <f t="shared" si="36"/>
        <v>1+8.66453691948515E-07i</v>
      </c>
      <c r="U32" s="17">
        <f t="shared" si="47"/>
        <v>1.0000000000003753</v>
      </c>
      <c r="V32" s="17">
        <f t="shared" si="48"/>
        <v>8.664536919482982E-7</v>
      </c>
      <c r="W32" s="31" t="str">
        <f t="shared" si="37"/>
        <v>1-0.00140506004099759i</v>
      </c>
      <c r="X32" s="17">
        <f t="shared" si="49"/>
        <v>1.0000009870963722</v>
      </c>
      <c r="Y32" s="17">
        <f t="shared" si="50"/>
        <v>-1.4050591163784494E-3</v>
      </c>
      <c r="Z32" s="31" t="str">
        <f t="shared" si="38"/>
        <v>0.999999923781571+0.00855466822709323i</v>
      </c>
      <c r="AA32" s="17">
        <f t="shared" si="51"/>
        <v>1.0000365142891652</v>
      </c>
      <c r="AB32" s="17">
        <f t="shared" si="52"/>
        <v>8.5544602046612028E-3</v>
      </c>
      <c r="AC32" s="66" t="str">
        <f t="shared" si="53"/>
        <v>4379.63600335575-1826.07935462898i</v>
      </c>
      <c r="AD32" s="64">
        <f t="shared" si="54"/>
        <v>73.524869450748014</v>
      </c>
      <c r="AE32" s="61">
        <f t="shared" si="55"/>
        <v>-22.633585833231532</v>
      </c>
      <c r="AF32" s="31" t="str">
        <f t="shared" si="56"/>
        <v>-10.0808080808081</v>
      </c>
      <c r="AG32" s="31" t="str">
        <f t="shared" si="57"/>
        <v>86.7321012961475i</v>
      </c>
      <c r="AH32" s="31">
        <f t="shared" si="58"/>
        <v>86.732101296147505</v>
      </c>
      <c r="AI32" s="31">
        <f t="shared" si="59"/>
        <v>1.5707963267948966</v>
      </c>
      <c r="AJ32" s="31" t="str">
        <f t="shared" si="39"/>
        <v>0.999856109929435+0.116458401498085i</v>
      </c>
      <c r="AK32" s="31">
        <f t="shared" si="60"/>
        <v>1.0066155173862119</v>
      </c>
      <c r="AL32" s="31">
        <f t="shared" si="61"/>
        <v>0.11595268876914479</v>
      </c>
      <c r="AM32" s="31" t="str">
        <f t="shared" si="40"/>
        <v>1+85.9655282920519i</v>
      </c>
      <c r="AN32" s="31">
        <f t="shared" si="62"/>
        <v>85.971344380157134</v>
      </c>
      <c r="AO32" s="31">
        <f t="shared" si="63"/>
        <v>1.5591642817418458</v>
      </c>
      <c r="AP32" s="31" t="str">
        <f t="shared" si="41"/>
        <v>1+0.100748008865605i</v>
      </c>
      <c r="AQ32" s="31">
        <f t="shared" si="64"/>
        <v>1.0050622673697307</v>
      </c>
      <c r="AR32" s="31">
        <f t="shared" si="65"/>
        <v>0.10040920034782538</v>
      </c>
      <c r="AS32" s="58" t="str">
        <f t="shared" si="66"/>
        <v>-9.97328337886204+0.271096035274167i</v>
      </c>
      <c r="AT32" s="49">
        <f t="shared" si="67"/>
        <v>19.979970884803233</v>
      </c>
      <c r="AU32" s="61">
        <f t="shared" si="68"/>
        <v>178.4429566259021</v>
      </c>
      <c r="AV32" s="58" t="str">
        <f t="shared" si="42"/>
        <v>-43184.3080845978+19399.3088324581i</v>
      </c>
      <c r="AW32" s="64">
        <f t="shared" si="69"/>
        <v>93.504840335551251</v>
      </c>
      <c r="AX32" s="61">
        <f t="shared" si="70"/>
        <v>155.80937079267056</v>
      </c>
    </row>
    <row r="33" spans="1:50" x14ac:dyDescent="0.4">
      <c r="A33" s="31" t="s">
        <v>111</v>
      </c>
      <c r="B33" s="21">
        <f>Rsl_int</f>
        <v>1333</v>
      </c>
      <c r="C33" s="2" t="s">
        <v>35</v>
      </c>
      <c r="E33" s="31" t="s">
        <v>166</v>
      </c>
      <c r="N33" s="10">
        <v>15</v>
      </c>
      <c r="O33" s="50">
        <f t="shared" si="43"/>
        <v>14.125375446227544</v>
      </c>
      <c r="P33" s="48" t="str">
        <f t="shared" si="44"/>
        <v>5120.19230769231</v>
      </c>
      <c r="Q33" s="17" t="str">
        <f t="shared" si="35"/>
        <v>1+0.414746565486503i</v>
      </c>
      <c r="R33" s="17">
        <f t="shared" si="45"/>
        <v>1.0825962837470162</v>
      </c>
      <c r="S33" s="17">
        <f t="shared" si="46"/>
        <v>0.39315394256571196</v>
      </c>
      <c r="T33" s="17" t="str">
        <f t="shared" si="36"/>
        <v>1+8.86635991106702E-07i</v>
      </c>
      <c r="U33" s="17">
        <f t="shared" si="47"/>
        <v>1.000000000000393</v>
      </c>
      <c r="V33" s="17">
        <f t="shared" si="48"/>
        <v>8.8663599110646973E-7</v>
      </c>
      <c r="W33" s="31" t="str">
        <f t="shared" si="37"/>
        <v>1-0.00143778809368654i</v>
      </c>
      <c r="X33" s="17">
        <f t="shared" si="49"/>
        <v>1.0000010336167671</v>
      </c>
      <c r="Y33" s="17">
        <f t="shared" si="50"/>
        <v>-1.4377871029393361E-3</v>
      </c>
      <c r="Z33" s="31" t="str">
        <f t="shared" si="38"/>
        <v>0.999999920189507+0.00875393204807132i</v>
      </c>
      <c r="AA33" s="17">
        <f t="shared" si="51"/>
        <v>1.0000382351216992</v>
      </c>
      <c r="AB33" s="17">
        <f t="shared" si="52"/>
        <v>8.7537091484797581E-3</v>
      </c>
      <c r="AC33" s="66" t="str">
        <f t="shared" si="53"/>
        <v>4349.85713887945-1856.26334558831i</v>
      </c>
      <c r="AD33" s="64">
        <f t="shared" si="54"/>
        <v>73.496071695521024</v>
      </c>
      <c r="AE33" s="61">
        <f t="shared" si="55"/>
        <v>-23.109940529573535</v>
      </c>
      <c r="AF33" s="31" t="str">
        <f t="shared" si="56"/>
        <v>-10.0808080808081</v>
      </c>
      <c r="AG33" s="31" t="str">
        <f t="shared" si="57"/>
        <v>88.7523514621322i</v>
      </c>
      <c r="AH33" s="31">
        <f t="shared" si="58"/>
        <v>88.752351462132197</v>
      </c>
      <c r="AI33" s="31">
        <f t="shared" si="59"/>
        <v>1.5707963267948966</v>
      </c>
      <c r="AJ33" s="31" t="str">
        <f t="shared" si="39"/>
        <v>0.99984932859933+0.119171066145209i</v>
      </c>
      <c r="AK33" s="31">
        <f t="shared" si="60"/>
        <v>1.0069262251559032</v>
      </c>
      <c r="AL33" s="31">
        <f t="shared" si="61"/>
        <v>0.11862938627704564</v>
      </c>
      <c r="AM33" s="31" t="str">
        <f t="shared" si="40"/>
        <v>1+87.9679226789696i</v>
      </c>
      <c r="AN33" s="31">
        <f t="shared" si="62"/>
        <v>87.973606385399322</v>
      </c>
      <c r="AO33" s="31">
        <f t="shared" si="63"/>
        <v>1.5594290363393279</v>
      </c>
      <c r="AP33" s="31" t="str">
        <f t="shared" si="41"/>
        <v>1+0.103094731458413i</v>
      </c>
      <c r="AQ33" s="31">
        <f t="shared" si="64"/>
        <v>1.0053002156840922</v>
      </c>
      <c r="AR33" s="31">
        <f t="shared" si="65"/>
        <v>0.10273179488618089</v>
      </c>
      <c r="AS33" s="58" t="str">
        <f t="shared" si="66"/>
        <v>-9.97251173826095+0.271966748579373i</v>
      </c>
      <c r="AT33" s="49">
        <f t="shared" si="67"/>
        <v>19.979319954854418</v>
      </c>
      <c r="AU33" s="61">
        <f t="shared" si="68"/>
        <v>178.43783734127649</v>
      </c>
      <c r="AV33" s="58" t="str">
        <f t="shared" si="42"/>
        <v>-42874.1594706268+19694.6245060288i</v>
      </c>
      <c r="AW33" s="64">
        <f t="shared" si="69"/>
        <v>93.475391650375443</v>
      </c>
      <c r="AX33" s="61">
        <f t="shared" si="70"/>
        <v>155.32789681170294</v>
      </c>
    </row>
    <row r="34" spans="1:50" x14ac:dyDescent="0.4">
      <c r="A34" s="31" t="s">
        <v>109</v>
      </c>
      <c r="B34" s="21">
        <f>Isl</f>
        <v>2.9999999999999997E-5</v>
      </c>
      <c r="C34" s="2" t="s">
        <v>12</v>
      </c>
      <c r="E34" s="31" t="s">
        <v>167</v>
      </c>
      <c r="N34" s="10">
        <v>16</v>
      </c>
      <c r="O34" s="50">
        <f t="shared" si="43"/>
        <v>14.454397707459275</v>
      </c>
      <c r="P34" s="48" t="str">
        <f t="shared" si="44"/>
        <v>5120.19230769231</v>
      </c>
      <c r="Q34" s="17" t="str">
        <f t="shared" si="35"/>
        <v>1+0.424407254034849i</v>
      </c>
      <c r="R34" s="17">
        <f t="shared" si="45"/>
        <v>1.0863339805406995</v>
      </c>
      <c r="S34" s="17">
        <f t="shared" si="46"/>
        <v>0.40136847916511997</v>
      </c>
      <c r="T34" s="17" t="str">
        <f t="shared" si="36"/>
        <v>1+9.07288396403389E-07i</v>
      </c>
      <c r="U34" s="17">
        <f t="shared" si="47"/>
        <v>1.0000000000004117</v>
      </c>
      <c r="V34" s="17">
        <f t="shared" si="48"/>
        <v>9.0728839640314006E-7</v>
      </c>
      <c r="W34" s="31" t="str">
        <f t="shared" si="37"/>
        <v>1-0.00147127848065414i</v>
      </c>
      <c r="X34" s="17">
        <f t="shared" si="49"/>
        <v>1.0000010823295982</v>
      </c>
      <c r="Y34" s="17">
        <f t="shared" si="50"/>
        <v>-1.4712774190494466E-3</v>
      </c>
      <c r="Z34" s="31" t="str">
        <f t="shared" si="38"/>
        <v>0.999999916428155+0.00895783731969329i</v>
      </c>
      <c r="AA34" s="17">
        <f t="shared" si="51"/>
        <v>1.0000400370513989</v>
      </c>
      <c r="AB34" s="17">
        <f t="shared" si="52"/>
        <v>8.9575984789942321E-3</v>
      </c>
      <c r="AC34" s="66" t="str">
        <f t="shared" si="53"/>
        <v>4319.09361656674-1886.44481890997i</v>
      </c>
      <c r="AD34" s="64">
        <f t="shared" si="54"/>
        <v>73.466119817064367</v>
      </c>
      <c r="AE34" s="61">
        <f t="shared" si="55"/>
        <v>-23.594198475973599</v>
      </c>
      <c r="AF34" s="31" t="str">
        <f t="shared" si="56"/>
        <v>-10.0808080808081</v>
      </c>
      <c r="AG34" s="31" t="str">
        <f t="shared" si="57"/>
        <v>90.8196592996384i</v>
      </c>
      <c r="AH34" s="31">
        <f t="shared" si="58"/>
        <v>90.819659299638403</v>
      </c>
      <c r="AI34" s="31">
        <f t="shared" si="59"/>
        <v>1.5707963267948966</v>
      </c>
      <c r="AJ34" s="31" t="str">
        <f t="shared" si="39"/>
        <v>0.999842227674984+0.121946916869019i</v>
      </c>
      <c r="AK34" s="31">
        <f t="shared" si="60"/>
        <v>1.0072514734543376</v>
      </c>
      <c r="AL34" s="31">
        <f t="shared" si="61"/>
        <v>0.12136672184904042</v>
      </c>
      <c r="AM34" s="31" t="str">
        <f t="shared" si="40"/>
        <v>1+90.0169588228848i</v>
      </c>
      <c r="AN34" s="31">
        <f t="shared" si="62"/>
        <v>90.022513160436347</v>
      </c>
      <c r="AO34" s="31">
        <f t="shared" si="63"/>
        <v>1.5596877659263357</v>
      </c>
      <c r="AP34" s="31" t="str">
        <f t="shared" si="41"/>
        <v>1+0.10549611624246i</v>
      </c>
      <c r="AQ34" s="31">
        <f t="shared" si="64"/>
        <v>1.0055493178070594</v>
      </c>
      <c r="AR34" s="31">
        <f t="shared" si="65"/>
        <v>0.10510733851775424</v>
      </c>
      <c r="AS34" s="58" t="str">
        <f t="shared" si="66"/>
        <v>-9.97170475038263+0.272973215299532i</v>
      </c>
      <c r="AT34" s="49">
        <f t="shared" si="67"/>
        <v>19.978641512989366</v>
      </c>
      <c r="AU34" s="61">
        <f t="shared" si="68"/>
        <v>178.43193230339924</v>
      </c>
      <c r="AV34" s="58" t="str">
        <f t="shared" si="42"/>
        <v>-42553.7774259628+19990.0676337532i</v>
      </c>
      <c r="AW34" s="64">
        <f t="shared" si="69"/>
        <v>93.444761330053723</v>
      </c>
      <c r="AX34" s="61">
        <f t="shared" si="70"/>
        <v>154.83773382742555</v>
      </c>
    </row>
    <row r="35" spans="1:50" x14ac:dyDescent="0.4">
      <c r="B35" s="26"/>
      <c r="C35" s="2"/>
      <c r="N35" s="10">
        <v>17</v>
      </c>
      <c r="O35" s="50">
        <f t="shared" si="43"/>
        <v>14.791083881682074</v>
      </c>
      <c r="P35" s="48" t="str">
        <f t="shared" si="44"/>
        <v>5120.19230769231</v>
      </c>
      <c r="Q35" s="17" t="str">
        <f t="shared" si="35"/>
        <v>1+0.434292968926979i</v>
      </c>
      <c r="R35" s="17">
        <f t="shared" si="45"/>
        <v>1.0902340954397867</v>
      </c>
      <c r="S35" s="17">
        <f t="shared" si="46"/>
        <v>0.40971547121473395</v>
      </c>
      <c r="T35" s="17" t="str">
        <f t="shared" si="36"/>
        <v>1+9.2842185801723E-07i</v>
      </c>
      <c r="U35" s="17">
        <f t="shared" si="47"/>
        <v>1.000000000000431</v>
      </c>
      <c r="V35" s="17">
        <f t="shared" si="48"/>
        <v>9.2842185801696328E-7</v>
      </c>
      <c r="W35" s="31" t="str">
        <f t="shared" si="37"/>
        <v>1-0.00150554895894686i</v>
      </c>
      <c r="X35" s="17">
        <f t="shared" si="49"/>
        <v>1.0000011333381917</v>
      </c>
      <c r="Y35" s="17">
        <f t="shared" si="50"/>
        <v>-1.5055478214170061E-3</v>
      </c>
      <c r="Z35" s="31" t="str">
        <f t="shared" si="38"/>
        <v>0.999999912489535+0.00916649215523315i</v>
      </c>
      <c r="AA35" s="17">
        <f t="shared" si="51"/>
        <v>1.0000419238999481</v>
      </c>
      <c r="AB35" s="17">
        <f t="shared" si="52"/>
        <v>9.1662362333926814E-3</v>
      </c>
      <c r="AC35" s="66" t="str">
        <f t="shared" si="53"/>
        <v>4287.33003173878-1916.59085576634i</v>
      </c>
      <c r="AD35" s="64">
        <f t="shared" si="54"/>
        <v>73.434975965272301</v>
      </c>
      <c r="AE35" s="61">
        <f t="shared" si="55"/>
        <v>-24.086362293379491</v>
      </c>
      <c r="AF35" s="31" t="str">
        <f t="shared" si="56"/>
        <v>-10.0808080808081</v>
      </c>
      <c r="AG35" s="31" t="str">
        <f t="shared" si="57"/>
        <v>92.9351209226456i</v>
      </c>
      <c r="AH35" s="31">
        <f t="shared" si="58"/>
        <v>92.935120922645595</v>
      </c>
      <c r="AI35" s="31">
        <f t="shared" si="59"/>
        <v>1.5707963267948966</v>
      </c>
      <c r="AJ35" s="31" t="str">
        <f t="shared" si="39"/>
        <v>0.999834792094383+0.12478742546231i</v>
      </c>
      <c r="AK35" s="31">
        <f t="shared" si="60"/>
        <v>1.0075919377585003</v>
      </c>
      <c r="AL35" s="31">
        <f t="shared" si="61"/>
        <v>0.12416598797954465</v>
      </c>
      <c r="AM35" s="31" t="str">
        <f t="shared" si="40"/>
        <v>1+92.1137231498832i</v>
      </c>
      <c r="AN35" s="31">
        <f t="shared" si="62"/>
        <v>92.119151062812819</v>
      </c>
      <c r="AO35" s="31">
        <f t="shared" si="63"/>
        <v>1.5599406075460849</v>
      </c>
      <c r="AP35" s="31" t="str">
        <f t="shared" si="41"/>
        <v>1+0.107953436463745i</v>
      </c>
      <c r="AQ35" s="31">
        <f t="shared" si="64"/>
        <v>1.0058100936281817</v>
      </c>
      <c r="AR35" s="31">
        <f t="shared" si="65"/>
        <v>0.10753698348315334</v>
      </c>
      <c r="AS35" s="58" t="str">
        <f t="shared" si="66"/>
        <v>-9.97086084551062+0.274115382487648i</v>
      </c>
      <c r="AT35" s="49">
        <f t="shared" si="67"/>
        <v>19.977934221925931</v>
      </c>
      <c r="AU35" s="61">
        <f t="shared" si="68"/>
        <v>178.42524132831687</v>
      </c>
      <c r="AV35" s="58" t="str">
        <f t="shared" si="42"/>
        <v>-42223.0041097453+20285.2838321251i</v>
      </c>
      <c r="AW35" s="64">
        <f t="shared" si="69"/>
        <v>93.412910187198236</v>
      </c>
      <c r="AX35" s="61">
        <f t="shared" si="70"/>
        <v>154.33887903493743</v>
      </c>
    </row>
    <row r="36" spans="1:50" x14ac:dyDescent="0.4">
      <c r="A36" s="31" t="s">
        <v>190</v>
      </c>
      <c r="B36" s="21">
        <f>Gcomp</f>
        <v>0.14199999999999999</v>
      </c>
      <c r="C36" s="2"/>
      <c r="E36" s="31" t="s">
        <v>191</v>
      </c>
      <c r="N36" s="10">
        <v>18</v>
      </c>
      <c r="O36" s="50">
        <f t="shared" si="43"/>
        <v>15.135612484362087</v>
      </c>
      <c r="P36" s="48" t="str">
        <f t="shared" si="44"/>
        <v>5120.19230769231</v>
      </c>
      <c r="Q36" s="17" t="str">
        <f t="shared" si="35"/>
        <v>1+0.444408951699781i</v>
      </c>
      <c r="R36" s="17">
        <f t="shared" si="45"/>
        <v>1.0943031190446724</v>
      </c>
      <c r="S36" s="17">
        <f t="shared" si="46"/>
        <v>0.41819469091750366</v>
      </c>
      <c r="T36" s="17" t="str">
        <f t="shared" si="36"/>
        <v>1+9.5004758118931E-07i</v>
      </c>
      <c r="U36" s="17">
        <f t="shared" si="47"/>
        <v>1.0000000000004512</v>
      </c>
      <c r="V36" s="17">
        <f t="shared" si="48"/>
        <v>9.5004758118902411E-7</v>
      </c>
      <c r="W36" s="31" t="str">
        <f t="shared" si="37"/>
        <v>1-0.00154061769922591i</v>
      </c>
      <c r="X36" s="17">
        <f t="shared" si="49"/>
        <v>1.0000011867507435</v>
      </c>
      <c r="Y36" s="17">
        <f t="shared" si="50"/>
        <v>-1.5406164803407894E-3</v>
      </c>
      <c r="Z36" s="31" t="str">
        <f t="shared" si="38"/>
        <v>0.999999908365294+0.0093800071862466i</v>
      </c>
      <c r="AA36" s="17">
        <f t="shared" si="51"/>
        <v>1.0000438996691146</v>
      </c>
      <c r="AB36" s="17">
        <f t="shared" si="52"/>
        <v>9.3797329617040549E-3</v>
      </c>
      <c r="AC36" s="66" t="str">
        <f t="shared" si="53"/>
        <v>4254.55215120011-1946.66698731123i</v>
      </c>
      <c r="AD36" s="64">
        <f t="shared" si="54"/>
        <v>73.402601723420673</v>
      </c>
      <c r="AE36" s="61">
        <f t="shared" si="55"/>
        <v>-24.586426304471356</v>
      </c>
      <c r="AF36" s="31" t="str">
        <f t="shared" si="56"/>
        <v>-10.0808080808081</v>
      </c>
      <c r="AG36" s="31" t="str">
        <f t="shared" si="57"/>
        <v>95.0998579769078i</v>
      </c>
      <c r="AH36" s="31">
        <f t="shared" si="58"/>
        <v>95.099857976907799</v>
      </c>
      <c r="AI36" s="31">
        <f t="shared" si="59"/>
        <v>1.5707963267948966</v>
      </c>
      <c r="AJ36" s="31" t="str">
        <f t="shared" si="39"/>
        <v>0.999827006085665+0.127694098000339i</v>
      </c>
      <c r="AK36" s="31">
        <f t="shared" si="60"/>
        <v>1.0079483244503882</v>
      </c>
      <c r="AL36" s="31">
        <f t="shared" si="61"/>
        <v>0.12702849897402055</v>
      </c>
      <c r="AM36" s="31" t="str">
        <f t="shared" si="40"/>
        <v>1+94.259327392165i</v>
      </c>
      <c r="AN36" s="31">
        <f t="shared" si="62"/>
        <v>94.264631757745434</v>
      </c>
      <c r="AO36" s="31">
        <f t="shared" si="63"/>
        <v>1.5601876951291631</v>
      </c>
      <c r="AP36" s="31" t="str">
        <f t="shared" si="41"/>
        <v>1+0.110467995025976i</v>
      </c>
      <c r="AQ36" s="31">
        <f t="shared" si="64"/>
        <v>1.0060830869888724</v>
      </c>
      <c r="AR36" s="31">
        <f t="shared" si="65"/>
        <v>0.11002190320882126</v>
      </c>
      <c r="AS36" s="58" t="str">
        <f t="shared" si="66"/>
        <v>-9.9699783889122+0.275393229281656i</v>
      </c>
      <c r="AT36" s="49">
        <f t="shared" si="67"/>
        <v>19.977196692743021</v>
      </c>
      <c r="AU36" s="61">
        <f t="shared" si="68"/>
        <v>178.41776401791367</v>
      </c>
      <c r="AV36" s="58" t="str">
        <f t="shared" si="42"/>
        <v>-41881.6940939934+20579.902649968i</v>
      </c>
      <c r="AW36" s="64">
        <f t="shared" si="69"/>
        <v>93.379798416163709</v>
      </c>
      <c r="AX36" s="61">
        <f t="shared" si="70"/>
        <v>153.83133771344231</v>
      </c>
    </row>
    <row r="37" spans="1:50" x14ac:dyDescent="0.4">
      <c r="N37" s="10">
        <v>19</v>
      </c>
      <c r="O37" s="50">
        <f t="shared" si="43"/>
        <v>15.488166189124817</v>
      </c>
      <c r="P37" s="48" t="str">
        <f t="shared" si="44"/>
        <v>5120.19230769231</v>
      </c>
      <c r="Q37" s="17" t="str">
        <f t="shared" si="35"/>
        <v>1+0.454760565981222i</v>
      </c>
      <c r="R37" s="17">
        <f t="shared" si="45"/>
        <v>1.0985477560723345</v>
      </c>
      <c r="S37" s="17">
        <f t="shared" si="46"/>
        <v>0.42680575596524267</v>
      </c>
      <c r="T37" s="17" t="str">
        <f t="shared" si="36"/>
        <v>1+9.72177032164301E-07i</v>
      </c>
      <c r="U37" s="17">
        <f t="shared" si="47"/>
        <v>1.0000000000004725</v>
      </c>
      <c r="V37" s="17">
        <f t="shared" si="48"/>
        <v>9.7217703216399478E-7</v>
      </c>
      <c r="W37" s="31" t="str">
        <f t="shared" si="37"/>
        <v>1-0.00157650329540157i</v>
      </c>
      <c r="X37" s="17">
        <f t="shared" si="49"/>
        <v>1.000001242680548</v>
      </c>
      <c r="Y37" s="17">
        <f t="shared" si="50"/>
        <v>-1.5765019893427201E-3</v>
      </c>
      <c r="Z37" s="31" t="str">
        <f t="shared" si="38"/>
        <v>0.999999904046683+0.00959849562122926i</v>
      </c>
      <c r="AA37" s="17">
        <f t="shared" si="51"/>
        <v>1.0000459685492291</v>
      </c>
      <c r="AB37" s="17">
        <f t="shared" si="52"/>
        <v>9.5982017850674249E-3</v>
      </c>
      <c r="AC37" s="66" t="str">
        <f t="shared" si="53"/>
        <v>4220.74703741155-1976.63721700643i</v>
      </c>
      <c r="AD37" s="64">
        <f t="shared" si="54"/>
        <v>73.368958155088407</v>
      </c>
      <c r="AE37" s="61">
        <f t="shared" si="55"/>
        <v>-25.094376150640684</v>
      </c>
      <c r="AF37" s="31" t="str">
        <f t="shared" si="56"/>
        <v>-10.0808080808081</v>
      </c>
      <c r="AG37" s="31" t="str">
        <f t="shared" si="57"/>
        <v>97.3150182346647i</v>
      </c>
      <c r="AH37" s="31">
        <f t="shared" si="58"/>
        <v>97.315018234664706</v>
      </c>
      <c r="AI37" s="31">
        <f t="shared" si="59"/>
        <v>1.5707963267948966</v>
      </c>
      <c r="AJ37" s="31" t="str">
        <f t="shared" si="39"/>
        <v>0.99981885313366+0.130668475639359i</v>
      </c>
      <c r="AK37" s="31">
        <f t="shared" si="60"/>
        <v>1.0083213721861801</v>
      </c>
      <c r="AL37" s="31">
        <f t="shared" si="61"/>
        <v>0.12995559089745484</v>
      </c>
      <c r="AM37" s="31" t="str">
        <f t="shared" si="40"/>
        <v>1+96.4549091774998i</v>
      </c>
      <c r="AN37" s="31">
        <f t="shared" si="62"/>
        <v>96.460092807542622</v>
      </c>
      <c r="AO37" s="31">
        <f t="shared" si="63"/>
        <v>1.5604291595639266</v>
      </c>
      <c r="AP37" s="31" t="str">
        <f t="shared" si="41"/>
        <v>1+0.113041125181387i</v>
      </c>
      <c r="AQ37" s="31">
        <f t="shared" si="64"/>
        <v>1.0063688667592385</v>
      </c>
      <c r="AR37" s="31">
        <f t="shared" si="65"/>
        <v>0.11256329241378439</v>
      </c>
      <c r="AS37" s="58" t="str">
        <f t="shared" si="66"/>
        <v>-9.96905567859376+0.276806764287984i</v>
      </c>
      <c r="AT37" s="49">
        <f t="shared" si="67"/>
        <v>19.976427482818735</v>
      </c>
      <c r="AU37" s="61">
        <f t="shared" si="68"/>
        <v>178.40949977301298</v>
      </c>
      <c r="AV37" s="58" t="str">
        <f t="shared" si="42"/>
        <v>-41529.7156690046+20873.5378030217i</v>
      </c>
      <c r="AW37" s="64">
        <f t="shared" si="69"/>
        <v>93.345385637907142</v>
      </c>
      <c r="AX37" s="61">
        <f t="shared" si="70"/>
        <v>153.31512362237228</v>
      </c>
    </row>
    <row r="38" spans="1:50" x14ac:dyDescent="0.4">
      <c r="N38" s="10">
        <v>20</v>
      </c>
      <c r="O38" s="50">
        <f t="shared" si="43"/>
        <v>15.848931924611136</v>
      </c>
      <c r="P38" s="48" t="str">
        <f t="shared" si="44"/>
        <v>5120.19230769231</v>
      </c>
      <c r="Q38" s="17" t="str">
        <f t="shared" si="35"/>
        <v>1+0.465353300334214i</v>
      </c>
      <c r="R38" s="17">
        <f t="shared" si="45"/>
        <v>1.102974929058655</v>
      </c>
      <c r="S38" s="17">
        <f t="shared" si="46"/>
        <v>0.43554812290462935</v>
      </c>
      <c r="T38" s="17" t="str">
        <f t="shared" si="36"/>
        <v>1+9.94821944270031E-07i</v>
      </c>
      <c r="U38" s="17">
        <f t="shared" si="47"/>
        <v>1.0000000000004947</v>
      </c>
      <c r="V38" s="17">
        <f t="shared" si="48"/>
        <v>9.9482194426970267E-7</v>
      </c>
      <c r="W38" s="31" t="str">
        <f t="shared" si="37"/>
        <v>1-0.00161322477449194i</v>
      </c>
      <c r="X38" s="17">
        <f t="shared" si="49"/>
        <v>1.0000013012462399</v>
      </c>
      <c r="Y38" s="17">
        <f t="shared" si="50"/>
        <v>-1.6132233750247669E-3</v>
      </c>
      <c r="Z38" s="31" t="str">
        <f t="shared" si="38"/>
        <v>0.999999899524543+0.0098220733056414i</v>
      </c>
      <c r="AA38" s="17">
        <f t="shared" si="51"/>
        <v>1.0000481349280732</v>
      </c>
      <c r="AB38" s="17">
        <f t="shared" si="52"/>
        <v>9.8217584553398889E-3</v>
      </c>
      <c r="AC38" s="66" t="str">
        <f t="shared" si="53"/>
        <v>4185.90317535077-2006.46405257485i</v>
      </c>
      <c r="AD38" s="64">
        <f t="shared" si="54"/>
        <v>73.334005855860596</v>
      </c>
      <c r="AE38" s="61">
        <f t="shared" si="55"/>
        <v>-25.610188415870443</v>
      </c>
      <c r="AF38" s="31" t="str">
        <f t="shared" si="56"/>
        <v>-10.0808080808081</v>
      </c>
      <c r="AG38" s="31" t="str">
        <f t="shared" si="57"/>
        <v>99.5817762032062i</v>
      </c>
      <c r="AH38" s="31">
        <f t="shared" si="58"/>
        <v>99.581776203206203</v>
      </c>
      <c r="AI38" s="31">
        <f t="shared" si="59"/>
        <v>1.5707963267948966</v>
      </c>
      <c r="AJ38" s="31" t="str">
        <f t="shared" si="39"/>
        <v>0.999810315944866+0.133712135433764i</v>
      </c>
      <c r="AK38" s="31">
        <f t="shared" si="60"/>
        <v>1.0087118533218642</v>
      </c>
      <c r="AL38" s="31">
        <f t="shared" si="61"/>
        <v>0.13294862148558345</v>
      </c>
      <c r="AM38" s="31" t="str">
        <f t="shared" si="40"/>
        <v>1+98.7016326324121i</v>
      </c>
      <c r="AN38" s="31">
        <f t="shared" si="62"/>
        <v>98.706698274755581</v>
      </c>
      <c r="AO38" s="31">
        <f t="shared" si="63"/>
        <v>1.560665128765321</v>
      </c>
      <c r="AP38" s="31" t="str">
        <f t="shared" si="41"/>
        <v>1+0.115674191237644i</v>
      </c>
      <c r="AQ38" s="31">
        <f t="shared" si="64"/>
        <v>1.0066680279607985</v>
      </c>
      <c r="AR38" s="31">
        <f t="shared" si="65"/>
        <v>0.11516236719331018</v>
      </c>
      <c r="AS38" s="58" t="str">
        <f t="shared" si="66"/>
        <v>-9.9680909430229+0.278356022822949i</v>
      </c>
      <c r="AT38" s="49">
        <f t="shared" si="67"/>
        <v>19.975625093734351</v>
      </c>
      <c r="AU38" s="61">
        <f t="shared" si="68"/>
        <v>178.40044780720032</v>
      </c>
      <c r="AV38" s="58" t="str">
        <f t="shared" si="42"/>
        <v>-41166.9521769729+21165.787509785i</v>
      </c>
      <c r="AW38" s="64">
        <f t="shared" si="69"/>
        <v>93.309630949594975</v>
      </c>
      <c r="AX38" s="61">
        <f t="shared" si="70"/>
        <v>152.7902593913299</v>
      </c>
    </row>
    <row r="39" spans="1:50" x14ac:dyDescent="0.4">
      <c r="A39" s="31" t="s">
        <v>504</v>
      </c>
      <c r="N39" s="10">
        <v>21</v>
      </c>
      <c r="O39" s="50">
        <f t="shared" si="43"/>
        <v>16.218100973589298</v>
      </c>
      <c r="P39" s="48" t="str">
        <f t="shared" si="44"/>
        <v>5120.19230769231</v>
      </c>
      <c r="Q39" s="17" t="str">
        <f t="shared" si="35"/>
        <v>1+0.476192771166721i</v>
      </c>
      <c r="R39" s="17">
        <f t="shared" si="45"/>
        <v>1.1075917818905308</v>
      </c>
      <c r="S39" s="17">
        <f t="shared" si="46"/>
        <v>0.44442108066565039</v>
      </c>
      <c r="T39" s="17" t="str">
        <f t="shared" si="36"/>
        <v>1+1.01799432413863E-06i</v>
      </c>
      <c r="U39" s="17">
        <f t="shared" si="47"/>
        <v>1.0000000000005183</v>
      </c>
      <c r="V39" s="17">
        <f t="shared" si="48"/>
        <v>1.0179943241382783E-6</v>
      </c>
      <c r="W39" s="31" t="str">
        <f t="shared" si="37"/>
        <v>1-0.0016508016067113i</v>
      </c>
      <c r="X39" s="17">
        <f t="shared" si="49"/>
        <v>1.0000013625720441</v>
      </c>
      <c r="Y39" s="17">
        <f t="shared" si="50"/>
        <v>-1.6508001071553172E-3</v>
      </c>
      <c r="Z39" s="31" t="str">
        <f t="shared" si="38"/>
        <v>0.99999989478928+0.0100508587833307i</v>
      </c>
      <c r="AA39" s="17">
        <f t="shared" si="51"/>
        <v>1.0000504034001754</v>
      </c>
      <c r="AB39" s="17">
        <f t="shared" si="52"/>
        <v>1.0050521416072719E-2</v>
      </c>
      <c r="AC39" s="66" t="str">
        <f t="shared" si="53"/>
        <v>4150.01060136012-2036.108548188i</v>
      </c>
      <c r="AD39" s="64">
        <f t="shared" si="54"/>
        <v>73.297705009902188</v>
      </c>
      <c r="AE39" s="61">
        <f t="shared" si="55"/>
        <v>-26.133830260013099</v>
      </c>
      <c r="AF39" s="31" t="str">
        <f t="shared" si="56"/>
        <v>-10.0808080808081</v>
      </c>
      <c r="AG39" s="31" t="str">
        <f t="shared" si="57"/>
        <v>101.901333747611i</v>
      </c>
      <c r="AH39" s="31">
        <f t="shared" si="58"/>
        <v>101.90133374761101</v>
      </c>
      <c r="AI39" s="31">
        <f t="shared" si="59"/>
        <v>1.5707963267948966</v>
      </c>
      <c r="AJ39" s="31" t="str">
        <f t="shared" si="39"/>
        <v>0.999801376410759+0.136826691172266i</v>
      </c>
      <c r="AK39" s="31">
        <f t="shared" si="60"/>
        <v>1.0091205753972112</v>
      </c>
      <c r="AL39" s="31">
        <f t="shared" si="61"/>
        <v>0.13600897001586318</v>
      </c>
      <c r="AM39" s="31" t="str">
        <f t="shared" si="40"/>
        <v>1+101.000688999416i</v>
      </c>
      <c r="AN39" s="31">
        <f t="shared" si="62"/>
        <v>101.00563933937923</v>
      </c>
      <c r="AO39" s="31">
        <f t="shared" si="63"/>
        <v>1.5608957277421673</v>
      </c>
      <c r="AP39" s="31" t="str">
        <f t="shared" si="41"/>
        <v>1+0.118368589281225i</v>
      </c>
      <c r="AQ39" s="31">
        <f t="shared" si="64"/>
        <v>1.0069811929368033</v>
      </c>
      <c r="AR39" s="31">
        <f t="shared" si="65"/>
        <v>0.11782036507736096</v>
      </c>
      <c r="AS39" s="58" t="str">
        <f t="shared" si="66"/>
        <v>-9.96708233882191+0.280041064002353i</v>
      </c>
      <c r="AT39" s="49">
        <f t="shared" si="67"/>
        <v>19.974787969146742</v>
      </c>
      <c r="AU39" s="61">
        <f t="shared" si="68"/>
        <v>178.39060716142041</v>
      </c>
      <c r="AV39" s="58" t="str">
        <f t="shared" si="42"/>
        <v>-40793.3033664813+21456.2349349949i</v>
      </c>
      <c r="AW39" s="64">
        <f t="shared" si="69"/>
        <v>93.27249297904892</v>
      </c>
      <c r="AX39" s="61">
        <f t="shared" si="70"/>
        <v>152.25677690140728</v>
      </c>
    </row>
    <row r="40" spans="1:50" x14ac:dyDescent="0.4">
      <c r="A40" s="31" t="s">
        <v>505</v>
      </c>
      <c r="B40" s="32">
        <f>((Np/NS1_)*(VOUT1+VD))/((VIN_var+(Np/NS1_)*(VOUT1+VD)))</f>
        <v>0.92592592592592593</v>
      </c>
      <c r="C40" s="31" t="s">
        <v>14</v>
      </c>
      <c r="E40" s="31" t="s">
        <v>506</v>
      </c>
      <c r="N40" s="10">
        <v>22</v>
      </c>
      <c r="O40" s="50">
        <f t="shared" si="43"/>
        <v>16.595869074375614</v>
      </c>
      <c r="P40" s="48" t="str">
        <f t="shared" si="44"/>
        <v>5120.19230769231</v>
      </c>
      <c r="Q40" s="17" t="str">
        <f t="shared" si="35"/>
        <v>1+0.48728472570966i</v>
      </c>
      <c r="R40" s="17">
        <f t="shared" si="45"/>
        <v>1.1124056831524813</v>
      </c>
      <c r="S40" s="17">
        <f t="shared" si="46"/>
        <v>0.45342374429865445</v>
      </c>
      <c r="T40" s="17" t="str">
        <f t="shared" si="36"/>
        <v>1+1.04170645807265E-06i</v>
      </c>
      <c r="U40" s="17">
        <f t="shared" si="47"/>
        <v>1.0000000000005427</v>
      </c>
      <c r="V40" s="17">
        <f t="shared" si="48"/>
        <v>1.0417064580722733E-6</v>
      </c>
      <c r="W40" s="31" t="str">
        <f t="shared" si="37"/>
        <v>1-0.00168925371579349i</v>
      </c>
      <c r="X40" s="17">
        <f t="shared" si="49"/>
        <v>1.0000014267880402</v>
      </c>
      <c r="Y40" s="17">
        <f t="shared" si="50"/>
        <v>-1.6892521089904289E-3</v>
      </c>
      <c r="Z40" s="31" t="str">
        <f t="shared" si="38"/>
        <v>0.999999889830852+0.0102849733593858i</v>
      </c>
      <c r="AA40" s="17">
        <f t="shared" si="51"/>
        <v>1.0000527787765601</v>
      </c>
      <c r="AB40" s="17">
        <f t="shared" si="52"/>
        <v>1.0284611864886302E-2</v>
      </c>
      <c r="AC40" s="66" t="str">
        <f t="shared" si="53"/>
        <v>4113.06103319122-2065.53035745489i</v>
      </c>
      <c r="AD40" s="64">
        <f t="shared" si="54"/>
        <v>73.260015451462792</v>
      </c>
      <c r="AE40" s="61">
        <f t="shared" si="55"/>
        <v>-26.665259064115244</v>
      </c>
      <c r="AF40" s="31" t="str">
        <f t="shared" si="56"/>
        <v>-10.0808080808081</v>
      </c>
      <c r="AG40" s="31" t="str">
        <f t="shared" si="57"/>
        <v>104.274920727993i</v>
      </c>
      <c r="AH40" s="31">
        <f t="shared" si="58"/>
        <v>104.27492072799301</v>
      </c>
      <c r="AI40" s="31">
        <f t="shared" si="59"/>
        <v>1.5707963267948966</v>
      </c>
      <c r="AJ40" s="31" t="str">
        <f t="shared" si="39"/>
        <v>0.999792015569389+0.140013794233543i</v>
      </c>
      <c r="AK40" s="31">
        <f t="shared" si="60"/>
        <v>1.0095483826800844</v>
      </c>
      <c r="AL40" s="31">
        <f t="shared" si="61"/>
        <v>0.13913803713502226</v>
      </c>
      <c r="AM40" s="31" t="str">
        <f t="shared" si="40"/>
        <v>1+103.353297268631i</v>
      </c>
      <c r="AN40" s="31">
        <f t="shared" si="62"/>
        <v>103.35813493043501</v>
      </c>
      <c r="AO40" s="31">
        <f t="shared" si="63"/>
        <v>1.5611210786629408</v>
      </c>
      <c r="AP40" s="31" t="str">
        <f t="shared" si="41"/>
        <v>1+0.121125747917637i</v>
      </c>
      <c r="AQ40" s="31">
        <f t="shared" si="64"/>
        <v>1.0073090125719153</v>
      </c>
      <c r="AR40" s="31">
        <f t="shared" si="65"/>
        <v>0.12053854506156629</v>
      </c>
      <c r="AS40" s="58" t="str">
        <f t="shared" si="66"/>
        <v>-9.96602794843819+0.281861967669521i</v>
      </c>
      <c r="AT40" s="49">
        <f t="shared" si="67"/>
        <v>19.973914492632524</v>
      </c>
      <c r="AU40" s="61">
        <f t="shared" si="68"/>
        <v>178.37997671940101</v>
      </c>
      <c r="AV40" s="58" t="str">
        <f t="shared" si="42"/>
        <v>-40408.6867595824+21744.4487467031i</v>
      </c>
      <c r="AW40" s="64">
        <f t="shared" si="69"/>
        <v>93.233929944095308</v>
      </c>
      <c r="AX40" s="61">
        <f t="shared" si="70"/>
        <v>151.71471765528574</v>
      </c>
    </row>
    <row r="41" spans="1:50" x14ac:dyDescent="0.4">
      <c r="A41" s="31" t="s">
        <v>189</v>
      </c>
      <c r="B41" s="27">
        <f>Gcomp*((VOUT1^2)/(Pout_var))*((1-Dc_var_ccm)/((1+Dc_var_ccm)*((Acs*R_cs)/(Np/NS1_))))</f>
        <v>5120.1923076923076</v>
      </c>
      <c r="C41" s="31" t="s">
        <v>144</v>
      </c>
      <c r="E41" s="31" t="s">
        <v>193</v>
      </c>
      <c r="N41" s="10">
        <v>23</v>
      </c>
      <c r="O41" s="50">
        <f t="shared" si="43"/>
        <v>16.982436524617448</v>
      </c>
      <c r="P41" s="48" t="str">
        <f t="shared" si="44"/>
        <v>5120.19230769231</v>
      </c>
      <c r="Q41" s="17" t="str">
        <f t="shared" si="35"/>
        <v>1+0.498635045064143i</v>
      </c>
      <c r="R41" s="17">
        <f t="shared" si="45"/>
        <v>1.1174242292728935</v>
      </c>
      <c r="S41" s="17">
        <f t="shared" si="46"/>
        <v>0.46255504896852495</v>
      </c>
      <c r="T41" s="17" t="str">
        <f t="shared" si="36"/>
        <v>1+1.06597091855935E-06i</v>
      </c>
      <c r="U41" s="17">
        <f t="shared" si="47"/>
        <v>1.000000000000568</v>
      </c>
      <c r="V41" s="17">
        <f t="shared" si="48"/>
        <v>1.0659709185589462E-6</v>
      </c>
      <c r="W41" s="31" t="str">
        <f t="shared" si="37"/>
        <v>1-0.00172860148955569i</v>
      </c>
      <c r="X41" s="17">
        <f t="shared" si="49"/>
        <v>1.0000014940304387</v>
      </c>
      <c r="Y41" s="17">
        <f t="shared" si="50"/>
        <v>-1.7285997678353293E-3</v>
      </c>
      <c r="Z41" s="31" t="str">
        <f t="shared" si="38"/>
        <v>0.99999988463874+0.0105245411644537i</v>
      </c>
      <c r="AA41" s="17">
        <f t="shared" si="51"/>
        <v>1.0000552660949373</v>
      </c>
      <c r="AB41" s="17">
        <f t="shared" si="52"/>
        <v>1.0524153817274857E-2</v>
      </c>
      <c r="AC41" s="66" t="str">
        <f t="shared" si="53"/>
        <v>4075.04800036626-2094.68779772634i</v>
      </c>
      <c r="AD41" s="64">
        <f t="shared" si="54"/>
        <v>73.220896731342222</v>
      </c>
      <c r="AE41" s="61">
        <f t="shared" si="55"/>
        <v>-27.204422090569505</v>
      </c>
      <c r="AF41" s="31" t="str">
        <f t="shared" si="56"/>
        <v>-10.0808080808081</v>
      </c>
      <c r="AG41" s="31" t="str">
        <f t="shared" si="57"/>
        <v>106.703795651586i</v>
      </c>
      <c r="AH41" s="31">
        <f t="shared" si="58"/>
        <v>106.70379565158601</v>
      </c>
      <c r="AI41" s="31">
        <f t="shared" si="59"/>
        <v>1.5707963267948966</v>
      </c>
      <c r="AJ41" s="31" t="str">
        <f t="shared" si="39"/>
        <v>0.999782213565158+0.143275134461824i</v>
      </c>
      <c r="AK41" s="31">
        <f t="shared" si="60"/>
        <v>1.0099961577730387</v>
      </c>
      <c r="AL41" s="31">
        <f t="shared" si="61"/>
        <v>0.14233724463986888</v>
      </c>
      <c r="AM41" s="31" t="str">
        <f t="shared" si="40"/>
        <v>1+105.760704824099i</v>
      </c>
      <c r="AN41" s="31">
        <f t="shared" si="62"/>
        <v>105.76543237225572</v>
      </c>
      <c r="AO41" s="31">
        <f t="shared" si="63"/>
        <v>1.5613413009200774</v>
      </c>
      <c r="AP41" s="31" t="str">
        <f t="shared" si="41"/>
        <v>1+0.123947129028882i</v>
      </c>
      <c r="AQ41" s="31">
        <f t="shared" si="64"/>
        <v>1.0076521675630448</v>
      </c>
      <c r="AR41" s="31">
        <f t="shared" si="65"/>
        <v>0.12331818760833314</v>
      </c>
      <c r="AS41" s="58" t="str">
        <f t="shared" si="66"/>
        <v>-9.96492577779587+0.283818831151588i</v>
      </c>
      <c r="AT41" s="49">
        <f t="shared" si="67"/>
        <v>19.973002985505943</v>
      </c>
      <c r="AU41" s="61">
        <f t="shared" si="68"/>
        <v>178.3685552239603</v>
      </c>
      <c r="AV41" s="58" t="str">
        <f t="shared" si="42"/>
        <v>-40013.0390222271+22029.9837923482i</v>
      </c>
      <c r="AW41" s="64">
        <f t="shared" si="69"/>
        <v>93.193899716848165</v>
      </c>
      <c r="AX41" s="61">
        <f t="shared" si="70"/>
        <v>151.16413313339083</v>
      </c>
    </row>
    <row r="42" spans="1:50" x14ac:dyDescent="0.4">
      <c r="A42" s="31" t="s">
        <v>206</v>
      </c>
      <c r="B42" s="29">
        <f>(1+Dc_var_ccm)/(Cout_total*((VOUT1^2)/Pout_var))</f>
        <v>213.99176954732513</v>
      </c>
      <c r="C42" s="31" t="s">
        <v>205</v>
      </c>
      <c r="E42" s="31" t="s">
        <v>196</v>
      </c>
      <c r="N42" s="10">
        <v>24</v>
      </c>
      <c r="O42" s="50">
        <f t="shared" si="43"/>
        <v>17.378008287493756</v>
      </c>
      <c r="P42" s="48" t="str">
        <f t="shared" si="44"/>
        <v>5120.19230769231</v>
      </c>
      <c r="Q42" s="17" t="str">
        <f t="shared" si="35"/>
        <v>1+0.510249747319737i</v>
      </c>
      <c r="R42" s="17">
        <f t="shared" si="45"/>
        <v>1.1226552474557163</v>
      </c>
      <c r="S42" s="17">
        <f t="shared" si="46"/>
        <v>0.47181374425667383</v>
      </c>
      <c r="T42" s="17" t="str">
        <f t="shared" si="36"/>
        <v>1+1.09080057093686E-06i</v>
      </c>
      <c r="U42" s="17">
        <f t="shared" si="47"/>
        <v>1.0000000000005951</v>
      </c>
      <c r="V42" s="17">
        <f t="shared" si="48"/>
        <v>1.0908005709364273E-6</v>
      </c>
      <c r="W42" s="31" t="str">
        <f t="shared" si="37"/>
        <v>1-0.00176886579070842i</v>
      </c>
      <c r="X42" s="17">
        <f t="shared" si="49"/>
        <v>1.0000015644418689</v>
      </c>
      <c r="Y42" s="17">
        <f t="shared" si="50"/>
        <v>-1.7688639458519713E-3</v>
      </c>
      <c r="Z42" s="31" t="str">
        <f t="shared" si="38"/>
        <v>0.999999879201931+0.0107696892205558i</v>
      </c>
      <c r="AA42" s="17">
        <f t="shared" si="51"/>
        <v>1.0000578706303871</v>
      </c>
      <c r="AB42" s="17">
        <f t="shared" si="52"/>
        <v>1.0769274171873006E-2</v>
      </c>
      <c r="AC42" s="66" t="str">
        <f t="shared" si="53"/>
        <v>4035.96697388712-2123.53792616344i</v>
      </c>
      <c r="AD42" s="64">
        <f t="shared" si="54"/>
        <v>73.180308188309596</v>
      </c>
      <c r="AE42" s="61">
        <f t="shared" si="55"/>
        <v>-27.751256161000907</v>
      </c>
      <c r="AF42" s="31" t="str">
        <f t="shared" si="56"/>
        <v>-10.0808080808081</v>
      </c>
      <c r="AG42" s="31" t="str">
        <f t="shared" si="57"/>
        <v>109.189246340026i</v>
      </c>
      <c r="AH42" s="31">
        <f t="shared" si="58"/>
        <v>109.189246340026</v>
      </c>
      <c r="AI42" s="31">
        <f t="shared" si="59"/>
        <v>1.5707963267948966</v>
      </c>
      <c r="AJ42" s="31" t="str">
        <f t="shared" si="39"/>
        <v>0.999771949606698+0.146612441062867i</v>
      </c>
      <c r="AK42" s="31">
        <f t="shared" si="60"/>
        <v>1.0104648232842106</v>
      </c>
      <c r="AL42" s="31">
        <f t="shared" si="61"/>
        <v>0.14560803520783086</v>
      </c>
      <c r="AM42" s="31" t="str">
        <f t="shared" si="40"/>
        <v>1+108.224188105175i</v>
      </c>
      <c r="AN42" s="31">
        <f t="shared" si="62"/>
        <v>108.22880804584473</v>
      </c>
      <c r="AO42" s="31">
        <f t="shared" si="63"/>
        <v>1.5615565111928418</v>
      </c>
      <c r="AP42" s="31" t="str">
        <f t="shared" si="41"/>
        <v>1+0.126834228548574i</v>
      </c>
      <c r="AQ42" s="31">
        <f t="shared" si="64"/>
        <v>1.008011369743175</v>
      </c>
      <c r="AR42" s="31">
        <f t="shared" si="65"/>
        <v>0.12616059461554885</v>
      </c>
      <c r="AS42" s="58" t="str">
        <f t="shared" si="66"/>
        <v>-9.96377375393929+0.28591176583369i</v>
      </c>
      <c r="AT42" s="49">
        <f t="shared" si="67"/>
        <v>19.972051704618089</v>
      </c>
      <c r="AU42" s="61">
        <f t="shared" si="68"/>
        <v>178.35634129425404</v>
      </c>
      <c r="AV42" s="58" t="str">
        <f t="shared" si="42"/>
        <v>-39606.3173278981+22312.3818985525i</v>
      </c>
      <c r="AW42" s="64">
        <f t="shared" si="69"/>
        <v>93.152359892927706</v>
      </c>
      <c r="AX42" s="61">
        <f t="shared" si="70"/>
        <v>150.60508513325311</v>
      </c>
    </row>
    <row r="43" spans="1:50" x14ac:dyDescent="0.4">
      <c r="B43" s="29">
        <f>wp_lf/(2*PI())</f>
        <v>34.057847904438518</v>
      </c>
      <c r="C43" s="31" t="s">
        <v>61</v>
      </c>
      <c r="N43" s="10">
        <v>25</v>
      </c>
      <c r="O43" s="50">
        <f t="shared" si="43"/>
        <v>17.782794100389236</v>
      </c>
      <c r="P43" s="48" t="str">
        <f t="shared" si="44"/>
        <v>5120.19230769231</v>
      </c>
      <c r="Q43" s="17" t="str">
        <f t="shared" si="35"/>
        <v>1+0.52213499074531i</v>
      </c>
      <c r="R43" s="17">
        <f t="shared" si="45"/>
        <v>1.1281067983841799</v>
      </c>
      <c r="S43" s="17">
        <f t="shared" si="46"/>
        <v>0.48119838882323895</v>
      </c>
      <c r="T43" s="17" t="str">
        <f t="shared" si="36"/>
        <v>1+1.11620858021553E-06i</v>
      </c>
      <c r="U43" s="17">
        <f t="shared" si="47"/>
        <v>1.0000000000006231</v>
      </c>
      <c r="V43" s="17">
        <f t="shared" si="48"/>
        <v>1.1162085802150665E-6</v>
      </c>
      <c r="W43" s="31" t="str">
        <f t="shared" si="37"/>
        <v>1-0.00181006796791707i</v>
      </c>
      <c r="X43" s="17">
        <f t="shared" si="49"/>
        <v>1.0000016381716825</v>
      </c>
      <c r="Y43" s="17">
        <f t="shared" si="50"/>
        <v>-1.8100659911179445E-3</v>
      </c>
      <c r="Z43" s="31" t="str">
        <f t="shared" si="38"/>
        <v>0.999999873508894+0.0110205475084363i</v>
      </c>
      <c r="AA43" s="17">
        <f t="shared" si="51"/>
        <v>1.0000605979065416</v>
      </c>
      <c r="AB43" s="17">
        <f t="shared" si="52"/>
        <v>1.1020102777215497E-2</v>
      </c>
      <c r="AC43" s="66" t="str">
        <f t="shared" si="53"/>
        <v>3995.81549423914-2152.03662794028i</v>
      </c>
      <c r="AD43" s="64">
        <f t="shared" si="54"/>
        <v>73.13820902543182</v>
      </c>
      <c r="AE43" s="61">
        <f t="shared" si="55"/>
        <v>-28.3056873548921</v>
      </c>
      <c r="AF43" s="31" t="str">
        <f t="shared" si="56"/>
        <v>-10.0808080808081</v>
      </c>
      <c r="AG43" s="31" t="str">
        <f t="shared" si="57"/>
        <v>111.732590612165i</v>
      </c>
      <c r="AH43" s="31">
        <f t="shared" si="58"/>
        <v>111.732590612165</v>
      </c>
      <c r="AI43" s="31">
        <f t="shared" si="59"/>
        <v>1.5707963267948966</v>
      </c>
      <c r="AJ43" s="31" t="str">
        <f t="shared" si="39"/>
        <v>0.999761201922779+0.150027483520807i</v>
      </c>
      <c r="AK43" s="31">
        <f t="shared" si="60"/>
        <v>1.0109553435645244</v>
      </c>
      <c r="AL43" s="31">
        <f t="shared" si="61"/>
        <v>0.14895187207352351</v>
      </c>
      <c r="AM43" s="31" t="str">
        <f t="shared" si="40"/>
        <v>1+110.745053283299i</v>
      </c>
      <c r="AN43" s="31">
        <f t="shared" si="62"/>
        <v>110.749568065617</v>
      </c>
      <c r="AO43" s="31">
        <f t="shared" si="63"/>
        <v>1.5617668235087827</v>
      </c>
      <c r="AP43" s="31" t="str">
        <f t="shared" si="41"/>
        <v>1+0.129788577255091i</v>
      </c>
      <c r="AQ43" s="31">
        <f t="shared" si="64"/>
        <v>1.0083873634600449</v>
      </c>
      <c r="AR43" s="31">
        <f t="shared" si="65"/>
        <v>0.12906708935015013</v>
      </c>
      <c r="AS43" s="58" t="str">
        <f t="shared" si="66"/>
        <v>-9.96256972267+0.288140893540426i</v>
      </c>
      <c r="AT43" s="49">
        <f t="shared" si="67"/>
        <v>19.971058840136912</v>
      </c>
      <c r="AU43" s="61">
        <f t="shared" si="68"/>
        <v>178.34333344402219</v>
      </c>
      <c r="AV43" s="58" t="str">
        <f t="shared" si="42"/>
        <v>-39188.5007033761+22591.1727985274i</v>
      </c>
      <c r="AW43" s="64">
        <f t="shared" si="69"/>
        <v>93.109267865568739</v>
      </c>
      <c r="AX43" s="61">
        <f t="shared" si="70"/>
        <v>150.03764608913013</v>
      </c>
    </row>
    <row r="44" spans="1:50" x14ac:dyDescent="0.4">
      <c r="B44" s="26"/>
      <c r="N44" s="10">
        <v>26</v>
      </c>
      <c r="O44" s="50">
        <f t="shared" si="43"/>
        <v>18.197008586099841</v>
      </c>
      <c r="P44" s="48" t="str">
        <f t="shared" si="44"/>
        <v>5120.19230769231</v>
      </c>
      <c r="Q44" s="17" t="str">
        <f t="shared" si="35"/>
        <v>1+0.534297077054253i</v>
      </c>
      <c r="R44" s="17">
        <f t="shared" si="45"/>
        <v>1.1337871786842177</v>
      </c>
      <c r="S44" s="17">
        <f t="shared" si="46"/>
        <v>0.49070734548344497</v>
      </c>
      <c r="T44" s="17" t="str">
        <f t="shared" si="36"/>
        <v>1+0.0000011422084180582i</v>
      </c>
      <c r="U44" s="17">
        <f t="shared" si="47"/>
        <v>1.0000000000006524</v>
      </c>
      <c r="V44" s="17">
        <f t="shared" si="48"/>
        <v>1.1422084180577032E-6</v>
      </c>
      <c r="W44" s="31" t="str">
        <f t="shared" si="37"/>
        <v>1-0.00185222986712141i</v>
      </c>
      <c r="X44" s="17">
        <f t="shared" si="49"/>
        <v>1.000001715376269</v>
      </c>
      <c r="Y44" s="17">
        <f t="shared" si="50"/>
        <v>-1.8522277489431808E-3</v>
      </c>
      <c r="Z44" s="31" t="str">
        <f t="shared" si="38"/>
        <v>0.999999867547551+0.01127724903648i</v>
      </c>
      <c r="AA44" s="17">
        <f t="shared" si="51"/>
        <v>1.0000634537072888</v>
      </c>
      <c r="AB44" s="17">
        <f t="shared" si="52"/>
        <v>1.1276772500024282E-2</v>
      </c>
      <c r="AC44" s="66" t="str">
        <f t="shared" si="53"/>
        <v>3954.59329655577-2180.13871685964i</v>
      </c>
      <c r="AD44" s="64">
        <f t="shared" si="54"/>
        <v>73.094558391224567</v>
      </c>
      <c r="AE44" s="61">
        <f t="shared" si="55"/>
        <v>-28.867630732039668</v>
      </c>
      <c r="AF44" s="31" t="str">
        <f t="shared" si="56"/>
        <v>-10.0808080808081</v>
      </c>
      <c r="AG44" s="31" t="str">
        <f t="shared" si="57"/>
        <v>114.335176982803i</v>
      </c>
      <c r="AH44" s="31">
        <f t="shared" si="58"/>
        <v>114.33517698280301</v>
      </c>
      <c r="AI44" s="31">
        <f t="shared" si="59"/>
        <v>1.5707963267948966</v>
      </c>
      <c r="AJ44" s="31" t="str">
        <f t="shared" si="39"/>
        <v>0.999749947716123+0.153522072536358i</v>
      </c>
      <c r="AK44" s="31">
        <f t="shared" si="60"/>
        <v>1.0114687265132074</v>
      </c>
      <c r="AL44" s="31">
        <f t="shared" si="61"/>
        <v>0.15237023864745364</v>
      </c>
      <c r="AM44" s="31" t="str">
        <f t="shared" si="40"/>
        <v>1+113.324636954559i</v>
      </c>
      <c r="AN44" s="31">
        <f t="shared" si="62"/>
        <v>113.32904897193215</v>
      </c>
      <c r="AO44" s="31">
        <f t="shared" si="63"/>
        <v>1.561972349303812</v>
      </c>
      <c r="AP44" s="31" t="str">
        <f t="shared" si="41"/>
        <v>1+0.132811741583224i</v>
      </c>
      <c r="AQ44" s="31">
        <f t="shared" si="64"/>
        <v>1.0087809270115931</v>
      </c>
      <c r="AR44" s="31">
        <f t="shared" si="65"/>
        <v>0.13203901634374043</v>
      </c>
      <c r="AS44" s="58" t="str">
        <f t="shared" si="66"/>
        <v>-9.9613114461926+0.290506342713542i</v>
      </c>
      <c r="AT44" s="49">
        <f t="shared" si="67"/>
        <v>19.970022513319424</v>
      </c>
      <c r="AU44" s="61">
        <f t="shared" si="68"/>
        <v>178.32953010089741</v>
      </c>
      <c r="AV44" s="58" t="str">
        <f t="shared" si="42"/>
        <v>-38759.5913447744+22865.8751900435i</v>
      </c>
      <c r="AW44" s="64">
        <f t="shared" si="69"/>
        <v>93.064580904543988</v>
      </c>
      <c r="AX44" s="61">
        <f t="shared" si="70"/>
        <v>149.46189936885773</v>
      </c>
    </row>
    <row r="45" spans="1:50" x14ac:dyDescent="0.4">
      <c r="A45" s="31" t="s">
        <v>207</v>
      </c>
      <c r="B45" s="29">
        <f>(((VOUT1^2)/Pout_var)*((1-Dc_var_ccm)^2))/((Lm/((Np/NS1_)^2))*Dc_var_ccm)</f>
        <v>61728.395061728392</v>
      </c>
      <c r="C45" s="31" t="s">
        <v>205</v>
      </c>
      <c r="E45" s="31" t="s">
        <v>197</v>
      </c>
      <c r="N45" s="10">
        <v>27</v>
      </c>
      <c r="O45" s="50">
        <f t="shared" si="43"/>
        <v>18.62087136662868</v>
      </c>
      <c r="P45" s="48" t="str">
        <f t="shared" si="44"/>
        <v>5120.19230769231</v>
      </c>
      <c r="Q45" s="17" t="str">
        <f t="shared" si="35"/>
        <v>1+0.546742454745707i</v>
      </c>
      <c r="R45" s="17">
        <f t="shared" si="45"/>
        <v>1.1397049231364063</v>
      </c>
      <c r="S45" s="17">
        <f t="shared" si="46"/>
        <v>0.50033877675292371</v>
      </c>
      <c r="T45" s="17" t="str">
        <f t="shared" si="36"/>
        <v>1+1.16881386992304E-06i</v>
      </c>
      <c r="U45" s="17">
        <f t="shared" si="47"/>
        <v>1.000000000000683</v>
      </c>
      <c r="V45" s="17">
        <f t="shared" si="48"/>
        <v>1.1688138699225078E-6</v>
      </c>
      <c r="W45" s="31" t="str">
        <f t="shared" si="37"/>
        <v>1-0.00189537384311845i</v>
      </c>
      <c r="X45" s="17">
        <f t="shared" si="49"/>
        <v>1.0000017962193894</v>
      </c>
      <c r="Y45" s="17">
        <f t="shared" si="50"/>
        <v>-1.8953715734498057E-3</v>
      </c>
      <c r="Z45" s="31" t="str">
        <f t="shared" si="38"/>
        <v>0.99999986130526+0.0115399299112349i</v>
      </c>
      <c r="AA45" s="17">
        <f t="shared" si="51"/>
        <v>1.0000664440890392</v>
      </c>
      <c r="AB45" s="17">
        <f t="shared" si="52"/>
        <v>1.1539419295055189E-2</v>
      </c>
      <c r="AC45" s="66" t="str">
        <f t="shared" si="53"/>
        <v>3912.30243173793-2207.79804855518i</v>
      </c>
      <c r="AD45" s="64">
        <f t="shared" si="54"/>
        <v>73.049315465494814</v>
      </c>
      <c r="AE45" s="61">
        <f t="shared" si="55"/>
        <v>-29.436990081985286</v>
      </c>
      <c r="AF45" s="31" t="str">
        <f t="shared" si="56"/>
        <v>-10.0808080808081</v>
      </c>
      <c r="AG45" s="31" t="str">
        <f t="shared" si="57"/>
        <v>116.998385377682i</v>
      </c>
      <c r="AH45" s="31">
        <f t="shared" si="58"/>
        <v>116.998385377682</v>
      </c>
      <c r="AI45" s="31">
        <f t="shared" si="59"/>
        <v>1.5707963267948966</v>
      </c>
      <c r="AJ45" s="31" t="str">
        <f t="shared" si="39"/>
        <v>0.999738163115047+0.157098060986873i</v>
      </c>
      <c r="AK45" s="31">
        <f t="shared" si="60"/>
        <v>1.0120060254536449</v>
      </c>
      <c r="AL45" s="31">
        <f t="shared" si="61"/>
        <v>0.15586463807277628</v>
      </c>
      <c r="AM45" s="31" t="str">
        <f t="shared" si="40"/>
        <v>1+115.96430684836i</v>
      </c>
      <c r="AN45" s="31">
        <f t="shared" si="62"/>
        <v>115.96861843973393</v>
      </c>
      <c r="AO45" s="31">
        <f t="shared" si="63"/>
        <v>1.5621731974809343</v>
      </c>
      <c r="AP45" s="31" t="str">
        <f t="shared" si="41"/>
        <v>1+0.135905324454715i</v>
      </c>
      <c r="AQ45" s="31">
        <f t="shared" si="64"/>
        <v>1.0091928741400928</v>
      </c>
      <c r="AR45" s="31">
        <f t="shared" si="65"/>
        <v>0.13507774124719288</v>
      </c>
      <c r="AS45" s="58" t="str">
        <f t="shared" si="66"/>
        <v>-9.95999660077299+0.293008244375201i</v>
      </c>
      <c r="AT45" s="49">
        <f t="shared" si="67"/>
        <v>19.968940774277065</v>
      </c>
      <c r="AU45" s="61">
        <f t="shared" si="68"/>
        <v>178.31492962683453</v>
      </c>
      <c r="AV45" s="58" t="str">
        <f t="shared" si="42"/>
        <v>-38319.6158911635+23135.9979257912i</v>
      </c>
      <c r="AW45" s="64">
        <f t="shared" si="69"/>
        <v>93.018256239771873</v>
      </c>
      <c r="AX45" s="61">
        <f t="shared" si="70"/>
        <v>148.87793954484923</v>
      </c>
    </row>
    <row r="46" spans="1:50" x14ac:dyDescent="0.4">
      <c r="B46" s="29">
        <f>wz_rhp/(2*PI())</f>
        <v>9824.3792032034162</v>
      </c>
      <c r="C46" s="31" t="s">
        <v>61</v>
      </c>
      <c r="N46" s="10">
        <v>28</v>
      </c>
      <c r="O46" s="50">
        <f t="shared" si="43"/>
        <v>19.054607179632477</v>
      </c>
      <c r="P46" s="48" t="str">
        <f t="shared" si="44"/>
        <v>5120.19230769231</v>
      </c>
      <c r="Q46" s="17" t="str">
        <f t="shared" si="35"/>
        <v>1+0.559477722523659i</v>
      </c>
      <c r="R46" s="17">
        <f t="shared" si="45"/>
        <v>1.145868806626771</v>
      </c>
      <c r="S46" s="17">
        <f t="shared" si="46"/>
        <v>0.51009064091745149</v>
      </c>
      <c r="T46" s="17" t="str">
        <f t="shared" si="36"/>
        <v>1+0.0000011960390423728i</v>
      </c>
      <c r="U46" s="17">
        <f t="shared" si="47"/>
        <v>1.0000000000007152</v>
      </c>
      <c r="V46" s="17">
        <f t="shared" si="48"/>
        <v>1.1960390423722297E-6</v>
      </c>
      <c r="W46" s="31" t="str">
        <f t="shared" si="37"/>
        <v>1-0.00193952277141535i</v>
      </c>
      <c r="X46" s="17">
        <f t="shared" si="49"/>
        <v>1.0000018808725215</v>
      </c>
      <c r="Y46" s="17">
        <f t="shared" si="50"/>
        <v>-1.939520339421828E-3</v>
      </c>
      <c r="Z46" s="31" t="str">
        <f t="shared" si="38"/>
        <v>0.999999854768778+0.0118087294095777i</v>
      </c>
      <c r="AA46" s="17">
        <f t="shared" si="51"/>
        <v>1.0000695753935551</v>
      </c>
      <c r="AB46" s="17">
        <f t="shared" si="52"/>
        <v>1.1808182276539377E-2</v>
      </c>
      <c r="AC46" s="66" t="str">
        <f t="shared" si="53"/>
        <v>3868.94738225759-2234.96764633602i</v>
      </c>
      <c r="AD46" s="64">
        <f t="shared" si="54"/>
        <v>73.002439549696476</v>
      </c>
      <c r="AE46" s="61">
        <f t="shared" si="55"/>
        <v>-30.013657703599417</v>
      </c>
      <c r="AF46" s="31" t="str">
        <f t="shared" si="56"/>
        <v>-10.0808080808081</v>
      </c>
      <c r="AG46" s="31" t="str">
        <f t="shared" si="57"/>
        <v>119.723627865145i</v>
      </c>
      <c r="AH46" s="31">
        <f t="shared" si="58"/>
        <v>119.723627865145</v>
      </c>
      <c r="AI46" s="31">
        <f t="shared" si="59"/>
        <v>1.5707963267948966</v>
      </c>
      <c r="AJ46" s="31" t="str">
        <f t="shared" si="39"/>
        <v>0.999725823122833+0.160757344908762i</v>
      </c>
      <c r="AK46" s="31">
        <f t="shared" si="60"/>
        <v>1.0125683410815987</v>
      </c>
      <c r="AL46" s="31">
        <f t="shared" si="61"/>
        <v>0.15943659271580926</v>
      </c>
      <c r="AM46" s="31" t="str">
        <f t="shared" si="40"/>
        <v>1+118.665462552622i</v>
      </c>
      <c r="AN46" s="31">
        <f t="shared" si="62"/>
        <v>118.66967600371939</v>
      </c>
      <c r="AO46" s="31">
        <f t="shared" si="63"/>
        <v>1.5623694744676568</v>
      </c>
      <c r="AP46" s="31" t="str">
        <f t="shared" si="41"/>
        <v>1+0.139070966128153i</v>
      </c>
      <c r="AQ46" s="31">
        <f t="shared" si="64"/>
        <v>1.0096240555869387</v>
      </c>
      <c r="AR46" s="31">
        <f t="shared" si="65"/>
        <v>0.13818465064107213</v>
      </c>
      <c r="AS46" s="58" t="str">
        <f t="shared" si="66"/>
        <v>-9.95862277442397+0.295646727865033i</v>
      </c>
      <c r="AT46" s="49">
        <f t="shared" si="67"/>
        <v>19.967811599744966</v>
      </c>
      <c r="AU46" s="61">
        <f t="shared" si="68"/>
        <v>178.29953033973024</v>
      </c>
      <c r="AV46" s="58" t="str">
        <f t="shared" si="42"/>
        <v>-37868.626642475+23401.0413367491i</v>
      </c>
      <c r="AW46" s="64">
        <f t="shared" si="69"/>
        <v>92.970251149441452</v>
      </c>
      <c r="AX46" s="61">
        <f t="shared" si="70"/>
        <v>148.28587263613082</v>
      </c>
    </row>
    <row r="47" spans="1:50" x14ac:dyDescent="0.4">
      <c r="B47" s="1"/>
      <c r="N47" s="10">
        <v>29</v>
      </c>
      <c r="O47" s="50">
        <f t="shared" si="43"/>
        <v>19.498445997580465</v>
      </c>
      <c r="P47" s="48" t="str">
        <f t="shared" si="44"/>
        <v>5120.19230769231</v>
      </c>
      <c r="Q47" s="17" t="str">
        <f t="shared" si="35"/>
        <v>1+0.572509632795657i</v>
      </c>
      <c r="R47" s="17">
        <f t="shared" si="45"/>
        <v>1.1522878458283841</v>
      </c>
      <c r="S47" s="17">
        <f t="shared" si="46"/>
        <v>0.51996068868240453</v>
      </c>
      <c r="T47" s="17" t="str">
        <f t="shared" si="36"/>
        <v>1+1.22389837055427E-06i</v>
      </c>
      <c r="U47" s="17">
        <f t="shared" si="47"/>
        <v>1.000000000000749</v>
      </c>
      <c r="V47" s="17">
        <f t="shared" si="48"/>
        <v>1.2238983705536589E-6</v>
      </c>
      <c r="W47" s="31" t="str">
        <f t="shared" si="37"/>
        <v>1-0.00198470006035828i</v>
      </c>
      <c r="X47" s="17">
        <f t="shared" si="49"/>
        <v>1.0000019695152254</v>
      </c>
      <c r="Y47" s="17">
        <f t="shared" si="50"/>
        <v>-1.984697454430548E-3</v>
      </c>
      <c r="Z47" s="31" t="str">
        <f t="shared" si="38"/>
        <v>0.999999847924241+0.0120837900525605i</v>
      </c>
      <c r="AA47" s="17">
        <f t="shared" si="51"/>
        <v>1.0000728542613979</v>
      </c>
      <c r="AB47" s="17">
        <f t="shared" si="52"/>
        <v>1.2083203791254028E-2</v>
      </c>
      <c r="AC47" s="66" t="str">
        <f t="shared" si="53"/>
        <v>3824.53517132247-2261.59983959919i</v>
      </c>
      <c r="AD47" s="64">
        <f t="shared" si="54"/>
        <v>72.953890161570882</v>
      </c>
      <c r="AE47" s="61">
        <f t="shared" si="55"/>
        <v>-30.597514217990934</v>
      </c>
      <c r="AF47" s="31" t="str">
        <f t="shared" si="56"/>
        <v>-10.0808080808081</v>
      </c>
      <c r="AG47" s="31" t="str">
        <f t="shared" si="57"/>
        <v>122.512349404832i</v>
      </c>
      <c r="AH47" s="31">
        <f t="shared" si="58"/>
        <v>122.51234940483199</v>
      </c>
      <c r="AI47" s="31">
        <f t="shared" si="59"/>
        <v>1.5707963267948966</v>
      </c>
      <c r="AJ47" s="31" t="str">
        <f t="shared" si="39"/>
        <v>0.999712901564703+0.164501864502796i</v>
      </c>
      <c r="AK47" s="31">
        <f t="shared" si="60"/>
        <v>1.013156823487763</v>
      </c>
      <c r="AL47" s="31">
        <f t="shared" si="61"/>
        <v>0.163087643585832</v>
      </c>
      <c r="AM47" s="31" t="str">
        <f t="shared" si="40"/>
        <v>1+121.429536255853i</v>
      </c>
      <c r="AN47" s="31">
        <f t="shared" si="62"/>
        <v>121.43365380038401</v>
      </c>
      <c r="AO47" s="31">
        <f t="shared" si="63"/>
        <v>1.5625612842721088</v>
      </c>
      <c r="AP47" s="31" t="str">
        <f t="shared" si="41"/>
        <v>1+0.142310345068653i</v>
      </c>
      <c r="AQ47" s="31">
        <f t="shared" si="64"/>
        <v>1.0100753607100608</v>
      </c>
      <c r="AR47" s="31">
        <f t="shared" si="65"/>
        <v>0.14136115179847658</v>
      </c>
      <c r="AS47" s="58" t="str">
        <f t="shared" si="66"/>
        <v>-9.95718746462794+0.298421916340518i</v>
      </c>
      <c r="AT47" s="49">
        <f t="shared" si="67"/>
        <v>19.966632890861195</v>
      </c>
      <c r="AU47" s="61">
        <f t="shared" si="68"/>
        <v>178.2833305362924</v>
      </c>
      <c r="AV47" s="58" t="str">
        <f t="shared" si="42"/>
        <v>-37406.7027077922+23660.4986877994i</v>
      </c>
      <c r="AW47" s="64">
        <f t="shared" si="69"/>
        <v>92.920523052432088</v>
      </c>
      <c r="AX47" s="61">
        <f t="shared" si="70"/>
        <v>147.68581631830145</v>
      </c>
    </row>
    <row r="48" spans="1:50" x14ac:dyDescent="0.4">
      <c r="A48" s="31" t="s">
        <v>208</v>
      </c>
      <c r="B48" s="29">
        <f>1/(Cout_total*Resr_total)</f>
        <v>100100100.10010011</v>
      </c>
      <c r="C48" s="31" t="s">
        <v>205</v>
      </c>
      <c r="E48" s="31" t="s">
        <v>198</v>
      </c>
      <c r="N48" s="10">
        <v>30</v>
      </c>
      <c r="O48" s="50">
        <f t="shared" si="43"/>
        <v>19.952623149688804</v>
      </c>
      <c r="P48" s="48" t="str">
        <f t="shared" si="44"/>
        <v>5120.19230769231</v>
      </c>
      <c r="Q48" s="17" t="str">
        <f t="shared" si="35"/>
        <v>1+0.585845095253025i</v>
      </c>
      <c r="R48" s="17">
        <f t="shared" si="45"/>
        <v>1.1589713006075801</v>
      </c>
      <c r="S48" s="17">
        <f t="shared" si="46"/>
        <v>0.52994646045666494</v>
      </c>
      <c r="T48" s="17" t="str">
        <f t="shared" si="36"/>
        <v>1+1.25240662585202E-06i</v>
      </c>
      <c r="U48" s="17">
        <f t="shared" si="47"/>
        <v>1.0000000000007843</v>
      </c>
      <c r="V48" s="17">
        <f t="shared" si="48"/>
        <v>1.2524066258513652E-6</v>
      </c>
      <c r="W48" s="31" t="str">
        <f t="shared" si="37"/>
        <v>1-0.00203092966354382i</v>
      </c>
      <c r="X48" s="17">
        <f t="shared" si="49"/>
        <v>1.0000020623355226</v>
      </c>
      <c r="Y48" s="17">
        <f t="shared" si="50"/>
        <v>-2.0309268712422586E-3</v>
      </c>
      <c r="Z48" s="31" t="str">
        <f t="shared" si="38"/>
        <v>0.999999840757132+0.0123652576809771i</v>
      </c>
      <c r="AA48" s="17">
        <f t="shared" si="51"/>
        <v>1.0000762876460008</v>
      </c>
      <c r="AB48" s="17">
        <f t="shared" si="52"/>
        <v>1.2364629493257341E-2</v>
      </c>
      <c r="AC48" s="66" t="str">
        <f t="shared" si="53"/>
        <v>3779.07546403967-2287.64641459376i</v>
      </c>
      <c r="AD48" s="64">
        <f t="shared" si="54"/>
        <v>72.903627133793975</v>
      </c>
      <c r="AE48" s="61">
        <f t="shared" si="55"/>
        <v>-31.188428417878079</v>
      </c>
      <c r="AF48" s="31" t="str">
        <f t="shared" si="56"/>
        <v>-10.0808080808081</v>
      </c>
      <c r="AG48" s="31" t="str">
        <f t="shared" si="57"/>
        <v>125.366028613816i</v>
      </c>
      <c r="AH48" s="31">
        <f t="shared" si="58"/>
        <v>125.366028613816</v>
      </c>
      <c r="AI48" s="31">
        <f t="shared" si="59"/>
        <v>1.5707963267948966</v>
      </c>
      <c r="AJ48" s="31" t="str">
        <f t="shared" si="39"/>
        <v>0.999699371032299+0.168333605162829i</v>
      </c>
      <c r="AK48" s="31">
        <f t="shared" si="60"/>
        <v>1.0137726742566548</v>
      </c>
      <c r="AL48" s="31">
        <f t="shared" si="61"/>
        <v>0.16681934967947989</v>
      </c>
      <c r="AM48" s="31" t="str">
        <f t="shared" si="40"/>
        <v>1+124.257993506516i</v>
      </c>
      <c r="AN48" s="31">
        <f t="shared" si="62"/>
        <v>124.26201732736102</v>
      </c>
      <c r="AO48" s="31">
        <f t="shared" si="63"/>
        <v>1.5627487285379005</v>
      </c>
      <c r="AP48" s="31" t="str">
        <f t="shared" si="41"/>
        <v>1+0.145625178837809i</v>
      </c>
      <c r="AQ48" s="31">
        <f t="shared" si="64"/>
        <v>1.01054771916597</v>
      </c>
      <c r="AR48" s="31">
        <f t="shared" si="65"/>
        <v>0.14460867239677683</v>
      </c>
      <c r="AS48" s="58" t="str">
        <f t="shared" si="66"/>
        <v>-9.95568807610952+0.301333922028451i</v>
      </c>
      <c r="AT48" s="49">
        <f t="shared" si="67"/>
        <v>19.965402470964598</v>
      </c>
      <c r="AU48" s="61">
        <f t="shared" si="68"/>
        <v>178.26632851623131</v>
      </c>
      <c r="AV48" s="58" t="str">
        <f t="shared" si="42"/>
        <v>-36933.9510697339+23913.8577633464i</v>
      </c>
      <c r="AW48" s="64">
        <f t="shared" si="69"/>
        <v>92.869029604758566</v>
      </c>
      <c r="AX48" s="61">
        <f t="shared" si="70"/>
        <v>147.07790009835315</v>
      </c>
    </row>
    <row r="49" spans="1:50" x14ac:dyDescent="0.4">
      <c r="B49" s="29">
        <f>wz_esr/(2*PI())</f>
        <v>15931425.734924462</v>
      </c>
      <c r="C49" s="31" t="s">
        <v>61</v>
      </c>
      <c r="N49" s="10">
        <v>31</v>
      </c>
      <c r="O49" s="50">
        <f t="shared" si="43"/>
        <v>20.4173794466953</v>
      </c>
      <c r="P49" s="48" t="str">
        <f t="shared" si="44"/>
        <v>5120.19230769231</v>
      </c>
      <c r="Q49" s="17" t="str">
        <f t="shared" si="35"/>
        <v>1+0.599491180534469i</v>
      </c>
      <c r="R49" s="17">
        <f t="shared" si="45"/>
        <v>1.1659286751506763</v>
      </c>
      <c r="S49" s="17">
        <f t="shared" si="46"/>
        <v>0.5400452843244119</v>
      </c>
      <c r="T49" s="17" t="str">
        <f t="shared" si="36"/>
        <v>1+1.28157892372036E-06i</v>
      </c>
      <c r="U49" s="17">
        <f t="shared" si="47"/>
        <v>1.0000000000008211</v>
      </c>
      <c r="V49" s="17">
        <f t="shared" si="48"/>
        <v>1.2815789237196585E-6</v>
      </c>
      <c r="W49" s="31" t="str">
        <f t="shared" si="37"/>
        <v>1-0.00207823609251949i</v>
      </c>
      <c r="X49" s="17">
        <f t="shared" si="49"/>
        <v>1.0000021595302964</v>
      </c>
      <c r="Y49" s="17">
        <f t="shared" si="50"/>
        <v>-2.0782331005148101E-3</v>
      </c>
      <c r="Z49" s="31" t="str">
        <f t="shared" si="38"/>
        <v>0.999999833252247+0.0126532815326896i</v>
      </c>
      <c r="AA49" s="17">
        <f t="shared" si="51"/>
        <v>1.0000798828284005</v>
      </c>
      <c r="AB49" s="17">
        <f t="shared" si="52"/>
        <v>1.2652608420324372E-2</v>
      </c>
      <c r="AC49" s="66" t="str">
        <f t="shared" si="53"/>
        <v>3732.58065919117-2313.05877716851i</v>
      </c>
      <c r="AD49" s="64">
        <f t="shared" si="54"/>
        <v>72.851610716297671</v>
      </c>
      <c r="AE49" s="61">
        <f t="shared" si="55"/>
        <v>-31.786257156488006</v>
      </c>
      <c r="AF49" s="31" t="str">
        <f t="shared" si="56"/>
        <v>-10.0808080808081</v>
      </c>
      <c r="AG49" s="31" t="str">
        <f t="shared" si="57"/>
        <v>128.286178550586i</v>
      </c>
      <c r="AH49" s="31">
        <f t="shared" si="58"/>
        <v>128.28617855058599</v>
      </c>
      <c r="AI49" s="31">
        <f t="shared" si="59"/>
        <v>1.5707963267948966</v>
      </c>
      <c r="AJ49" s="31" t="str">
        <f t="shared" si="39"/>
        <v>0.99968520282555+0.172254598528479i</v>
      </c>
      <c r="AK49" s="31">
        <f t="shared" si="60"/>
        <v>1.0144171486437759</v>
      </c>
      <c r="AL49" s="31">
        <f t="shared" si="61"/>
        <v>0.17063328724484542</v>
      </c>
      <c r="AM49" s="31" t="str">
        <f t="shared" si="40"/>
        <v>1+127.152333990085i</v>
      </c>
      <c r="AN49" s="31">
        <f t="shared" si="62"/>
        <v>127.15626622045066</v>
      </c>
      <c r="AO49" s="31">
        <f t="shared" si="63"/>
        <v>1.5629319065977445</v>
      </c>
      <c r="AP49" s="31" t="str">
        <f t="shared" si="41"/>
        <v>1+0.149017225004361i</v>
      </c>
      <c r="AQ49" s="31">
        <f t="shared" si="64"/>
        <v>1.0110421026584404</v>
      </c>
      <c r="AR49" s="31">
        <f t="shared" si="65"/>
        <v>0.14792866017447678</v>
      </c>
      <c r="AS49" s="58" t="str">
        <f t="shared" si="66"/>
        <v>-9.95412191867471+0.304382841217128i</v>
      </c>
      <c r="AT49" s="49">
        <f t="shared" si="67"/>
        <v>19.964118083423074</v>
      </c>
      <c r="AU49" s="61">
        <f t="shared" si="68"/>
        <v>178.24852260783513</v>
      </c>
      <c r="AV49" s="58" t="str">
        <f t="shared" si="42"/>
        <v>-36450.5075503794+24160.6025791127i</v>
      </c>
      <c r="AW49" s="64">
        <f t="shared" si="69"/>
        <v>92.815728799720759</v>
      </c>
      <c r="AX49" s="61">
        <f t="shared" si="70"/>
        <v>146.46226545134718</v>
      </c>
    </row>
    <row r="50" spans="1:50" x14ac:dyDescent="0.4">
      <c r="B50" s="26"/>
      <c r="N50" s="10">
        <v>32</v>
      </c>
      <c r="O50" s="50">
        <f t="shared" si="43"/>
        <v>20.8929613085404</v>
      </c>
      <c r="P50" s="48" t="str">
        <f t="shared" si="44"/>
        <v>5120.19230769231</v>
      </c>
      <c r="Q50" s="17" t="str">
        <f t="shared" si="35"/>
        <v>1+0.613455123975043i</v>
      </c>
      <c r="R50" s="17">
        <f t="shared" si="45"/>
        <v>1.1731697188093611</v>
      </c>
      <c r="S50" s="17">
        <f t="shared" si="46"/>
        <v>0.55025427475628719</v>
      </c>
      <c r="T50" s="17" t="str">
        <f t="shared" si="36"/>
        <v>1+1.31143073169776E-06i</v>
      </c>
      <c r="U50" s="17">
        <f t="shared" si="47"/>
        <v>1.00000000000086</v>
      </c>
      <c r="V50" s="17">
        <f t="shared" si="48"/>
        <v>1.3114307316970082E-6</v>
      </c>
      <c r="W50" s="31" t="str">
        <f t="shared" si="37"/>
        <v>1-0.00212664442978015i</v>
      </c>
      <c r="X50" s="17">
        <f t="shared" si="49"/>
        <v>1.0000022613057085</v>
      </c>
      <c r="Y50" s="17">
        <f t="shared" si="50"/>
        <v>-2.1266412237897652E-3</v>
      </c>
      <c r="Z50" s="31" t="str">
        <f t="shared" si="38"/>
        <v>0.999999825393667+0.0129480143217568i</v>
      </c>
      <c r="AA50" s="17">
        <f t="shared" si="51"/>
        <v>1.000083647432674</v>
      </c>
      <c r="AB50" s="17">
        <f t="shared" si="52"/>
        <v>1.2947293072120962E-2</v>
      </c>
      <c r="AC50" s="66" t="str">
        <f t="shared" si="53"/>
        <v>3685.06597022811-2337.78812697437i</v>
      </c>
      <c r="AD50" s="64">
        <f t="shared" si="54"/>
        <v>72.797801681881424</v>
      </c>
      <c r="AE50" s="61">
        <f t="shared" si="55"/>
        <v>-32.390845278934307</v>
      </c>
      <c r="AF50" s="31" t="str">
        <f t="shared" si="56"/>
        <v>-10.0808080808081</v>
      </c>
      <c r="AG50" s="31" t="str">
        <f t="shared" si="57"/>
        <v>131.274347517293i</v>
      </c>
      <c r="AH50" s="31">
        <f t="shared" si="58"/>
        <v>131.27434751729299</v>
      </c>
      <c r="AI50" s="31">
        <f t="shared" si="59"/>
        <v>1.5707963267948966</v>
      </c>
      <c r="AJ50" s="31" t="str">
        <f t="shared" si="39"/>
        <v>0.999670366891787+0.176266923562327i</v>
      </c>
      <c r="AK50" s="31">
        <f t="shared" si="60"/>
        <v>1.0150915578329314</v>
      </c>
      <c r="AL50" s="31">
        <f t="shared" si="61"/>
        <v>0.17453104896020519</v>
      </c>
      <c r="AM50" s="31" t="str">
        <f t="shared" si="40"/>
        <v>1+130.114092324197i</v>
      </c>
      <c r="AN50" s="31">
        <f t="shared" si="62"/>
        <v>130.11793504874589</v>
      </c>
      <c r="AO50" s="31">
        <f t="shared" si="63"/>
        <v>1.5631109155258742</v>
      </c>
      <c r="AP50" s="31" t="str">
        <f t="shared" si="41"/>
        <v>1+0.152488282076088i</v>
      </c>
      <c r="AQ50" s="31">
        <f t="shared" si="64"/>
        <v>1.0115595267558486</v>
      </c>
      <c r="AR50" s="31">
        <f t="shared" si="65"/>
        <v>0.15132258252929481</v>
      </c>
      <c r="AS50" s="58" t="str">
        <f t="shared" si="66"/>
        <v>-9.95248620512953+0.307568748977457i</v>
      </c>
      <c r="AT50" s="49">
        <f t="shared" si="67"/>
        <v>19.962777389500648</v>
      </c>
      <c r="AU50" s="61">
        <f t="shared" si="68"/>
        <v>178.22991119500051</v>
      </c>
      <c r="AV50" s="58" t="str">
        <f t="shared" si="42"/>
        <v>-35956.5376640997+24400.2152145905i</v>
      </c>
      <c r="AW50" s="64">
        <f t="shared" si="69"/>
        <v>92.760579071382082</v>
      </c>
      <c r="AX50" s="61">
        <f t="shared" si="70"/>
        <v>145.83906591606618</v>
      </c>
    </row>
    <row r="51" spans="1:50" x14ac:dyDescent="0.4">
      <c r="A51" s="31" t="s">
        <v>201</v>
      </c>
      <c r="B51" s="1">
        <f>(Isl*(Rsl_int+R_sl)*Fsw)</f>
        <v>13718.999999999998</v>
      </c>
      <c r="C51" s="31" t="s">
        <v>144</v>
      </c>
      <c r="E51" s="31" t="s">
        <v>202</v>
      </c>
      <c r="N51" s="10">
        <v>33</v>
      </c>
      <c r="O51" s="50">
        <f t="shared" si="43"/>
        <v>21.379620895022335</v>
      </c>
      <c r="P51" s="48" t="str">
        <f t="shared" si="44"/>
        <v>5120.19230769231</v>
      </c>
      <c r="Q51" s="17" t="str">
        <f t="shared" si="35"/>
        <v>1+0.627744329442381i</v>
      </c>
      <c r="R51" s="17">
        <f t="shared" si="45"/>
        <v>1.1807044266653126</v>
      </c>
      <c r="S51" s="17">
        <f t="shared" si="46"/>
        <v>0.56057033210866514</v>
      </c>
      <c r="T51" s="17" t="str">
        <f t="shared" si="36"/>
        <v>1+1.34197787760793E-06i</v>
      </c>
      <c r="U51" s="17">
        <f t="shared" si="47"/>
        <v>1.0000000000009006</v>
      </c>
      <c r="V51" s="17">
        <f t="shared" si="48"/>
        <v>1.3419778776071246E-6</v>
      </c>
      <c r="W51" s="31" t="str">
        <f t="shared" si="37"/>
        <v>1-0.00217618034206692i</v>
      </c>
      <c r="X51" s="17">
        <f t="shared" si="49"/>
        <v>1.0000023678776373</v>
      </c>
      <c r="Y51" s="17">
        <f t="shared" si="50"/>
        <v>-2.17617690678677E-3</v>
      </c>
      <c r="Z51" s="31" t="str">
        <f t="shared" si="38"/>
        <v>0.999999817164724+0.0132496123194046i</v>
      </c>
      <c r="AA51" s="17">
        <f t="shared" si="51"/>
        <v>1.0000875894420929</v>
      </c>
      <c r="AB51" s="17">
        <f t="shared" si="52"/>
        <v>1.3248839490151503E-2</v>
      </c>
      <c r="AC51" s="66" t="str">
        <f t="shared" si="53"/>
        <v>3636.54949410319-2361.78564242581i</v>
      </c>
      <c r="AD51" s="64">
        <f t="shared" si="54"/>
        <v>72.742161434676575</v>
      </c>
      <c r="AE51" s="61">
        <f t="shared" si="55"/>
        <v>-33.00202559886948</v>
      </c>
      <c r="AF51" s="31" t="str">
        <f t="shared" si="56"/>
        <v>-10.0808080808081</v>
      </c>
      <c r="AG51" s="31" t="str">
        <f t="shared" si="57"/>
        <v>134.332119880674i</v>
      </c>
      <c r="AH51" s="31">
        <f t="shared" si="58"/>
        <v>134.33211988067399</v>
      </c>
      <c r="AI51" s="31">
        <f t="shared" si="59"/>
        <v>1.5707963267948966</v>
      </c>
      <c r="AJ51" s="31" t="str">
        <f t="shared" si="39"/>
        <v>0.999654831762008+0.180372707652217i</v>
      </c>
      <c r="AK51" s="31">
        <f t="shared" si="60"/>
        <v>1.0157972712755832</v>
      </c>
      <c r="AL51" s="31">
        <f t="shared" si="61"/>
        <v>0.17851424302209914</v>
      </c>
      <c r="AM51" s="31" t="str">
        <f t="shared" si="40"/>
        <v>1+133.144838872321i</v>
      </c>
      <c r="AN51" s="31">
        <f t="shared" si="62"/>
        <v>133.14859412827582</v>
      </c>
      <c r="AO51" s="31">
        <f t="shared" si="63"/>
        <v>1.5632858501892761</v>
      </c>
      <c r="AP51" s="31" t="str">
        <f t="shared" si="41"/>
        <v>1+0.156040190453391i</v>
      </c>
      <c r="AQ51" s="31">
        <f t="shared" si="64"/>
        <v>1.0121010527791829</v>
      </c>
      <c r="AR51" s="31">
        <f t="shared" si="65"/>
        <v>0.15479192605330666</v>
      </c>
      <c r="AS51" s="58" t="str">
        <f t="shared" si="66"/>
        <v>-9.95077804929762+0.310891693602667i</v>
      </c>
      <c r="AT51" s="49">
        <f t="shared" si="67"/>
        <v>19.961377966277386</v>
      </c>
      <c r="AU51" s="61">
        <f t="shared" si="68"/>
        <v>178.2104927457828</v>
      </c>
      <c r="AV51" s="58" t="str">
        <f t="shared" si="42"/>
        <v>-35452.2373428062+24632.1777588887i</v>
      </c>
      <c r="AW51" s="64">
        <f t="shared" si="69"/>
        <v>92.703539400953971</v>
      </c>
      <c r="AX51" s="61">
        <f t="shared" si="70"/>
        <v>145.20846714691334</v>
      </c>
    </row>
    <row r="52" spans="1:50" x14ac:dyDescent="0.4">
      <c r="A52" s="31" t="s">
        <v>204</v>
      </c>
      <c r="B52" s="1">
        <f>(R_cs*VIN_var*Acs*(1-Dc_var_ccm))/Lm</f>
        <v>98.765432098765444</v>
      </c>
      <c r="C52" s="31" t="s">
        <v>144</v>
      </c>
      <c r="E52" s="31" t="s">
        <v>203</v>
      </c>
      <c r="N52" s="10">
        <v>34</v>
      </c>
      <c r="O52" s="50">
        <f t="shared" si="43"/>
        <v>21.877616239495538</v>
      </c>
      <c r="P52" s="48" t="str">
        <f t="shared" si="44"/>
        <v>5120.19230769231</v>
      </c>
      <c r="Q52" s="17" t="str">
        <f t="shared" si="35"/>
        <v>1+0.64236637326237i</v>
      </c>
      <c r="R52" s="17">
        <f t="shared" si="45"/>
        <v>1.1885430398173431</v>
      </c>
      <c r="S52" s="17">
        <f t="shared" si="46"/>
        <v>0.57099014295648998</v>
      </c>
      <c r="T52" s="17" t="str">
        <f t="shared" si="36"/>
        <v>1+0.000001373236557952i</v>
      </c>
      <c r="U52" s="17">
        <f t="shared" si="47"/>
        <v>1.0000000000009428</v>
      </c>
      <c r="V52" s="17">
        <f t="shared" si="48"/>
        <v>1.3732365579511369E-6</v>
      </c>
      <c r="W52" s="31" t="str">
        <f t="shared" si="37"/>
        <v>1-0.00222687009397621i</v>
      </c>
      <c r="X52" s="17">
        <f t="shared" si="49"/>
        <v>1.0000024794721338</v>
      </c>
      <c r="Y52" s="17">
        <f t="shared" si="50"/>
        <v>-2.2268664130077032E-3</v>
      </c>
      <c r="Z52" s="31" t="str">
        <f t="shared" si="38"/>
        <v>0.999999808547963+0.0135582354368835i</v>
      </c>
      <c r="AA52" s="17">
        <f t="shared" si="51"/>
        <v>1.0000917172160384</v>
      </c>
      <c r="AB52" s="17">
        <f t="shared" si="52"/>
        <v>1.3557407339520757E-2</v>
      </c>
      <c r="AC52" s="66" t="str">
        <f t="shared" si="53"/>
        <v>3587.05226659319-2385.00267555405i</v>
      </c>
      <c r="AD52" s="64">
        <f t="shared" si="54"/>
        <v>72.684652120973482</v>
      </c>
      <c r="AE52" s="61">
        <f t="shared" si="55"/>
        <v>-33.619618923018351</v>
      </c>
      <c r="AF52" s="31" t="str">
        <f t="shared" si="56"/>
        <v>-10.0808080808081</v>
      </c>
      <c r="AG52" s="31" t="str">
        <f t="shared" si="57"/>
        <v>137.461116912112i</v>
      </c>
      <c r="AH52" s="31">
        <f t="shared" si="58"/>
        <v>137.461116912112</v>
      </c>
      <c r="AI52" s="31">
        <f t="shared" si="59"/>
        <v>1.5707963267948966</v>
      </c>
      <c r="AJ52" s="31" t="str">
        <f t="shared" si="39"/>
        <v>0.999638564484118+0.184574127739218i</v>
      </c>
      <c r="AK52" s="31">
        <f t="shared" si="60"/>
        <v>1.0165357191139726</v>
      </c>
      <c r="AL52" s="31">
        <f t="shared" si="61"/>
        <v>0.18258449213727437</v>
      </c>
      <c r="AM52" s="31" t="str">
        <f t="shared" si="40"/>
        <v>1+136.246180576396i</v>
      </c>
      <c r="AN52" s="31">
        <f t="shared" si="62"/>
        <v>136.24985035461839</v>
      </c>
      <c r="AO52" s="31">
        <f t="shared" si="63"/>
        <v>1.5634568032977731</v>
      </c>
      <c r="AP52" s="31" t="str">
        <f t="shared" si="41"/>
        <v>1+0.159674833405109i</v>
      </c>
      <c r="AQ52" s="31">
        <f t="shared" si="64"/>
        <v>1.0126677897627381</v>
      </c>
      <c r="AR52" s="31">
        <f t="shared" si="65"/>
        <v>0.15833819600086349</v>
      </c>
      <c r="AS52" s="58" t="str">
        <f t="shared" si="66"/>
        <v>-9.94899446415546+0.314351690755432i</v>
      </c>
      <c r="AT52" s="49">
        <f t="shared" si="67"/>
        <v>19.959917304635244</v>
      </c>
      <c r="AU52" s="61">
        <f t="shared" si="68"/>
        <v>178.19026584253706</v>
      </c>
      <c r="AV52" s="58" t="str">
        <f t="shared" si="42"/>
        <v>-34937.8335194553+24855.9743609149i</v>
      </c>
      <c r="AW52" s="64">
        <f t="shared" si="69"/>
        <v>92.644569425608722</v>
      </c>
      <c r="AX52" s="61">
        <f t="shared" si="70"/>
        <v>144.57064691951868</v>
      </c>
    </row>
    <row r="53" spans="1:50" x14ac:dyDescent="0.4">
      <c r="A53" s="31" t="s">
        <v>507</v>
      </c>
      <c r="B53" s="1">
        <f>1+(B51/B52)</f>
        <v>139.90487499999998</v>
      </c>
      <c r="N53" s="10">
        <v>35</v>
      </c>
      <c r="O53" s="50">
        <f t="shared" si="43"/>
        <v>22.387211385683404</v>
      </c>
      <c r="P53" s="48" t="str">
        <f t="shared" si="44"/>
        <v>5120.19230769231</v>
      </c>
      <c r="Q53" s="17" t="str">
        <f t="shared" si="35"/>
        <v>1+0.657329008236188i</v>
      </c>
      <c r="R53" s="17">
        <f t="shared" si="45"/>
        <v>1.1966960453969799</v>
      </c>
      <c r="S53" s="17">
        <f t="shared" si="46"/>
        <v>0.58151018130074295</v>
      </c>
      <c r="T53" s="17" t="str">
        <f t="shared" si="36"/>
        <v>1+1.40522334649603E-06i</v>
      </c>
      <c r="U53" s="17">
        <f t="shared" si="47"/>
        <v>1.0000000000009872</v>
      </c>
      <c r="V53" s="17">
        <f t="shared" si="48"/>
        <v>1.405223346495105E-6</v>
      </c>
      <c r="W53" s="31" t="str">
        <f t="shared" si="37"/>
        <v>1-0.00227874056188545i</v>
      </c>
      <c r="X53" s="17">
        <f t="shared" si="49"/>
        <v>1.0000025963259038</v>
      </c>
      <c r="Y53" s="17">
        <f t="shared" si="50"/>
        <v>-2.2787366176571858E-3</v>
      </c>
      <c r="Z53" s="31" t="str">
        <f t="shared" si="38"/>
        <v>0.999999799525107+0.0138740473102555i</v>
      </c>
      <c r="AA53" s="17">
        <f t="shared" si="51"/>
        <v>1.000096039507717</v>
      </c>
      <c r="AB53" s="17">
        <f t="shared" si="52"/>
        <v>1.3873159992546716E-2</v>
      </c>
      <c r="AC53" s="66" t="str">
        <f t="shared" si="53"/>
        <v>3536.59830282035-2407.39095571194i</v>
      </c>
      <c r="AD53" s="64">
        <f t="shared" si="54"/>
        <v>72.625236741872143</v>
      </c>
      <c r="AE53" s="61">
        <f t="shared" si="55"/>
        <v>-34.243434125949236</v>
      </c>
      <c r="AF53" s="31" t="str">
        <f t="shared" si="56"/>
        <v>-10.0808080808081</v>
      </c>
      <c r="AG53" s="31" t="str">
        <f t="shared" si="57"/>
        <v>140.66299764725i</v>
      </c>
      <c r="AH53" s="31">
        <f t="shared" si="58"/>
        <v>140.66299764724999</v>
      </c>
      <c r="AI53" s="31">
        <f t="shared" si="59"/>
        <v>1.5707963267948966</v>
      </c>
      <c r="AJ53" s="31" t="str">
        <f t="shared" si="39"/>
        <v>0.99962153055304+0.188873411471875i</v>
      </c>
      <c r="AK53" s="31">
        <f t="shared" si="60"/>
        <v>1.0173083946897452</v>
      </c>
      <c r="AL53" s="31">
        <f t="shared" si="61"/>
        <v>0.18674343241285951</v>
      </c>
      <c r="AM53" s="31" t="str">
        <f t="shared" si="40"/>
        <v>1+139.419761808845i</v>
      </c>
      <c r="AN53" s="31">
        <f t="shared" si="62"/>
        <v>139.42334805489028</v>
      </c>
      <c r="AO53" s="31">
        <f t="shared" si="63"/>
        <v>1.5636238654529744</v>
      </c>
      <c r="AP53" s="31" t="str">
        <f t="shared" si="41"/>
        <v>1+0.163394138067046i</v>
      </c>
      <c r="AQ53" s="31">
        <f t="shared" si="64"/>
        <v>1.013260896489484</v>
      </c>
      <c r="AR53" s="31">
        <f t="shared" si="65"/>
        <v>0.16196291568472029</v>
      </c>
      <c r="AS53" s="58" t="str">
        <f t="shared" si="66"/>
        <v>-9.94713236010454+0.317948717312935i</v>
      </c>
      <c r="AT53" s="49">
        <f t="shared" si="67"/>
        <v>19.958392807323438</v>
      </c>
      <c r="AU53" s="61">
        <f t="shared" si="68"/>
        <v>178.16922921371145</v>
      </c>
      <c r="AV53" s="58" t="str">
        <f t="shared" si="42"/>
        <v>-34413.5845562357+25071.0933730181i</v>
      </c>
      <c r="AW53" s="64">
        <f t="shared" si="69"/>
        <v>92.583629549195592</v>
      </c>
      <c r="AX53" s="61">
        <f t="shared" si="70"/>
        <v>143.92579508776217</v>
      </c>
    </row>
    <row r="54" spans="1:50" x14ac:dyDescent="0.4">
      <c r="A54" s="31" t="s">
        <v>199</v>
      </c>
      <c r="B54" s="1">
        <f>2*PI()*Fsw</f>
        <v>628318.53071795858</v>
      </c>
      <c r="C54" s="31" t="s">
        <v>205</v>
      </c>
      <c r="N54" s="10">
        <v>36</v>
      </c>
      <c r="O54" s="50">
        <f t="shared" si="43"/>
        <v>22.908676527677727</v>
      </c>
      <c r="P54" s="48" t="str">
        <f t="shared" si="44"/>
        <v>5120.19230769231</v>
      </c>
      <c r="Q54" s="17" t="str">
        <f t="shared" si="35"/>
        <v>1+0.672640167750949i</v>
      </c>
      <c r="R54" s="17">
        <f t="shared" si="45"/>
        <v>1.205174176321425</v>
      </c>
      <c r="S54" s="17">
        <f t="shared" si="46"/>
        <v>0.59212671068686085</v>
      </c>
      <c r="T54" s="17" t="str">
        <f t="shared" si="36"/>
        <v>1+0.0000014379552030587i</v>
      </c>
      <c r="U54" s="17">
        <f t="shared" si="47"/>
        <v>1.0000000000010338</v>
      </c>
      <c r="V54" s="17">
        <f t="shared" si="48"/>
        <v>1.4379552030577091E-6</v>
      </c>
      <c r="W54" s="31" t="str">
        <f t="shared" si="37"/>
        <v>1-0.00233181924820329i</v>
      </c>
      <c r="X54" s="17">
        <f t="shared" si="49"/>
        <v>1.0000027186868075</v>
      </c>
      <c r="Y54" s="17">
        <f t="shared" si="50"/>
        <v>-2.3318150218871814E-3</v>
      </c>
      <c r="Z54" s="31" t="str">
        <f t="shared" si="38"/>
        <v>0.999999790077016+0.014197215387156i</v>
      </c>
      <c r="AA54" s="17">
        <f t="shared" si="51"/>
        <v>1.0001005654827044</v>
      </c>
      <c r="AB54" s="17">
        <f t="shared" si="52"/>
        <v>1.4196264614264648E-2</v>
      </c>
      <c r="AC54" s="66" t="str">
        <f t="shared" si="53"/>
        <v>3485.21462175895-2428.90280091893i</v>
      </c>
      <c r="AD54" s="64">
        <f t="shared" si="54"/>
        <v>72.56387926716792</v>
      </c>
      <c r="AE54" s="61">
        <f t="shared" si="55"/>
        <v>-34.873268277164456</v>
      </c>
      <c r="AF54" s="31" t="str">
        <f t="shared" si="56"/>
        <v>-10.0808080808081</v>
      </c>
      <c r="AG54" s="31" t="str">
        <f t="shared" si="57"/>
        <v>143.939459765635i</v>
      </c>
      <c r="AH54" s="31">
        <f t="shared" si="58"/>
        <v>143.93945976563501</v>
      </c>
      <c r="AI54" s="31">
        <f t="shared" si="59"/>
        <v>1.5707963267948966</v>
      </c>
      <c r="AJ54" s="31" t="str">
        <f t="shared" si="39"/>
        <v>0.999603693837523+0.193272838387329i</v>
      </c>
      <c r="AK54" s="31">
        <f t="shared" si="60"/>
        <v>1.0181168571396484</v>
      </c>
      <c r="AL54" s="31">
        <f t="shared" si="61"/>
        <v>0.19099271213891172</v>
      </c>
      <c r="AM54" s="31" t="str">
        <f t="shared" si="40"/>
        <v>1+142.667265244443i</v>
      </c>
      <c r="AN54" s="31">
        <f t="shared" si="62"/>
        <v>142.67076985959054</v>
      </c>
      <c r="AO54" s="31">
        <f t="shared" si="63"/>
        <v>1.5637871251961231</v>
      </c>
      <c r="AP54" s="31" t="str">
        <f t="shared" si="41"/>
        <v>1+0.167200076463762i</v>
      </c>
      <c r="AQ54" s="31">
        <f t="shared" si="64"/>
        <v>1.0138815836030792</v>
      </c>
      <c r="AR54" s="31">
        <f t="shared" si="65"/>
        <v>0.16566762579567315</v>
      </c>
      <c r="AS54" s="58" t="str">
        <f t="shared" si="66"/>
        <v>-9.94518854340408+0.321682704899686i</v>
      </c>
      <c r="AT54" s="49">
        <f t="shared" si="67"/>
        <v>19.956801787120487</v>
      </c>
      <c r="AU54" s="61">
        <f t="shared" si="68"/>
        <v>178.14738176736196</v>
      </c>
      <c r="AV54" s="58" t="str">
        <f t="shared" si="42"/>
        <v>-33879.7805046835+25277.0295754244i</v>
      </c>
      <c r="AW54" s="64">
        <f t="shared" si="69"/>
        <v>92.520681054288417</v>
      </c>
      <c r="AX54" s="61">
        <f t="shared" si="70"/>
        <v>143.27411349019752</v>
      </c>
    </row>
    <row r="55" spans="1:50" x14ac:dyDescent="0.4">
      <c r="A55" s="31" t="s">
        <v>200</v>
      </c>
      <c r="B55" s="1">
        <f>1/(PI()*(((1-Dc_var_ccm)*mc)-0.5))</f>
        <v>3.2272070124966704E-2</v>
      </c>
      <c r="N55" s="10">
        <v>37</v>
      </c>
      <c r="O55" s="50">
        <f t="shared" si="43"/>
        <v>23.442288153199236</v>
      </c>
      <c r="P55" s="48" t="str">
        <f t="shared" si="44"/>
        <v>5120.19230769231</v>
      </c>
      <c r="Q55" s="17" t="str">
        <f t="shared" si="35"/>
        <v>1+0.688307969986097i</v>
      </c>
      <c r="R55" s="17">
        <f t="shared" si="45"/>
        <v>1.2139884107957464</v>
      </c>
      <c r="S55" s="17">
        <f t="shared" si="46"/>
        <v>0.6028357872646285</v>
      </c>
      <c r="T55" s="17" t="str">
        <f t="shared" si="36"/>
        <v>1+1.47144948250361E-06i</v>
      </c>
      <c r="U55" s="17">
        <f t="shared" si="47"/>
        <v>1.0000000000010827</v>
      </c>
      <c r="V55" s="17">
        <f t="shared" si="48"/>
        <v>1.471449482502548E-6</v>
      </c>
      <c r="W55" s="31" t="str">
        <f t="shared" si="37"/>
        <v>1-0.0023861342959518i</v>
      </c>
      <c r="X55" s="17">
        <f t="shared" si="49"/>
        <v>1.0000028468143871</v>
      </c>
      <c r="Y55" s="17">
        <f t="shared" si="50"/>
        <v>-2.3861297673731957E-3</v>
      </c>
      <c r="Z55" s="31" t="str">
        <f t="shared" si="38"/>
        <v>0.99999978018365+0.0145279110155773i</v>
      </c>
      <c r="AA55" s="17">
        <f t="shared" si="51"/>
        <v>1.0001053047383683</v>
      </c>
      <c r="AB55" s="17">
        <f t="shared" si="52"/>
        <v>1.4526892249862776E-2</v>
      </c>
      <c r="AC55" s="66" t="str">
        <f t="shared" si="53"/>
        <v>3432.93125361664-2449.49133546812i</v>
      </c>
      <c r="AD55" s="64">
        <f t="shared" si="54"/>
        <v>72.500544749840813</v>
      </c>
      <c r="AE55" s="61">
        <f t="shared" si="55"/>
        <v>-35.508906822263945</v>
      </c>
      <c r="AF55" s="31" t="str">
        <f t="shared" si="56"/>
        <v>-10.0808080808081</v>
      </c>
      <c r="AG55" s="31" t="str">
        <f t="shared" si="57"/>
        <v>147.292240490852i</v>
      </c>
      <c r="AH55" s="31">
        <f t="shared" si="58"/>
        <v>147.29224049085201</v>
      </c>
      <c r="AI55" s="31">
        <f t="shared" si="59"/>
        <v>1.5707963267948966</v>
      </c>
      <c r="AJ55" s="31" t="str">
        <f t="shared" si="39"/>
        <v>0.999585016503502+0.197774741119965i</v>
      </c>
      <c r="AK55" s="31">
        <f t="shared" si="60"/>
        <v>1.0189627340797971</v>
      </c>
      <c r="AL55" s="31">
        <f t="shared" si="61"/>
        <v>0.19533399045737251</v>
      </c>
      <c r="AM55" s="31" t="str">
        <f t="shared" si="40"/>
        <v>1+145.990412752498i</v>
      </c>
      <c r="AN55" s="31">
        <f t="shared" si="62"/>
        <v>145.99383759475853</v>
      </c>
      <c r="AO55" s="31">
        <f t="shared" si="63"/>
        <v>1.563946669054864</v>
      </c>
      <c r="AP55" s="31" t="str">
        <f t="shared" si="41"/>
        <v>1+0.171094666554174i</v>
      </c>
      <c r="AQ55" s="31">
        <f t="shared" si="64"/>
        <v>1.0145311157984678</v>
      </c>
      <c r="AR55" s="31">
        <f t="shared" si="65"/>
        <v>0.16945388364078343</v>
      </c>
      <c r="AS55" s="58" t="str">
        <f t="shared" si="66"/>
        <v>-9.94315971478855+0.325553533099726i</v>
      </c>
      <c r="AT55" s="49">
        <f t="shared" si="67"/>
        <v>19.95514146511049</v>
      </c>
      <c r="AU55" s="61">
        <f t="shared" si="68"/>
        <v>178.12472262644874</v>
      </c>
      <c r="AV55" s="58" t="str">
        <f t="shared" si="42"/>
        <v>-33336.7431860407+25473.2864670536i</v>
      </c>
      <c r="AW55" s="64">
        <f t="shared" si="69"/>
        <v>92.455686214951299</v>
      </c>
      <c r="AX55" s="61">
        <f t="shared" si="70"/>
        <v>142.61581580418479</v>
      </c>
    </row>
    <row r="56" spans="1:50" x14ac:dyDescent="0.4">
      <c r="N56" s="10">
        <v>38</v>
      </c>
      <c r="O56" s="50">
        <f t="shared" si="43"/>
        <v>23.988329190194907</v>
      </c>
      <c r="P56" s="48" t="str">
        <f t="shared" si="44"/>
        <v>5120.19230769231</v>
      </c>
      <c r="Q56" s="17" t="str">
        <f t="shared" si="35"/>
        <v>1+0.704340722217763i</v>
      </c>
      <c r="R56" s="17">
        <f t="shared" si="45"/>
        <v>1.2231499715792173</v>
      </c>
      <c r="S56" s="17">
        <f t="shared" si="46"/>
        <v>0.61363326381369632</v>
      </c>
      <c r="T56" s="17" t="str">
        <f t="shared" si="36"/>
        <v>1+1.50572394394109E-06i</v>
      </c>
      <c r="U56" s="17">
        <f t="shared" si="47"/>
        <v>1.0000000000011338</v>
      </c>
      <c r="V56" s="17">
        <f t="shared" si="48"/>
        <v>1.505723943939952E-6</v>
      </c>
      <c r="W56" s="31" t="str">
        <f t="shared" si="37"/>
        <v>1-0.00244171450368824i</v>
      </c>
      <c r="X56" s="17">
        <f t="shared" si="49"/>
        <v>1.0000029809804156</v>
      </c>
      <c r="Y56" s="17">
        <f t="shared" si="50"/>
        <v>-2.4417096512296217E-3</v>
      </c>
      <c r="Z56" s="31" t="str">
        <f t="shared" si="38"/>
        <v>0.999999769824025+0.0148663095347186i</v>
      </c>
      <c r="AA56" s="17">
        <f t="shared" si="51"/>
        <v>1.0001102673242013</v>
      </c>
      <c r="AB56" s="17">
        <f t="shared" si="52"/>
        <v>1.486521791408823E-2</v>
      </c>
      <c r="AC56" s="66" t="str">
        <f t="shared" si="53"/>
        <v>3379.78122910615-2469.11071225859i</v>
      </c>
      <c r="AD56" s="64">
        <f t="shared" si="54"/>
        <v>72.43519944047587</v>
      </c>
      <c r="AE56" s="61">
        <f t="shared" si="55"/>
        <v>-36.150123819566815</v>
      </c>
      <c r="AF56" s="31" t="str">
        <f t="shared" si="56"/>
        <v>-10.0808080808081</v>
      </c>
      <c r="AG56" s="31" t="str">
        <f t="shared" si="57"/>
        <v>150.72311751162i</v>
      </c>
      <c r="AH56" s="31">
        <f t="shared" si="58"/>
        <v>150.72311751161999</v>
      </c>
      <c r="AI56" s="31">
        <f t="shared" si="59"/>
        <v>1.5707963267948966</v>
      </c>
      <c r="AJ56" s="31" t="str">
        <f t="shared" si="39"/>
        <v>0.999565458933847+0.2023815066382i</v>
      </c>
      <c r="AK56" s="31">
        <f t="shared" si="60"/>
        <v>1.0198477243798605</v>
      </c>
      <c r="AL56" s="31">
        <f t="shared" si="61"/>
        <v>0.19976893591126008</v>
      </c>
      <c r="AM56" s="31" t="str">
        <f t="shared" si="40"/>
        <v>1+149.390966309806i</v>
      </c>
      <c r="AN56" s="31">
        <f t="shared" si="62"/>
        <v>149.39431319490575</v>
      </c>
      <c r="AO56" s="31">
        <f t="shared" si="63"/>
        <v>1.564102581588956</v>
      </c>
      <c r="AP56" s="31" t="str">
        <f t="shared" si="41"/>
        <v>1+0.175079973301498i</v>
      </c>
      <c r="AQ56" s="31">
        <f t="shared" si="64"/>
        <v>1.0152108140929417</v>
      </c>
      <c r="AR56" s="31">
        <f t="shared" si="65"/>
        <v>0.17332326229504122</v>
      </c>
      <c r="AS56" s="58" t="str">
        <f t="shared" si="66"/>
        <v>-9.94104246829581+0.329561022340148i</v>
      </c>
      <c r="AT56" s="49">
        <f t="shared" si="67"/>
        <v>19.953408969092546</v>
      </c>
      <c r="AU56" s="61">
        <f t="shared" si="68"/>
        <v>178.10125116597391</v>
      </c>
      <c r="AV56" s="58" t="str">
        <f t="shared" si="42"/>
        <v>-32784.8260814903+25659.378606637i</v>
      </c>
      <c r="AW56" s="64">
        <f t="shared" si="69"/>
        <v>92.388608409568405</v>
      </c>
      <c r="AX56" s="61">
        <f t="shared" si="70"/>
        <v>141.95112734640711</v>
      </c>
    </row>
    <row r="57" spans="1:50" x14ac:dyDescent="0.4">
      <c r="N57" s="10">
        <v>39</v>
      </c>
      <c r="O57" s="50">
        <f t="shared" si="43"/>
        <v>24.547089156850316</v>
      </c>
      <c r="P57" s="48" t="str">
        <f t="shared" si="44"/>
        <v>5120.19230769231</v>
      </c>
      <c r="Q57" s="17" t="str">
        <f t="shared" si="35"/>
        <v>1+0.720746925223401i</v>
      </c>
      <c r="R57" s="17">
        <f t="shared" si="45"/>
        <v>1.2326703250338213</v>
      </c>
      <c r="S57" s="17">
        <f t="shared" si="46"/>
        <v>0.62451479475183258</v>
      </c>
      <c r="T57" s="17" t="str">
        <f t="shared" si="36"/>
        <v>1+1.54079676014425E-06i</v>
      </c>
      <c r="U57" s="17">
        <f t="shared" si="47"/>
        <v>1.0000000000011871</v>
      </c>
      <c r="V57" s="17">
        <f t="shared" si="48"/>
        <v>1.5407967601430307E-6</v>
      </c>
      <c r="W57" s="31" t="str">
        <f t="shared" si="37"/>
        <v>1-0.00249858934077445i</v>
      </c>
      <c r="X57" s="17">
        <f t="shared" si="49"/>
        <v>1.0000031214694751</v>
      </c>
      <c r="Y57" s="17">
        <f t="shared" si="50"/>
        <v>-2.498584141272239E-3</v>
      </c>
      <c r="Z57" s="31" t="str">
        <f t="shared" si="38"/>
        <v>0.999999758976166+0.015212590367954i</v>
      </c>
      <c r="AA57" s="17">
        <f t="shared" si="51"/>
        <v>1.0001154637631062</v>
      </c>
      <c r="AB57" s="17">
        <f t="shared" si="52"/>
        <v>1.5211420682667868E-2</v>
      </c>
      <c r="AC57" s="66" t="str">
        <f t="shared" si="53"/>
        <v>3325.80054977255-2487.71633816982i</v>
      </c>
      <c r="AD57" s="64">
        <f t="shared" si="54"/>
        <v>72.36781090090814</v>
      </c>
      <c r="AE57" s="61">
        <f t="shared" si="55"/>
        <v>-36.796682233175567</v>
      </c>
      <c r="AF57" s="31" t="str">
        <f t="shared" si="56"/>
        <v>-10.0808080808081</v>
      </c>
      <c r="AG57" s="31" t="str">
        <f t="shared" si="57"/>
        <v>154.233909924349i</v>
      </c>
      <c r="AH57" s="31">
        <f t="shared" si="58"/>
        <v>154.23390992434901</v>
      </c>
      <c r="AI57" s="31">
        <f t="shared" si="59"/>
        <v>1.5707963267948966</v>
      </c>
      <c r="AJ57" s="31" t="str">
        <f t="shared" si="39"/>
        <v>0.999544979644331+0.207095577510091i</v>
      </c>
      <c r="AK57" s="31">
        <f t="shared" si="60"/>
        <v>1.0207736010283692</v>
      </c>
      <c r="AL57" s="31">
        <f t="shared" si="61"/>
        <v>0.20429922486784727</v>
      </c>
      <c r="AM57" s="31" t="str">
        <f t="shared" si="40"/>
        <v>1+152.870728934874i</v>
      </c>
      <c r="AN57" s="31">
        <f t="shared" si="62"/>
        <v>152.87399963721668</v>
      </c>
      <c r="AO57" s="31">
        <f t="shared" si="63"/>
        <v>1.5642549454349506</v>
      </c>
      <c r="AP57" s="31" t="str">
        <f t="shared" si="41"/>
        <v>1+0.179158109768124i</v>
      </c>
      <c r="AQ57" s="31">
        <f t="shared" si="64"/>
        <v>1.0159220581795076</v>
      </c>
      <c r="AR57" s="31">
        <f t="shared" si="65"/>
        <v>0.17727734966117215</v>
      </c>
      <c r="AS57" s="58" t="str">
        <f t="shared" si="66"/>
        <v>-9.93883329033326+0.333704926438992i</v>
      </c>
      <c r="AT57" s="49">
        <f t="shared" si="67"/>
        <v>19.951601332143326</v>
      </c>
      <c r="AU57" s="61">
        <f t="shared" si="68"/>
        <v>178.07696705201786</v>
      </c>
      <c r="AV57" s="58" t="str">
        <f t="shared" si="42"/>
        <v>-32224.414023458+25834.8339865208i</v>
      </c>
      <c r="AW57" s="64">
        <f t="shared" si="69"/>
        <v>92.31941223305148</v>
      </c>
      <c r="AX57" s="61">
        <f t="shared" si="70"/>
        <v>141.2802848188422</v>
      </c>
    </row>
    <row r="58" spans="1:50" x14ac:dyDescent="0.4">
      <c r="N58" s="10">
        <v>40</v>
      </c>
      <c r="O58" s="50">
        <f t="shared" si="43"/>
        <v>25.118864315095799</v>
      </c>
      <c r="P58" s="48" t="str">
        <f t="shared" si="44"/>
        <v>5120.19230769231</v>
      </c>
      <c r="Q58" s="17" t="str">
        <f t="shared" si="35"/>
        <v>1+0.737535277789009i</v>
      </c>
      <c r="R58" s="17">
        <f t="shared" si="45"/>
        <v>1.2425611799759844</v>
      </c>
      <c r="S58" s="17">
        <f t="shared" si="46"/>
        <v>0.63547584213530273</v>
      </c>
      <c r="T58" s="17" t="str">
        <f t="shared" si="36"/>
        <v>1+1.57668652718451E-06i</v>
      </c>
      <c r="U58" s="17">
        <f t="shared" si="47"/>
        <v>1.000000000001243</v>
      </c>
      <c r="V58" s="17">
        <f t="shared" si="48"/>
        <v>1.5766865271832035E-6</v>
      </c>
      <c r="W58" s="31" t="str">
        <f t="shared" si="37"/>
        <v>1-0.0025567889630019i</v>
      </c>
      <c r="X58" s="17">
        <f t="shared" si="49"/>
        <v>1.0000032685795588</v>
      </c>
      <c r="Y58" s="17">
        <f t="shared" si="50"/>
        <v>-2.5567833916358869E-3</v>
      </c>
      <c r="Z58" s="31" t="str">
        <f t="shared" si="38"/>
        <v>0.999999747617062+0.0155669371179651i</v>
      </c>
      <c r="AA58" s="17">
        <f t="shared" si="51"/>
        <v>1.0001209050736928</v>
      </c>
      <c r="AB58" s="17">
        <f t="shared" si="52"/>
        <v>1.5565683785783073E-2</v>
      </c>
      <c r="AC58" s="66" t="str">
        <f t="shared" si="53"/>
        <v>3271.0281387135-2505.26510066342i</v>
      </c>
      <c r="AD58" s="64">
        <f t="shared" si="54"/>
        <v>72.298348116356422</v>
      </c>
      <c r="AE58" s="61">
        <f t="shared" si="55"/>
        <v>-37.44833428302146</v>
      </c>
      <c r="AF58" s="31" t="str">
        <f t="shared" si="56"/>
        <v>-10.0808080808081</v>
      </c>
      <c r="AG58" s="31" t="str">
        <f t="shared" si="57"/>
        <v>157.826479197648i</v>
      </c>
      <c r="AH58" s="31">
        <f t="shared" si="58"/>
        <v>157.82647919764801</v>
      </c>
      <c r="AI58" s="31">
        <f t="shared" si="59"/>
        <v>1.5707963267948966</v>
      </c>
      <c r="AJ58" s="31" t="str">
        <f t="shared" si="39"/>
        <v>0.999523535195635+0.211919453198412i</v>
      </c>
      <c r="AK58" s="31">
        <f t="shared" si="60"/>
        <v>1.0217422140901755</v>
      </c>
      <c r="AL58" s="31">
        <f t="shared" si="61"/>
        <v>0.20892653980942022</v>
      </c>
      <c r="AM58" s="31" t="str">
        <f t="shared" si="40"/>
        <v>1+156.431545643908i</v>
      </c>
      <c r="AN58" s="31">
        <f t="shared" si="62"/>
        <v>156.43474189751481</v>
      </c>
      <c r="AO58" s="31">
        <f t="shared" si="63"/>
        <v>1.5644038413498627</v>
      </c>
      <c r="AP58" s="31" t="str">
        <f t="shared" si="41"/>
        <v>1+0.183331238235988i</v>
      </c>
      <c r="AQ58" s="31">
        <f t="shared" si="64"/>
        <v>1.0166662888643159</v>
      </c>
      <c r="AR58" s="31">
        <f t="shared" si="65"/>
        <v>0.18131774743206103</v>
      </c>
      <c r="AS58" s="58" t="str">
        <f t="shared" si="66"/>
        <v>-9.93652855901387+0.337984924811978i</v>
      </c>
      <c r="AT58" s="49">
        <f t="shared" si="67"/>
        <v>19.949715491356802</v>
      </c>
      <c r="AU58" s="61">
        <f t="shared" si="68"/>
        <v>178.05187028272508</v>
      </c>
      <c r="AV58" s="58" t="str">
        <f t="shared" si="42"/>
        <v>-31655.9226809829+25999.1964201638i</v>
      </c>
      <c r="AW58" s="64">
        <f t="shared" si="69"/>
        <v>92.248063607713235</v>
      </c>
      <c r="AX58" s="61">
        <f t="shared" si="70"/>
        <v>140.60353599970361</v>
      </c>
    </row>
    <row r="59" spans="1:50" x14ac:dyDescent="0.4">
      <c r="N59" s="10">
        <v>41</v>
      </c>
      <c r="O59" s="50">
        <f t="shared" si="43"/>
        <v>25.703957827688647</v>
      </c>
      <c r="P59" s="48" t="str">
        <f t="shared" si="44"/>
        <v>5120.19230769231</v>
      </c>
      <c r="Q59" s="17" t="str">
        <f t="shared" si="35"/>
        <v>1+0.754714681321331i</v>
      </c>
      <c r="R59" s="17">
        <f t="shared" si="45"/>
        <v>1.2528344863556231</v>
      </c>
      <c r="S59" s="17">
        <f t="shared" si="46"/>
        <v>0.64651168265257541</v>
      </c>
      <c r="T59" s="17" t="str">
        <f t="shared" si="36"/>
        <v>1+1.61341227429138E-06i</v>
      </c>
      <c r="U59" s="17">
        <f t="shared" si="47"/>
        <v>1.0000000000013016</v>
      </c>
      <c r="V59" s="17">
        <f t="shared" si="48"/>
        <v>1.61341227428998E-6</v>
      </c>
      <c r="W59" s="31" t="str">
        <f t="shared" si="37"/>
        <v>1-0.00261634422858061i</v>
      </c>
      <c r="X59" s="17">
        <f t="shared" si="49"/>
        <v>1.0000034226227041</v>
      </c>
      <c r="Y59" s="17">
        <f t="shared" si="50"/>
        <v>-2.6163382587554738E-3</v>
      </c>
      <c r="Z59" s="31" t="str">
        <f t="shared" si="38"/>
        <v>0.999999735722621+0.0159295376640888i</v>
      </c>
      <c r="AA59" s="17">
        <f t="shared" si="51"/>
        <v>1.000126602793618</v>
      </c>
      <c r="AB59" s="17">
        <f t="shared" si="52"/>
        <v>1.5928194703641322E-2</v>
      </c>
      <c r="AC59" s="66" t="str">
        <f t="shared" si="53"/>
        <v>3215.50577122231-2521.7155936855i</v>
      </c>
      <c r="AD59" s="64">
        <f t="shared" si="54"/>
        <v>72.226781605288849</v>
      </c>
      <c r="AE59" s="61">
        <f t="shared" si="55"/>
        <v>-38.104821851966534</v>
      </c>
      <c r="AF59" s="31" t="str">
        <f t="shared" si="56"/>
        <v>-10.0808080808081</v>
      </c>
      <c r="AG59" s="31" t="str">
        <f t="shared" si="57"/>
        <v>161.502730159297i</v>
      </c>
      <c r="AH59" s="31">
        <f t="shared" si="58"/>
        <v>161.50273015929699</v>
      </c>
      <c r="AI59" s="31">
        <f t="shared" si="59"/>
        <v>1.5707963267948966</v>
      </c>
      <c r="AJ59" s="31" t="str">
        <f t="shared" si="39"/>
        <v>0.999501080101208+0.216855691385904i</v>
      </c>
      <c r="AK59" s="31">
        <f t="shared" si="60"/>
        <v>1.0227554937569094</v>
      </c>
      <c r="AL59" s="31">
        <f t="shared" si="61"/>
        <v>0.21365256748516359</v>
      </c>
      <c r="AM59" s="31" t="str">
        <f t="shared" si="40"/>
        <v>1+160.075304429058i</v>
      </c>
      <c r="AN59" s="31">
        <f t="shared" si="62"/>
        <v>160.07842792848638</v>
      </c>
      <c r="AO59" s="31">
        <f t="shared" si="63"/>
        <v>1.5645493482538539</v>
      </c>
      <c r="AP59" s="31" t="str">
        <f t="shared" si="41"/>
        <v>1+0.187601571353039i</v>
      </c>
      <c r="AQ59" s="31">
        <f t="shared" si="64"/>
        <v>1.0174450105898252</v>
      </c>
      <c r="AR59" s="31">
        <f t="shared" si="65"/>
        <v>0.18544606995010257</v>
      </c>
      <c r="AS59" s="58" t="str">
        <f t="shared" si="66"/>
        <v>-9.93412454379299+0.342400614334196i</v>
      </c>
      <c r="AT59" s="49">
        <f t="shared" si="67"/>
        <v>19.947748286784112</v>
      </c>
      <c r="AU59" s="61">
        <f t="shared" si="68"/>
        <v>178.02596123128433</v>
      </c>
      <c r="AV59" s="58" t="str">
        <f t="shared" si="42"/>
        <v>-31079.7978341535+26152.0279231583i</v>
      </c>
      <c r="AW59" s="64">
        <f t="shared" si="69"/>
        <v>92.174529892072954</v>
      </c>
      <c r="AX59" s="61">
        <f t="shared" si="70"/>
        <v>139.92113937931779</v>
      </c>
    </row>
    <row r="60" spans="1:50" x14ac:dyDescent="0.4">
      <c r="N60" s="10">
        <v>42</v>
      </c>
      <c r="O60" s="50">
        <f t="shared" si="43"/>
        <v>26.302679918953825</v>
      </c>
      <c r="P60" s="48" t="str">
        <f t="shared" si="44"/>
        <v>5120.19230769231</v>
      </c>
      <c r="Q60" s="17" t="str">
        <f t="shared" si="35"/>
        <v>1+0.772294244567519i</v>
      </c>
      <c r="R60" s="17">
        <f t="shared" si="45"/>
        <v>1.2635024337895495</v>
      </c>
      <c r="S60" s="17">
        <f t="shared" si="46"/>
        <v>0.65761741560391551</v>
      </c>
      <c r="T60" s="17" t="str">
        <f t="shared" si="36"/>
        <v>1+1.65099347394212E-06i</v>
      </c>
      <c r="U60" s="17">
        <f t="shared" si="47"/>
        <v>1.0000000000013629</v>
      </c>
      <c r="V60" s="17">
        <f t="shared" si="48"/>
        <v>1.6509934739406198E-6</v>
      </c>
      <c r="W60" s="31" t="str">
        <f t="shared" si="37"/>
        <v>1-0.00267728671450073i</v>
      </c>
      <c r="X60" s="17">
        <f t="shared" si="49"/>
        <v>1.0000035839256536</v>
      </c>
      <c r="Y60" s="17">
        <f t="shared" si="50"/>
        <v>-2.6772803177190856E-3</v>
      </c>
      <c r="Z60" s="31" t="str">
        <f t="shared" si="38"/>
        <v>0.999999723267612+0.0163005842619344i</v>
      </c>
      <c r="AA60" s="17">
        <f t="shared" si="51"/>
        <v>1.0001325690040201</v>
      </c>
      <c r="AB60" s="17">
        <f t="shared" si="52"/>
        <v>1.6299145264190344E-2</v>
      </c>
      <c r="AC60" s="66" t="str">
        <f t="shared" si="53"/>
        <v>3159.27798509518-2537.02834085274i</v>
      </c>
      <c r="AD60" s="64">
        <f t="shared" si="54"/>
        <v>72.153083526249205</v>
      </c>
      <c r="AE60" s="61">
        <f t="shared" si="55"/>
        <v>-38.765876949534459</v>
      </c>
      <c r="AF60" s="31" t="str">
        <f t="shared" si="56"/>
        <v>-10.0808080808081</v>
      </c>
      <c r="AG60" s="31" t="str">
        <f t="shared" si="57"/>
        <v>165.264612006218i</v>
      </c>
      <c r="AH60" s="31">
        <f t="shared" si="58"/>
        <v>165.26461200621799</v>
      </c>
      <c r="AI60" s="31">
        <f t="shared" si="59"/>
        <v>1.5707963267948966</v>
      </c>
      <c r="AJ60" s="31" t="str">
        <f t="shared" si="39"/>
        <v>0.999477566730784+0.221906909331393i</v>
      </c>
      <c r="AK60" s="31">
        <f t="shared" si="60"/>
        <v>1.0238154534910577</v>
      </c>
      <c r="AL60" s="31">
        <f t="shared" si="61"/>
        <v>0.218478996917641</v>
      </c>
      <c r="AM60" s="31" t="str">
        <f t="shared" si="40"/>
        <v>1+163.803937259463i</v>
      </c>
      <c r="AN60" s="31">
        <f t="shared" si="62"/>
        <v>163.80698966070432</v>
      </c>
      <c r="AO60" s="31">
        <f t="shared" si="63"/>
        <v>1.564691543271951</v>
      </c>
      <c r="AP60" s="31" t="str">
        <f t="shared" si="41"/>
        <v>1+0.191971373306423i</v>
      </c>
      <c r="AQ60" s="31">
        <f t="shared" si="64"/>
        <v>1.0182597940452889</v>
      </c>
      <c r="AR60" s="31">
        <f t="shared" si="65"/>
        <v>0.18966394295762562</v>
      </c>
      <c r="AS60" s="58" t="str">
        <f t="shared" si="66"/>
        <v>-9.93161740544071+0.346951500854065i</v>
      </c>
      <c r="AT60" s="49">
        <f t="shared" si="67"/>
        <v>19.945696460599937</v>
      </c>
      <c r="AU60" s="61">
        <f t="shared" si="68"/>
        <v>177.99924069094359</v>
      </c>
      <c r="AV60" s="58" t="str">
        <f t="shared" si="42"/>
        <v>-30496.5144348288+26292.9110666534i</v>
      </c>
      <c r="AW60" s="64">
        <f t="shared" si="69"/>
        <v>92.098779986849152</v>
      </c>
      <c r="AX60" s="61">
        <f t="shared" si="70"/>
        <v>139.23336374140916</v>
      </c>
    </row>
    <row r="61" spans="1:50" ht="15.9" x14ac:dyDescent="0.45">
      <c r="A61" s="51" t="s">
        <v>215</v>
      </c>
      <c r="N61" s="10">
        <v>43</v>
      </c>
      <c r="O61" s="50">
        <f t="shared" si="43"/>
        <v>26.915348039269158</v>
      </c>
      <c r="P61" s="48" t="str">
        <f t="shared" si="44"/>
        <v>5120.19230769231</v>
      </c>
      <c r="Q61" s="17" t="str">
        <f t="shared" si="35"/>
        <v>1+0.790283288444703i</v>
      </c>
      <c r="R61" s="17">
        <f t="shared" si="45"/>
        <v>1.2745774499790012</v>
      </c>
      <c r="S61" s="17">
        <f t="shared" si="46"/>
        <v>0.6687879718503652</v>
      </c>
      <c r="T61" s="17" t="str">
        <f t="shared" si="36"/>
        <v>1+1.68945005218623E-06i</v>
      </c>
      <c r="U61" s="17">
        <f t="shared" si="47"/>
        <v>1.0000000000014271</v>
      </c>
      <c r="V61" s="17">
        <f t="shared" si="48"/>
        <v>1.6894500521846226E-6</v>
      </c>
      <c r="W61" s="31" t="str">
        <f t="shared" si="37"/>
        <v>1-0.00273964873327497i</v>
      </c>
      <c r="X61" s="17">
        <f t="shared" si="49"/>
        <v>1.000003752830549</v>
      </c>
      <c r="Y61" s="17">
        <f t="shared" si="50"/>
        <v>-2.7396418790013363E-3</v>
      </c>
      <c r="Z61" s="31" t="str">
        <f t="shared" si="38"/>
        <v>0.999999710225616+0.0166802736453195i</v>
      </c>
      <c r="AA61" s="17">
        <f t="shared" si="51"/>
        <v>1.0001388163551093</v>
      </c>
      <c r="AB61" s="17">
        <f t="shared" si="52"/>
        <v>1.6678731743014926E-2</v>
      </c>
      <c r="AC61" s="66" t="str">
        <f t="shared" si="53"/>
        <v>3102.39197057064-2551.16601384108i</v>
      </c>
      <c r="AD61" s="64">
        <f t="shared" si="54"/>
        <v>72.077227780867389</v>
      </c>
      <c r="AE61" s="61">
        <f t="shared" si="55"/>
        <v>-39.431222231332043</v>
      </c>
      <c r="AF61" s="31" t="str">
        <f t="shared" si="56"/>
        <v>-10.0808080808081</v>
      </c>
      <c r="AG61" s="31" t="str">
        <f t="shared" si="57"/>
        <v>169.114119337961i</v>
      </c>
      <c r="AH61" s="31">
        <f t="shared" si="58"/>
        <v>169.114119337961</v>
      </c>
      <c r="AI61" s="31">
        <f t="shared" si="59"/>
        <v>1.5707963267948966</v>
      </c>
      <c r="AJ61" s="31" t="str">
        <f t="shared" si="39"/>
        <v>0.999452945209352+0.227075785257496i</v>
      </c>
      <c r="AK61" s="31">
        <f t="shared" si="60"/>
        <v>1.0249241932640465</v>
      </c>
      <c r="AL61" s="31">
        <f t="shared" si="61"/>
        <v>0.22340751725732497</v>
      </c>
      <c r="AM61" s="31" t="str">
        <f t="shared" si="40"/>
        <v>1+167.619421105605i</v>
      </c>
      <c r="AN61" s="31">
        <f t="shared" si="62"/>
        <v>167.62240402696219</v>
      </c>
      <c r="AO61" s="31">
        <f t="shared" si="63"/>
        <v>1.5648305017748207</v>
      </c>
      <c r="AP61" s="31" t="str">
        <f t="shared" si="41"/>
        <v>1+0.196442961022976i</v>
      </c>
      <c r="AQ61" s="31">
        <f t="shared" si="64"/>
        <v>1.0191122788660112</v>
      </c>
      <c r="AR61" s="31">
        <f t="shared" si="65"/>
        <v>0.19397300223233388</v>
      </c>
      <c r="AS61" s="58" t="str">
        <f t="shared" si="66"/>
        <v>-9.92900319638687+0.351636990359556i</v>
      </c>
      <c r="AT61" s="49">
        <f t="shared" si="67"/>
        <v>19.943556656523747</v>
      </c>
      <c r="AU61" s="61">
        <f t="shared" si="68"/>
        <v>177.97170992208967</v>
      </c>
      <c r="AV61" s="58" t="str">
        <f t="shared" si="42"/>
        <v>-29906.5754532262+26421.4512813887i</v>
      </c>
      <c r="AW61" s="64">
        <f t="shared" si="69"/>
        <v>92.020784437391129</v>
      </c>
      <c r="AX61" s="61">
        <f t="shared" si="70"/>
        <v>138.54048769075769</v>
      </c>
    </row>
    <row r="62" spans="1:50" x14ac:dyDescent="0.4">
      <c r="A62" s="31" t="s">
        <v>180</v>
      </c>
      <c r="N62" s="10">
        <v>44</v>
      </c>
      <c r="O62" s="50">
        <f t="shared" si="43"/>
        <v>27.542287033381665</v>
      </c>
      <c r="P62" s="48" t="str">
        <f t="shared" si="44"/>
        <v>5120.19230769231</v>
      </c>
      <c r="Q62" s="17" t="str">
        <f t="shared" si="35"/>
        <v>1+0.808691350982056i</v>
      </c>
      <c r="R62" s="17">
        <f t="shared" si="45"/>
        <v>1.2860721990437329</v>
      </c>
      <c r="S62" s="17">
        <f t="shared" si="46"/>
        <v>0.68001812370645154</v>
      </c>
      <c r="T62" s="17" t="str">
        <f t="shared" si="36"/>
        <v>1+1.72880239921053E-06i</v>
      </c>
      <c r="U62" s="17">
        <f t="shared" si="47"/>
        <v>1.0000000000014944</v>
      </c>
      <c r="V62" s="17">
        <f t="shared" si="48"/>
        <v>1.7288023992088078E-6</v>
      </c>
      <c r="W62" s="31" t="str">
        <f t="shared" si="37"/>
        <v>1-0.00280346335007113i</v>
      </c>
      <c r="X62" s="17">
        <f t="shared" si="49"/>
        <v>1.0000039296956564</v>
      </c>
      <c r="Y62" s="17">
        <f t="shared" si="50"/>
        <v>-2.8034560055861667E-3</v>
      </c>
      <c r="Z62" s="31" t="str">
        <f t="shared" si="38"/>
        <v>0.99999969656897+0.0170688071305808i</v>
      </c>
      <c r="AA62" s="17">
        <f t="shared" si="51"/>
        <v>1.0001453580929589</v>
      </c>
      <c r="AB62" s="17">
        <f t="shared" si="52"/>
        <v>1.7067154965463117E-2</v>
      </c>
      <c r="AC62" s="66" t="str">
        <f t="shared" si="53"/>
        <v>3044.89744010858-2564.09364385963i</v>
      </c>
      <c r="AD62" s="64">
        <f t="shared" si="54"/>
        <v>71.999190112280388</v>
      </c>
      <c r="AE62" s="61">
        <f t="shared" si="55"/>
        <v>-40.100571572691123</v>
      </c>
      <c r="AF62" s="31" t="str">
        <f t="shared" si="56"/>
        <v>-10.0808080808081</v>
      </c>
      <c r="AG62" s="31" t="str">
        <f t="shared" si="57"/>
        <v>173.053293214267i</v>
      </c>
      <c r="AH62" s="31">
        <f t="shared" si="58"/>
        <v>173.053293214267</v>
      </c>
      <c r="AI62" s="31">
        <f t="shared" si="59"/>
        <v>1.5707963267948966</v>
      </c>
      <c r="AJ62" s="31" t="str">
        <f t="shared" si="39"/>
        <v>0.999427163311365+0.232365059770645i</v>
      </c>
      <c r="AK62" s="31">
        <f t="shared" si="60"/>
        <v>1.0260839028884614</v>
      </c>
      <c r="AL62" s="31">
        <f t="shared" si="61"/>
        <v>0.2284398154786417</v>
      </c>
      <c r="AM62" s="31" t="str">
        <f t="shared" si="40"/>
        <v>1+171.523778987523i</v>
      </c>
      <c r="AN62" s="31">
        <f t="shared" si="62"/>
        <v>171.52669401046776</v>
      </c>
      <c r="AO62" s="31">
        <f t="shared" si="63"/>
        <v>1.5649662974186225</v>
      </c>
      <c r="AP62" s="31" t="str">
        <f t="shared" si="41"/>
        <v>1+0.201018705397693i</v>
      </c>
      <c r="AQ62" s="31">
        <f t="shared" si="64"/>
        <v>1.0200041764227068</v>
      </c>
      <c r="AR62" s="31">
        <f t="shared" si="65"/>
        <v>0.19837489210161682</v>
      </c>
      <c r="AS62" s="58" t="str">
        <f t="shared" si="66"/>
        <v>-9.92627786147654+0.356456379798435i</v>
      </c>
      <c r="AT62" s="49">
        <f t="shared" si="67"/>
        <v>19.941325419525018</v>
      </c>
      <c r="AU62" s="61">
        <f t="shared" si="68"/>
        <v>177.94337070141452</v>
      </c>
      <c r="AV62" s="58" t="str">
        <f t="shared" si="42"/>
        <v>-29310.510512462+26537.2790901552i</v>
      </c>
      <c r="AW62" s="64">
        <f t="shared" si="69"/>
        <v>91.940515531805403</v>
      </c>
      <c r="AX62" s="61">
        <f t="shared" si="70"/>
        <v>137.84279912872336</v>
      </c>
    </row>
    <row r="63" spans="1:50" x14ac:dyDescent="0.4">
      <c r="A63" s="31" t="s">
        <v>178</v>
      </c>
      <c r="B63" s="3">
        <f>RFBT_iso</f>
        <v>30000000</v>
      </c>
      <c r="C63" s="2" t="s">
        <v>35</v>
      </c>
      <c r="E63" s="31" t="s">
        <v>181</v>
      </c>
      <c r="N63" s="10">
        <v>45</v>
      </c>
      <c r="O63" s="50">
        <f t="shared" si="43"/>
        <v>28.183829312644548</v>
      </c>
      <c r="P63" s="48" t="str">
        <f t="shared" si="44"/>
        <v>5120.19230769231</v>
      </c>
      <c r="Q63" s="17" t="str">
        <f t="shared" si="35"/>
        <v>1+0.827528192377993i</v>
      </c>
      <c r="R63" s="17">
        <f t="shared" si="45"/>
        <v>1.2979995798074777</v>
      </c>
      <c r="S63" s="17">
        <f t="shared" si="46"/>
        <v>0.69130249574163627</v>
      </c>
      <c r="T63" s="17" t="str">
        <f t="shared" si="36"/>
        <v>1+1.76907138015029E-06i</v>
      </c>
      <c r="U63" s="17">
        <f t="shared" si="47"/>
        <v>1.000000000001565</v>
      </c>
      <c r="V63" s="17">
        <f t="shared" si="48"/>
        <v>1.7690713801484445E-6</v>
      </c>
      <c r="W63" s="31" t="str">
        <f t="shared" si="37"/>
        <v>1-0.00286876440024371i</v>
      </c>
      <c r="X63" s="17">
        <f t="shared" si="49"/>
        <v>1.0000041148961258</v>
      </c>
      <c r="Y63" s="17">
        <f t="shared" si="50"/>
        <v>-2.8687565304880338E-3</v>
      </c>
      <c r="Z63" s="31" t="str">
        <f t="shared" si="38"/>
        <v>0.999999682268706+0.0174663907233151i</v>
      </c>
      <c r="AA63" s="17">
        <f t="shared" si="51"/>
        <v>1.0001522080875551</v>
      </c>
      <c r="AB63" s="17">
        <f t="shared" si="52"/>
        <v>1.7464620411046641E-2</v>
      </c>
      <c r="AC63" s="66" t="str">
        <f t="shared" si="53"/>
        <v>2986.84647846377-2575.77882408704i</v>
      </c>
      <c r="AD63" s="64">
        <f t="shared" si="54"/>
        <v>71.91894819820331</v>
      </c>
      <c r="AE63" s="61">
        <f t="shared" si="55"/>
        <v>-40.77363069453115</v>
      </c>
      <c r="AF63" s="31" t="str">
        <f t="shared" si="56"/>
        <v>-10.0808080808081</v>
      </c>
      <c r="AG63" s="31" t="str">
        <f t="shared" si="57"/>
        <v>177.084222237266i</v>
      </c>
      <c r="AH63" s="31">
        <f t="shared" si="58"/>
        <v>177.084222237266</v>
      </c>
      <c r="AI63" s="31">
        <f t="shared" si="59"/>
        <v>1.5707963267948966</v>
      </c>
      <c r="AJ63" s="31" t="str">
        <f t="shared" si="39"/>
        <v>0.999400166349959+0.237777537314199i</v>
      </c>
      <c r="AK63" s="31">
        <f t="shared" si="60"/>
        <v>1.0272968654442254</v>
      </c>
      <c r="AL63" s="31">
        <f t="shared" si="61"/>
        <v>0.23357757391108122</v>
      </c>
      <c r="AM63" s="31" t="str">
        <f t="shared" si="40"/>
        <v>1+175.519081047445i</v>
      </c>
      <c r="AN63" s="31">
        <f t="shared" si="62"/>
        <v>175.521929717456</v>
      </c>
      <c r="AO63" s="31">
        <f t="shared" si="63"/>
        <v>1.5650990021839595</v>
      </c>
      <c r="AP63" s="31" t="str">
        <f t="shared" si="41"/>
        <v>1+0.205701032550808i</v>
      </c>
      <c r="AQ63" s="31">
        <f t="shared" si="64"/>
        <v>1.0209372727021326</v>
      </c>
      <c r="AR63" s="31">
        <f t="shared" si="65"/>
        <v>0.20287126382941384</v>
      </c>
      <c r="AS63" s="58" t="str">
        <f t="shared" si="66"/>
        <v>-9.92343723917776+0.361408847557282i</v>
      </c>
      <c r="AT63" s="49">
        <f t="shared" si="67"/>
        <v>19.938999195844996</v>
      </c>
      <c r="AU63" s="61">
        <f t="shared" si="68"/>
        <v>177.91422537317777</v>
      </c>
      <c r="AV63" s="58" t="str">
        <f t="shared" si="42"/>
        <v>-28708.8743157186+26640.052246443i</v>
      </c>
      <c r="AW63" s="64">
        <f t="shared" si="69"/>
        <v>91.857947394048324</v>
      </c>
      <c r="AX63" s="61">
        <f t="shared" si="70"/>
        <v>137.14059467864661</v>
      </c>
    </row>
    <row r="64" spans="1:50" x14ac:dyDescent="0.4">
      <c r="A64" s="31" t="s">
        <v>179</v>
      </c>
      <c r="B64" s="3">
        <f>RFBB_iso</f>
        <v>21000</v>
      </c>
      <c r="C64" s="2" t="s">
        <v>35</v>
      </c>
      <c r="E64" s="31" t="s">
        <v>182</v>
      </c>
      <c r="N64" s="10">
        <v>46</v>
      </c>
      <c r="O64" s="50">
        <f t="shared" si="43"/>
        <v>28.840315031266066</v>
      </c>
      <c r="P64" s="48" t="str">
        <f t="shared" si="44"/>
        <v>5120.19230769231</v>
      </c>
      <c r="Q64" s="17" t="str">
        <f t="shared" si="35"/>
        <v>1+0.846803800175161i</v>
      </c>
      <c r="R64" s="17">
        <f t="shared" si="45"/>
        <v>1.3103727240717025</v>
      </c>
      <c r="S64" s="17">
        <f t="shared" si="46"/>
        <v>0.70263557644623276</v>
      </c>
      <c r="T64" s="17" t="str">
        <f t="shared" si="36"/>
        <v>1+1.81027834615223E-06i</v>
      </c>
      <c r="U64" s="17">
        <f t="shared" si="47"/>
        <v>1.0000000000016387</v>
      </c>
      <c r="V64" s="17">
        <f t="shared" si="48"/>
        <v>1.8102783461502527E-6</v>
      </c>
      <c r="W64" s="31" t="str">
        <f t="shared" si="37"/>
        <v>1-0.00293558650727389i</v>
      </c>
      <c r="X64" s="17">
        <f t="shared" si="49"/>
        <v>1.0000043088247879</v>
      </c>
      <c r="Y64" s="17">
        <f t="shared" si="50"/>
        <v>-2.9355780746807181E-3</v>
      </c>
      <c r="Z64" s="31" t="str">
        <f t="shared" si="38"/>
        <v>0.999999667294492+0.0178732352276059i</v>
      </c>
      <c r="AA64" s="17">
        <f t="shared" si="51"/>
        <v>1.0001593808621685</v>
      </c>
      <c r="AB64" s="17">
        <f t="shared" si="52"/>
        <v>1.7871338320159628E-2</v>
      </c>
      <c r="AC64" s="66" t="str">
        <f t="shared" si="53"/>
        <v>2928.29337376059-2586.19190097389i</v>
      </c>
      <c r="AD64" s="64">
        <f t="shared" si="54"/>
        <v>71.836481737911186</v>
      </c>
      <c r="AE64" s="61">
        <f t="shared" si="55"/>
        <v>-41.45009783890773</v>
      </c>
      <c r="AF64" s="31" t="str">
        <f t="shared" si="56"/>
        <v>-10.0808080808081</v>
      </c>
      <c r="AG64" s="31" t="str">
        <f t="shared" si="57"/>
        <v>181.209043658882i</v>
      </c>
      <c r="AH64" s="31">
        <f t="shared" si="58"/>
        <v>181.209043658882</v>
      </c>
      <c r="AI64" s="31">
        <f t="shared" si="59"/>
        <v>1.5707963267948966</v>
      </c>
      <c r="AJ64" s="31" t="str">
        <f t="shared" si="39"/>
        <v>0.999371897060961+0.243316087655396i</v>
      </c>
      <c r="AK64" s="31">
        <f t="shared" si="60"/>
        <v>1.0285654607982675</v>
      </c>
      <c r="AL64" s="31">
        <f t="shared" si="61"/>
        <v>0.23882246759899481</v>
      </c>
      <c r="AM64" s="31" t="str">
        <f t="shared" si="40"/>
        <v>1+179.607445647408i</v>
      </c>
      <c r="AN64" s="31">
        <f t="shared" si="62"/>
        <v>179.61022947478975</v>
      </c>
      <c r="AO64" s="31">
        <f t="shared" si="63"/>
        <v>1.5652286864139482</v>
      </c>
      <c r="AP64" s="31" t="str">
        <f t="shared" si="41"/>
        <v>1+0.210492425114157i</v>
      </c>
      <c r="AQ64" s="31">
        <f t="shared" si="64"/>
        <v>1.0219134312799882</v>
      </c>
      <c r="AR64" s="31">
        <f t="shared" si="65"/>
        <v>0.20746377386922701</v>
      </c>
      <c r="AS64" s="58" t="str">
        <f t="shared" si="66"/>
        <v>-9.92047706328385+0.366493443606449i</v>
      </c>
      <c r="AT64" s="49">
        <f t="shared" si="67"/>
        <v>19.936574333368206</v>
      </c>
      <c r="AU64" s="61">
        <f t="shared" si="68"/>
        <v>177.88427690256597</v>
      </c>
      <c r="AV64" s="58" t="str">
        <f t="shared" si="42"/>
        <v>-28102.244873343+26729.4577573014i</v>
      </c>
      <c r="AW64" s="64">
        <f t="shared" si="69"/>
        <v>91.773056071279399</v>
      </c>
      <c r="AX64" s="61">
        <f t="shared" si="70"/>
        <v>136.43417906365823</v>
      </c>
    </row>
    <row r="65" spans="1:50" x14ac:dyDescent="0.4">
      <c r="A65" s="31" t="s">
        <v>168</v>
      </c>
      <c r="B65" s="3">
        <f>Rcomp_iso</f>
        <v>35200</v>
      </c>
      <c r="C65" s="2" t="s">
        <v>35</v>
      </c>
      <c r="E65" s="31" t="s">
        <v>175</v>
      </c>
      <c r="N65" s="10">
        <v>47</v>
      </c>
      <c r="O65" s="50">
        <f t="shared" si="43"/>
        <v>29.512092266663863</v>
      </c>
      <c r="P65" s="48" t="str">
        <f t="shared" si="44"/>
        <v>5120.19230769231</v>
      </c>
      <c r="Q65" s="17" t="str">
        <f t="shared" si="35"/>
        <v>1+0.866528394555953i</v>
      </c>
      <c r="R65" s="17">
        <f t="shared" si="45"/>
        <v>1.3232049949164026</v>
      </c>
      <c r="S65" s="17">
        <f t="shared" si="46"/>
        <v>0.71401173070844637</v>
      </c>
      <c r="T65" s="17" t="str">
        <f t="shared" si="36"/>
        <v>1+1.85244514569517E-06i</v>
      </c>
      <c r="U65" s="17">
        <f t="shared" si="47"/>
        <v>1.0000000000017157</v>
      </c>
      <c r="V65" s="17">
        <f t="shared" si="48"/>
        <v>1.8524451456930511E-6</v>
      </c>
      <c r="W65" s="31" t="str">
        <f t="shared" si="37"/>
        <v>1-0.0030039651011273i</v>
      </c>
      <c r="X65" s="17">
        <f t="shared" si="49"/>
        <v>1.0000045118929859</v>
      </c>
      <c r="Y65" s="17">
        <f t="shared" si="50"/>
        <v>-3.0039560654431248E-3</v>
      </c>
      <c r="Z65" s="31" t="str">
        <f t="shared" si="38"/>
        <v>0.999999651614564+0.0182895563577946i</v>
      </c>
      <c r="AA65" s="17">
        <f t="shared" si="51"/>
        <v>1.0001668916241</v>
      </c>
      <c r="AB65" s="17">
        <f t="shared" si="52"/>
        <v>1.8287523803163019E-2</v>
      </c>
      <c r="AC65" s="66" t="str">
        <f t="shared" si="53"/>
        <v>2869.29443052719-2595.30615237499i</v>
      </c>
      <c r="AD65" s="64">
        <f t="shared" si="54"/>
        <v>71.751772532425221</v>
      </c>
      <c r="AE65" s="61">
        <f t="shared" si="55"/>
        <v>-42.129664491195783</v>
      </c>
      <c r="AF65" s="31" t="str">
        <f t="shared" si="56"/>
        <v>-10.0808080808081</v>
      </c>
      <c r="AG65" s="31" t="str">
        <f t="shared" si="57"/>
        <v>185.429944514031i</v>
      </c>
      <c r="AH65" s="31">
        <f t="shared" si="58"/>
        <v>185.42994451403101</v>
      </c>
      <c r="AI65" s="31">
        <f t="shared" si="59"/>
        <v>1.5707963267948966</v>
      </c>
      <c r="AJ65" s="31" t="str">
        <f t="shared" si="39"/>
        <v>0.999342295481417+0.248983647406936i</v>
      </c>
      <c r="AK65" s="31">
        <f t="shared" si="60"/>
        <v>1.029892169216821</v>
      </c>
      <c r="AL65" s="31">
        <f t="shared" si="61"/>
        <v>0.24417616148390067</v>
      </c>
      <c r="AM65" s="31" t="str">
        <f t="shared" si="40"/>
        <v>1+183.791040492439i</v>
      </c>
      <c r="AN65" s="31">
        <f t="shared" si="62"/>
        <v>183.79376095312199</v>
      </c>
      <c r="AO65" s="31">
        <f t="shared" si="63"/>
        <v>1.5653554188514256</v>
      </c>
      <c r="AP65" s="31" t="str">
        <f t="shared" si="41"/>
        <v>1+0.215395423547499i</v>
      </c>
      <c r="AQ65" s="31">
        <f t="shared" si="64"/>
        <v>1.0229345963868886</v>
      </c>
      <c r="AR65" s="31">
        <f t="shared" si="65"/>
        <v>0.2121540819767877</v>
      </c>
      <c r="AS65" s="58" t="str">
        <f t="shared" si="66"/>
        <v>-9.91739296515525+0.371709079321918i</v>
      </c>
      <c r="AT65" s="49">
        <f t="shared" si="67"/>
        <v>19.934047082379411</v>
      </c>
      <c r="AU65" s="61">
        <f t="shared" si="68"/>
        <v>177.85352893113003</v>
      </c>
      <c r="AV65" s="58" t="str">
        <f t="shared" si="42"/>
        <v>-27491.2215398117+26805.2137690626i</v>
      </c>
      <c r="AW65" s="64">
        <f t="shared" si="69"/>
        <v>91.685819614804629</v>
      </c>
      <c r="AX65" s="61">
        <f t="shared" si="70"/>
        <v>135.72386443993429</v>
      </c>
    </row>
    <row r="66" spans="1:50" x14ac:dyDescent="0.4">
      <c r="A66" s="31" t="s">
        <v>173</v>
      </c>
      <c r="B66" s="3">
        <f>Ccomp_iso</f>
        <v>3.3000000000000004E-8</v>
      </c>
      <c r="C66" s="2" t="s">
        <v>151</v>
      </c>
      <c r="E66" s="31" t="s">
        <v>176</v>
      </c>
      <c r="N66" s="10">
        <v>48</v>
      </c>
      <c r="O66" s="50">
        <f t="shared" si="43"/>
        <v>30.199517204020164</v>
      </c>
      <c r="P66" s="48" t="str">
        <f t="shared" si="44"/>
        <v>5120.19230769231</v>
      </c>
      <c r="Q66" s="17" t="str">
        <f t="shared" si="35"/>
        <v>1+0.886712433761399i</v>
      </c>
      <c r="R66" s="17">
        <f t="shared" si="45"/>
        <v>1.3365099850682236</v>
      </c>
      <c r="S66" s="17">
        <f t="shared" si="46"/>
        <v>0.72542521304048868</v>
      </c>
      <c r="T66" s="17" t="str">
        <f t="shared" si="36"/>
        <v>1+1.89559413617437E-06i</v>
      </c>
      <c r="U66" s="17">
        <f t="shared" si="47"/>
        <v>1.0000000000017968</v>
      </c>
      <c r="V66" s="17">
        <f t="shared" si="48"/>
        <v>1.8955941361720995E-6</v>
      </c>
      <c r="W66" s="31" t="str">
        <f t="shared" si="37"/>
        <v>1-0.00307393643703952i</v>
      </c>
      <c r="X66" s="17">
        <f t="shared" si="49"/>
        <v>1.000004724531449</v>
      </c>
      <c r="Y66" s="17">
        <f t="shared" si="50"/>
        <v>-3.0739267551319603E-3</v>
      </c>
      <c r="Z66" s="31" t="str">
        <f t="shared" si="38"/>
        <v>0.999999635195664+0.0187155748528551i</v>
      </c>
      <c r="AA66" s="17">
        <f t="shared" si="51"/>
        <v>1.0001747562968852</v>
      </c>
      <c r="AB66" s="17">
        <f t="shared" si="52"/>
        <v>1.8713396951880356E-2</v>
      </c>
      <c r="AC66" s="66" t="str">
        <f t="shared" si="53"/>
        <v>2809.90776589308-2603.09795056855i</v>
      </c>
      <c r="AD66" s="64">
        <f t="shared" si="54"/>
        <v>71.664804557237261</v>
      </c>
      <c r="AE66" s="61">
        <f t="shared" si="55"/>
        <v>-42.812016145352061</v>
      </c>
      <c r="AF66" s="31" t="str">
        <f t="shared" si="56"/>
        <v>-10.0808080808081</v>
      </c>
      <c r="AG66" s="31" t="str">
        <f t="shared" si="57"/>
        <v>189.749162780217i</v>
      </c>
      <c r="AH66" s="31">
        <f t="shared" si="58"/>
        <v>189.74916278021701</v>
      </c>
      <c r="AI66" s="31">
        <f t="shared" si="59"/>
        <v>1.5707963267948966</v>
      </c>
      <c r="AJ66" s="31" t="str">
        <f t="shared" si="39"/>
        <v>0.99931129882241+0.25478322158402i</v>
      </c>
      <c r="AK66" s="31">
        <f t="shared" si="60"/>
        <v>1.0312795750691777</v>
      </c>
      <c r="AL66" s="31">
        <f t="shared" si="61"/>
        <v>0.24964030740334883</v>
      </c>
      <c r="AM66" s="31" t="str">
        <f t="shared" si="40"/>
        <v>1+188.072083779901i</v>
      </c>
      <c r="AN66" s="31">
        <f t="shared" si="62"/>
        <v>188.0747423162241</v>
      </c>
      <c r="AO66" s="31">
        <f t="shared" si="63"/>
        <v>1.5654792666753146</v>
      </c>
      <c r="AP66" s="31" t="str">
        <f t="shared" si="41"/>
        <v>1+0.2204126274855i</v>
      </c>
      <c r="AQ66" s="31">
        <f t="shared" si="64"/>
        <v>1.0240027960679903</v>
      </c>
      <c r="AR66" s="31">
        <f t="shared" si="65"/>
        <v>0.21694384917584514</v>
      </c>
      <c r="AS66" s="58" t="str">
        <f t="shared" si="66"/>
        <v>-9.91418047654868+0.377054516998591i</v>
      </c>
      <c r="AT66" s="49">
        <f t="shared" si="67"/>
        <v>19.931413596744534</v>
      </c>
      <c r="AU66" s="61">
        <f t="shared" si="68"/>
        <v>177.8219858342689</v>
      </c>
      <c r="AV66" s="58" t="str">
        <f t="shared" si="42"/>
        <v>-26876.422873068+26867.07129555i</v>
      </c>
      <c r="AW66" s="64">
        <f t="shared" si="69"/>
        <v>91.596218153981766</v>
      </c>
      <c r="AX66" s="61">
        <f t="shared" si="70"/>
        <v>135.00996968891681</v>
      </c>
    </row>
    <row r="67" spans="1:50" x14ac:dyDescent="0.4">
      <c r="A67" s="31" t="s">
        <v>174</v>
      </c>
      <c r="B67" s="3">
        <f>CHF</f>
        <v>6.7999999999999998E-11</v>
      </c>
      <c r="C67" s="2" t="s">
        <v>151</v>
      </c>
      <c r="E67" s="31" t="s">
        <v>177</v>
      </c>
      <c r="N67" s="10">
        <v>49</v>
      </c>
      <c r="O67" s="50">
        <f t="shared" si="43"/>
        <v>30.902954325135919</v>
      </c>
      <c r="P67" s="48" t="str">
        <f t="shared" si="44"/>
        <v>5120.19230769231</v>
      </c>
      <c r="Q67" s="17" t="str">
        <f t="shared" si="35"/>
        <v>1+0.907366619636251i</v>
      </c>
      <c r="R67" s="17">
        <f t="shared" si="45"/>
        <v>1.3503015153772573</v>
      </c>
      <c r="S67" s="17">
        <f t="shared" si="46"/>
        <v>0.73687018148339412</v>
      </c>
      <c r="T67" s="17" t="str">
        <f t="shared" si="36"/>
        <v>1+1.93974819575572E-06i</v>
      </c>
      <c r="U67" s="17">
        <f t="shared" si="47"/>
        <v>1.0000000000018812</v>
      </c>
      <c r="V67" s="17">
        <f t="shared" si="48"/>
        <v>1.9397481957532874E-6</v>
      </c>
      <c r="W67" s="31" t="str">
        <f t="shared" si="37"/>
        <v>1-0.003145537614739i</v>
      </c>
      <c r="X67" s="17">
        <f t="shared" si="49"/>
        <v>1.0000049471912056</v>
      </c>
      <c r="Y67" s="17">
        <f t="shared" si="50"/>
        <v>-3.1455272403909107E-3</v>
      </c>
      <c r="Z67" s="31" t="str">
        <f t="shared" si="38"/>
        <v>0.999999618002966+0.0191515165934326i</v>
      </c>
      <c r="AA67" s="17">
        <f t="shared" si="51"/>
        <v>1.0001829915539988</v>
      </c>
      <c r="AB67" s="17">
        <f t="shared" si="52"/>
        <v>1.914918295355238E-2</v>
      </c>
      <c r="AC67" s="66" t="str">
        <f t="shared" si="53"/>
        <v>2750.19309038976-2609.54690834598i</v>
      </c>
      <c r="AD67" s="64">
        <f t="shared" si="54"/>
        <v>71.575564026956926</v>
      </c>
      <c r="AE67" s="61">
        <f t="shared" si="55"/>
        <v>-43.496833108232842</v>
      </c>
      <c r="AF67" s="31" t="str">
        <f t="shared" si="56"/>
        <v>-10.0808080808081</v>
      </c>
      <c r="AG67" s="31" t="str">
        <f t="shared" si="57"/>
        <v>194.168988564136i</v>
      </c>
      <c r="AH67" s="31">
        <f t="shared" si="58"/>
        <v>194.16898856413599</v>
      </c>
      <c r="AI67" s="31">
        <f t="shared" si="59"/>
        <v>1.5707963267948966</v>
      </c>
      <c r="AJ67" s="31" t="str">
        <f t="shared" si="39"/>
        <v>0.999278841335869+0.260717885197642i</v>
      </c>
      <c r="AK67" s="31">
        <f t="shared" si="60"/>
        <v>1.0327303706212421</v>
      </c>
      <c r="AL67" s="31">
        <f t="shared" si="61"/>
        <v>0.25521654090066603</v>
      </c>
      <c r="AM67" s="31" t="str">
        <f t="shared" si="40"/>
        <v>1+192.452845375611i</v>
      </c>
      <c r="AN67" s="31">
        <f t="shared" si="62"/>
        <v>192.45544339708565</v>
      </c>
      <c r="AO67" s="31">
        <f t="shared" si="63"/>
        <v>1.565600295536165</v>
      </c>
      <c r="AP67" s="31" t="str">
        <f t="shared" si="41"/>
        <v>1+0.2255466971161i</v>
      </c>
      <c r="AQ67" s="31">
        <f t="shared" si="64"/>
        <v>1.0251201454366126</v>
      </c>
      <c r="AR67" s="31">
        <f t="shared" si="65"/>
        <v>0.22183473557052805</v>
      </c>
      <c r="AS67" s="58" t="str">
        <f t="shared" si="66"/>
        <v>-9.91083503308072+0.382528359072675i</v>
      </c>
      <c r="AT67" s="49">
        <f t="shared" si="67"/>
        <v>19.928669935553629</v>
      </c>
      <c r="AU67" s="61">
        <f t="shared" si="68"/>
        <v>177.78965278071234</v>
      </c>
      <c r="AV67" s="58" t="str">
        <f t="shared" si="42"/>
        <v>-26258.4843311986+26914.8157697026i</v>
      </c>
      <c r="AW67" s="64">
        <f t="shared" si="69"/>
        <v>91.504233962510554</v>
      </c>
      <c r="AX67" s="61">
        <f t="shared" si="70"/>
        <v>134.29281967247954</v>
      </c>
    </row>
    <row r="68" spans="1:50" x14ac:dyDescent="0.4">
      <c r="N68" s="10">
        <v>50</v>
      </c>
      <c r="O68" s="50">
        <f t="shared" si="43"/>
        <v>31.622776601683803</v>
      </c>
      <c r="P68" s="48" t="str">
        <f t="shared" si="44"/>
        <v>5120.19230769231</v>
      </c>
      <c r="Q68" s="17" t="str">
        <f t="shared" si="35"/>
        <v>1+0.928501903303251i</v>
      </c>
      <c r="R68" s="17">
        <f t="shared" si="45"/>
        <v>1.3645936334446822</v>
      </c>
      <c r="S68" s="17">
        <f t="shared" si="46"/>
        <v>0.74834071211260378</v>
      </c>
      <c r="T68" s="17" t="str">
        <f t="shared" si="36"/>
        <v>1+1.98493073550606E-06i</v>
      </c>
      <c r="U68" s="17">
        <f t="shared" si="47"/>
        <v>1.00000000000197</v>
      </c>
      <c r="V68" s="17">
        <f t="shared" si="48"/>
        <v>1.9849307355034531E-6</v>
      </c>
      <c r="W68" s="31" t="str">
        <f t="shared" si="37"/>
        <v>1-0.00321880659811794i</v>
      </c>
      <c r="X68" s="17">
        <f t="shared" si="49"/>
        <v>1.00000518034454</v>
      </c>
      <c r="Y68" s="17">
        <f t="shared" si="50"/>
        <v>-3.2187954818067932E-3</v>
      </c>
      <c r="Z68" s="31" t="str">
        <f t="shared" si="38"/>
        <v>0.9999996+0.0195976127216081i</v>
      </c>
      <c r="AA68" s="17">
        <f t="shared" si="51"/>
        <v>1.000191614854147</v>
      </c>
      <c r="AB68" s="17">
        <f t="shared" si="52"/>
        <v>1.9595112207297122E-2</v>
      </c>
      <c r="AC68" s="66" t="str">
        <f t="shared" si="53"/>
        <v>2690.21147501492-2614.63600651436i</v>
      </c>
      <c r="AD68" s="64">
        <f t="shared" si="54"/>
        <v>71.4840394513257</v>
      </c>
      <c r="AE68" s="61">
        <f t="shared" si="55"/>
        <v>-44.183791338499631</v>
      </c>
      <c r="AF68" s="31" t="str">
        <f t="shared" si="56"/>
        <v>-10.0808080808081</v>
      </c>
      <c r="AG68" s="31" t="str">
        <f t="shared" si="57"/>
        <v>198.691765315922i</v>
      </c>
      <c r="AH68" s="31">
        <f t="shared" si="58"/>
        <v>198.691765315922</v>
      </c>
      <c r="AI68" s="31">
        <f t="shared" si="59"/>
        <v>1.5707963267948966</v>
      </c>
      <c r="AJ68" s="31" t="str">
        <f t="shared" si="39"/>
        <v>0.999244854175114+0.266790784885005i</v>
      </c>
      <c r="AK68" s="31">
        <f t="shared" si="60"/>
        <v>1.0342473599168633</v>
      </c>
      <c r="AL68" s="31">
        <f t="shared" si="61"/>
        <v>0.26090647784031534</v>
      </c>
      <c r="AM68" s="31" t="str">
        <f t="shared" si="40"/>
        <v>1+196.935648017354i</v>
      </c>
      <c r="AN68" s="31">
        <f t="shared" si="62"/>
        <v>196.93818690141114</v>
      </c>
      <c r="AO68" s="31">
        <f t="shared" si="63"/>
        <v>1.56571856959089</v>
      </c>
      <c r="AP68" s="31" t="str">
        <f t="shared" si="41"/>
        <v>1+0.230800354590975i</v>
      </c>
      <c r="AQ68" s="31">
        <f t="shared" si="64"/>
        <v>1.0262888500219223</v>
      </c>
      <c r="AR68" s="31">
        <f t="shared" si="65"/>
        <v>0.2268283979977323</v>
      </c>
      <c r="AS68" s="58" t="str">
        <f t="shared" si="66"/>
        <v>-9.90735197837721+0.388129037076673i</v>
      </c>
      <c r="AT68" s="49">
        <f t="shared" si="67"/>
        <v>19.925812065268428</v>
      </c>
      <c r="AU68" s="61">
        <f t="shared" si="68"/>
        <v>177.75653579392835</v>
      </c>
      <c r="AV68" s="58" t="str">
        <f t="shared" si="42"/>
        <v>-25638.0558237277+26948.2684012065i</v>
      </c>
      <c r="AW68" s="64">
        <f t="shared" si="69"/>
        <v>91.409851516594102</v>
      </c>
      <c r="AX68" s="61">
        <f t="shared" si="70"/>
        <v>133.5727444554287</v>
      </c>
    </row>
    <row r="69" spans="1:50" x14ac:dyDescent="0.4">
      <c r="A69" s="31" t="s">
        <v>218</v>
      </c>
      <c r="B69" s="1">
        <f>-kopto_max*Rpullup/(Ccomp_iso*RLED*RFBT_iso)</f>
        <v>-10.08080808080808</v>
      </c>
      <c r="C69" s="31" t="s">
        <v>144</v>
      </c>
      <c r="N69" s="10">
        <v>51</v>
      </c>
      <c r="O69" s="50">
        <f t="shared" si="43"/>
        <v>32.359365692962832</v>
      </c>
      <c r="P69" s="48" t="str">
        <f t="shared" si="44"/>
        <v>5120.19230769231</v>
      </c>
      <c r="Q69" s="17" t="str">
        <f t="shared" si="35"/>
        <v>1+0.950129490969559i</v>
      </c>
      <c r="R69" s="17">
        <f t="shared" si="45"/>
        <v>1.3794006124437068</v>
      </c>
      <c r="S69" s="17">
        <f t="shared" si="46"/>
        <v>0.75983081405945641</v>
      </c>
      <c r="T69" s="17" t="str">
        <f t="shared" si="36"/>
        <v>1+2.03116571180604E-06i</v>
      </c>
      <c r="U69" s="17">
        <f t="shared" si="47"/>
        <v>1.0000000000020628</v>
      </c>
      <c r="V69" s="17">
        <f t="shared" si="48"/>
        <v>2.0311657118032468E-6</v>
      </c>
      <c r="W69" s="31" t="str">
        <f t="shared" si="37"/>
        <v>1-0.00329378223536113i</v>
      </c>
      <c r="X69" s="17">
        <f t="shared" si="49"/>
        <v>1.0000054244859944</v>
      </c>
      <c r="Y69" s="17">
        <f t="shared" si="50"/>
        <v>-3.2937703240226227E-3</v>
      </c>
      <c r="Z69" s="31" t="str">
        <f t="shared" si="38"/>
        <v>0.999999581148581+0.0200540997634537i</v>
      </c>
      <c r="AA69" s="17">
        <f t="shared" si="51"/>
        <v>1.0002006444782268</v>
      </c>
      <c r="AB69" s="17">
        <f t="shared" si="52"/>
        <v>2.0051420443124749E-2</v>
      </c>
      <c r="AC69" s="66" t="str">
        <f t="shared" si="53"/>
        <v>2630.02510642072-2618.35170134178i</v>
      </c>
      <c r="AD69" s="64">
        <f t="shared" si="54"/>
        <v>71.39022168210785</v>
      </c>
      <c r="AE69" s="61">
        <f t="shared" si="55"/>
        <v>-44.872563315258951</v>
      </c>
      <c r="AF69" s="31" t="str">
        <f t="shared" si="56"/>
        <v>-10.0808080808081</v>
      </c>
      <c r="AG69" s="31" t="str">
        <f t="shared" si="57"/>
        <v>203.319891071675i</v>
      </c>
      <c r="AH69" s="31">
        <f t="shared" si="58"/>
        <v>203.31989107167499</v>
      </c>
      <c r="AI69" s="31">
        <f t="shared" si="59"/>
        <v>1.5707963267948966</v>
      </c>
      <c r="AJ69" s="31" t="str">
        <f t="shared" si="39"/>
        <v>0.999209265248821+0.273005140577908i</v>
      </c>
      <c r="AK69" s="31">
        <f t="shared" si="60"/>
        <v>1.035833462744399</v>
      </c>
      <c r="AL69" s="31">
        <f t="shared" si="61"/>
        <v>0.26671171082403189</v>
      </c>
      <c r="AM69" s="31" t="str">
        <f t="shared" si="40"/>
        <v>1+201.522868546428i</v>
      </c>
      <c r="AN69" s="31">
        <f t="shared" si="62"/>
        <v>201.52534963914812</v>
      </c>
      <c r="AO69" s="31">
        <f t="shared" si="63"/>
        <v>1.5658341515367156</v>
      </c>
      <c r="AP69" s="31" t="str">
        <f t="shared" si="41"/>
        <v>1+0.236176385468858i</v>
      </c>
      <c r="AQ69" s="31">
        <f t="shared" si="64"/>
        <v>1.0275112092104566</v>
      </c>
      <c r="AR69" s="31">
        <f t="shared" si="65"/>
        <v>0.23192648751309006</v>
      </c>
      <c r="AS69" s="58" t="str">
        <f t="shared" si="66"/>
        <v>-9.90372656895966+0.393854800354179i</v>
      </c>
      <c r="AT69" s="49">
        <f t="shared" si="67"/>
        <v>19.922835862417102</v>
      </c>
      <c r="AU69" s="61">
        <f t="shared" si="68"/>
        <v>177.72264181536494</v>
      </c>
      <c r="AV69" s="58" t="str">
        <f t="shared" si="42"/>
        <v>-25015.7991369009+26967.2873246751i</v>
      </c>
      <c r="AW69" s="64">
        <f t="shared" si="69"/>
        <v>91.313057544524952</v>
      </c>
      <c r="AX69" s="61">
        <f t="shared" si="70"/>
        <v>132.85007850010606</v>
      </c>
    </row>
    <row r="70" spans="1:50" x14ac:dyDescent="0.4">
      <c r="A70" s="31" t="s">
        <v>581</v>
      </c>
      <c r="B70" s="1">
        <f>1/(Ccomp_iso*(Rcomp_iso+RFBT_iso))</f>
        <v>1.0089172139033633</v>
      </c>
      <c r="E70" s="31" t="s">
        <v>230</v>
      </c>
      <c r="N70" s="10">
        <v>52</v>
      </c>
      <c r="O70" s="50">
        <f t="shared" si="43"/>
        <v>33.113112148259127</v>
      </c>
      <c r="P70" s="48" t="str">
        <f t="shared" si="44"/>
        <v>5120.19230769231</v>
      </c>
      <c r="Q70" s="17" t="str">
        <f t="shared" si="35"/>
        <v>1+0.972260849868433i</v>
      </c>
      <c r="R70" s="17">
        <f t="shared" si="45"/>
        <v>1.3947369501762286</v>
      </c>
      <c r="S70" s="17">
        <f t="shared" si="46"/>
        <v>0.77133444495777226</v>
      </c>
      <c r="T70" s="17" t="str">
        <f t="shared" si="36"/>
        <v>1+2.07847763905207E-06i</v>
      </c>
      <c r="U70" s="17">
        <f t="shared" si="47"/>
        <v>1.00000000000216</v>
      </c>
      <c r="V70" s="17">
        <f t="shared" si="48"/>
        <v>2.0784776390490771E-6</v>
      </c>
      <c r="W70" s="31" t="str">
        <f t="shared" si="37"/>
        <v>1-0.0033705042795439i</v>
      </c>
      <c r="X70" s="17">
        <f t="shared" si="49"/>
        <v>1.0000056801334172</v>
      </c>
      <c r="Y70" s="17">
        <f t="shared" si="50"/>
        <v>-3.3704915163186538E-3</v>
      </c>
      <c r="Z70" s="31" t="str">
        <f t="shared" si="38"/>
        <v>0.999999561408722+0.0205212197544414i</v>
      </c>
      <c r="AA70" s="17">
        <f t="shared" si="51"/>
        <v>1.0002100995680092</v>
      </c>
      <c r="AB70" s="17">
        <f t="shared" si="52"/>
        <v>2.0518348843553427E-2</v>
      </c>
      <c r="AC70" s="66" t="str">
        <f t="shared" si="53"/>
        <v>2569.69703226343-2620.68401069062i</v>
      </c>
      <c r="AD70" s="64">
        <f t="shared" si="54"/>
        <v>71.294103950444139</v>
      </c>
      <c r="AE70" s="61">
        <f t="shared" si="55"/>
        <v>-45.562818931232208</v>
      </c>
      <c r="AF70" s="31" t="str">
        <f t="shared" si="56"/>
        <v>-10.0808080808081</v>
      </c>
      <c r="AG70" s="31" t="str">
        <f t="shared" si="57"/>
        <v>208.055819724932i</v>
      </c>
      <c r="AH70" s="31">
        <f t="shared" si="58"/>
        <v>208.05581972493201</v>
      </c>
      <c r="AI70" s="31">
        <f t="shared" si="59"/>
        <v>1.5707963267948966</v>
      </c>
      <c r="AJ70" s="31" t="str">
        <f t="shared" si="39"/>
        <v>0.999171999068104+0.279364247209996i</v>
      </c>
      <c r="AK70" s="31">
        <f t="shared" si="60"/>
        <v>1.0374917186854837</v>
      </c>
      <c r="AL70" s="31">
        <f t="shared" si="61"/>
        <v>0.27263380540346632</v>
      </c>
      <c r="AM70" s="31" t="str">
        <f t="shared" si="40"/>
        <v>1+206.216939167876i</v>
      </c>
      <c r="AN70" s="31">
        <f t="shared" si="62"/>
        <v>206.21936378470249</v>
      </c>
      <c r="AO70" s="31">
        <f t="shared" si="63"/>
        <v>1.5659471026443592</v>
      </c>
      <c r="AP70" s="31" t="str">
        <f t="shared" si="41"/>
        <v>1+0.241677640192481i</v>
      </c>
      <c r="AQ70" s="31">
        <f t="shared" si="64"/>
        <v>1.0287896197809376</v>
      </c>
      <c r="AR70" s="31">
        <f t="shared" si="65"/>
        <v>0.23713064670417797</v>
      </c>
      <c r="AS70" s="58" t="str">
        <f t="shared" si="66"/>
        <v>-9.89995397992105+0.399703704567187i</v>
      </c>
      <c r="AT70" s="49">
        <f t="shared" si="67"/>
        <v>19.919737116880764</v>
      </c>
      <c r="AU70" s="61">
        <f t="shared" si="68"/>
        <v>177.68797876940886</v>
      </c>
      <c r="AV70" s="58" t="str">
        <f t="shared" si="42"/>
        <v>-24392.3852541746+26971.7685251631i</v>
      </c>
      <c r="AW70" s="64">
        <f t="shared" si="69"/>
        <v>91.213841067324907</v>
      </c>
      <c r="AX70" s="61">
        <f t="shared" si="70"/>
        <v>132.12515983817659</v>
      </c>
    </row>
    <row r="71" spans="1:50" x14ac:dyDescent="0.4">
      <c r="A71" s="31" t="s">
        <v>580</v>
      </c>
      <c r="B71" s="1">
        <f>1/(Rcomp_iso*Ccomp_iso)</f>
        <v>860.88154269972449</v>
      </c>
      <c r="E71" s="31" t="s">
        <v>582</v>
      </c>
      <c r="N71" s="10">
        <v>53</v>
      </c>
      <c r="O71" s="50">
        <f t="shared" si="43"/>
        <v>33.884415613920268</v>
      </c>
      <c r="P71" s="48" t="str">
        <f t="shared" si="44"/>
        <v>5120.19230769231</v>
      </c>
      <c r="Q71" s="17" t="str">
        <f t="shared" si="35"/>
        <v>1+0.994907714339294i</v>
      </c>
      <c r="R71" s="17">
        <f t="shared" si="45"/>
        <v>1.4106173684071235</v>
      </c>
      <c r="S71" s="17">
        <f t="shared" si="46"/>
        <v>0.78284552671970542</v>
      </c>
      <c r="T71" s="17" t="str">
        <f t="shared" si="36"/>
        <v>1+2.12689160265422E-06i</v>
      </c>
      <c r="U71" s="17">
        <f t="shared" si="47"/>
        <v>1.0000000000022617</v>
      </c>
      <c r="V71" s="17">
        <f t="shared" si="48"/>
        <v>2.1268916026510127E-6</v>
      </c>
      <c r="W71" s="31" t="str">
        <f t="shared" si="37"/>
        <v>1-0.00344901340970955i</v>
      </c>
      <c r="X71" s="17">
        <f t="shared" si="49"/>
        <v>1.0000059478290619</v>
      </c>
      <c r="Y71" s="17">
        <f t="shared" si="50"/>
        <v>-3.4489997336716945E-3</v>
      </c>
      <c r="Z71" s="31" t="str">
        <f t="shared" si="38"/>
        <v>0.999999540738551+0.0209992203677732i</v>
      </c>
      <c r="AA71" s="17">
        <f t="shared" si="51"/>
        <v>1.000220000166647</v>
      </c>
      <c r="AB71" s="17">
        <f t="shared" si="52"/>
        <v>2.0996144167875617E-2</v>
      </c>
      <c r="AC71" s="66" t="str">
        <f t="shared" si="53"/>
        <v>2509.29089889935-2621.6265778224i</v>
      </c>
      <c r="AD71" s="64">
        <f t="shared" si="54"/>
        <v>71.195681894333546</v>
      </c>
      <c r="AE71" s="61">
        <f t="shared" si="55"/>
        <v>-46.254226404971341</v>
      </c>
      <c r="AF71" s="31" t="str">
        <f t="shared" si="56"/>
        <v>-10.0808080808081</v>
      </c>
      <c r="AG71" s="31" t="str">
        <f t="shared" si="57"/>
        <v>212.90206232775i</v>
      </c>
      <c r="AH71" s="31">
        <f t="shared" si="58"/>
        <v>212.90206232775</v>
      </c>
      <c r="AI71" s="31">
        <f t="shared" si="59"/>
        <v>1.5707963267948966</v>
      </c>
      <c r="AJ71" s="31" t="str">
        <f t="shared" si="39"/>
        <v>0.999132976586399+0.285871476463777i</v>
      </c>
      <c r="AK71" s="31">
        <f t="shared" si="60"/>
        <v>1.0392252912424609</v>
      </c>
      <c r="AL71" s="31">
        <f t="shared" si="61"/>
        <v>0.2786742960857036</v>
      </c>
      <c r="AM71" s="31" t="str">
        <f t="shared" si="40"/>
        <v>1+211.020348740073i</v>
      </c>
      <c r="AN71" s="31">
        <f t="shared" si="62"/>
        <v>211.02271816650935</v>
      </c>
      <c r="AO71" s="31">
        <f t="shared" si="63"/>
        <v>1.5660574827904588</v>
      </c>
      <c r="AP71" s="31" t="str">
        <f t="shared" si="41"/>
        <v>1+0.247307035599915i</v>
      </c>
      <c r="AQ71" s="31">
        <f t="shared" si="64"/>
        <v>1.0301265795314756</v>
      </c>
      <c r="AR71" s="31">
        <f t="shared" si="65"/>
        <v>0.24244250682479754</v>
      </c>
      <c r="AS71" s="58" t="str">
        <f t="shared" si="66"/>
        <v>-9.89602931144391+0.405673600034293i</v>
      </c>
      <c r="AT71" s="49">
        <f t="shared" si="67"/>
        <v>19.916511535817307</v>
      </c>
      <c r="AU71" s="61">
        <f t="shared" si="68"/>
        <v>177.65255562991749</v>
      </c>
      <c r="AV71" s="58" t="str">
        <f t="shared" si="42"/>
        <v>-23768.4915946766+26961.6465302806i</v>
      </c>
      <c r="AW71" s="64">
        <f t="shared" si="69"/>
        <v>91.112193430150853</v>
      </c>
      <c r="AX71" s="61">
        <f t="shared" si="70"/>
        <v>131.3983292249462</v>
      </c>
    </row>
    <row r="72" spans="1:50" x14ac:dyDescent="0.4">
      <c r="A72" s="31" t="s">
        <v>583</v>
      </c>
      <c r="B72" s="1">
        <f>Ccomp_iso*Copto*Rcomp_iso*Rpullup</f>
        <v>1.9128067200000003E-8</v>
      </c>
      <c r="E72" s="31" t="s">
        <v>586</v>
      </c>
      <c r="I72" s="31">
        <f>Copto</f>
        <v>3.2999999999999998E-9</v>
      </c>
      <c r="N72" s="10">
        <v>54</v>
      </c>
      <c r="O72" s="50">
        <f t="shared" si="43"/>
        <v>34.67368504525318</v>
      </c>
      <c r="P72" s="48" t="str">
        <f t="shared" si="44"/>
        <v>5120.19230769231</v>
      </c>
      <c r="Q72" s="17" t="str">
        <f t="shared" si="35"/>
        <v>1+1.01808209204946i</v>
      </c>
      <c r="R72" s="17">
        <f t="shared" si="45"/>
        <v>1.4270568125172189</v>
      </c>
      <c r="S72" s="17">
        <f t="shared" si="46"/>
        <v>0.79435796154118132</v>
      </c>
      <c r="T72" s="17" t="str">
        <f t="shared" si="36"/>
        <v>1+2.17643327233685E-06i</v>
      </c>
      <c r="U72" s="17">
        <f t="shared" si="47"/>
        <v>1.0000000000023683</v>
      </c>
      <c r="V72" s="17">
        <f t="shared" si="48"/>
        <v>2.1764332723334138E-6</v>
      </c>
      <c r="W72" s="31" t="str">
        <f t="shared" si="37"/>
        <v>1-0.00352935125243813i</v>
      </c>
      <c r="X72" s="17">
        <f t="shared" si="49"/>
        <v>1.0000062281407367</v>
      </c>
      <c r="Y72" s="17">
        <f t="shared" si="50"/>
        <v>-3.5293365983044781E-3</v>
      </c>
      <c r="Z72" s="31" t="str">
        <f t="shared" si="38"/>
        <v>0.999999519094226+0.0214883550457016i</v>
      </c>
      <c r="AA72" s="17">
        <f t="shared" si="51"/>
        <v>1.0002303672610893</v>
      </c>
      <c r="AB72" s="17">
        <f t="shared" si="52"/>
        <v>2.1485058879124715E-2</v>
      </c>
      <c r="AC72" s="66" t="str">
        <f t="shared" si="53"/>
        <v>2448.87068372806-2621.17671211515i</v>
      </c>
      <c r="AD72" s="64">
        <f t="shared" si="54"/>
        <v>71.09495357599387</v>
      </c>
      <c r="AE72" s="61">
        <f t="shared" si="55"/>
        <v>-46.94645320641208</v>
      </c>
      <c r="AF72" s="31" t="str">
        <f t="shared" si="56"/>
        <v>-10.0808080808081</v>
      </c>
      <c r="AG72" s="31" t="str">
        <f t="shared" si="57"/>
        <v>217.861188422107i</v>
      </c>
      <c r="AH72" s="31">
        <f t="shared" si="58"/>
        <v>217.86118842210701</v>
      </c>
      <c r="AI72" s="31">
        <f t="shared" si="59"/>
        <v>1.5707963267948966</v>
      </c>
      <c r="AJ72" s="31" t="str">
        <f t="shared" si="39"/>
        <v>0.99909211503179+0.292530278558335i</v>
      </c>
      <c r="AK72" s="31">
        <f t="shared" si="60"/>
        <v>1.0410374720403262</v>
      </c>
      <c r="AL72" s="31">
        <f t="shared" si="61"/>
        <v>0.28483468212879243</v>
      </c>
      <c r="AM72" s="31" t="str">
        <f t="shared" si="40"/>
        <v>1+215.935644094358i</v>
      </c>
      <c r="AN72" s="31">
        <f t="shared" si="62"/>
        <v>215.93795958664896</v>
      </c>
      <c r="AO72" s="31">
        <f t="shared" si="63"/>
        <v>1.5661653504892634</v>
      </c>
      <c r="AP72" s="31" t="str">
        <f t="shared" si="41"/>
        <v>1+0.25306755647112i</v>
      </c>
      <c r="AQ72" s="31">
        <f t="shared" si="64"/>
        <v>1.0315246909978759</v>
      </c>
      <c r="AR72" s="31">
        <f t="shared" si="65"/>
        <v>0.2478636847444175</v>
      </c>
      <c r="AS72" s="58" t="str">
        <f t="shared" si="66"/>
        <v>-9.89194759621517+0.411762119944566i</v>
      </c>
      <c r="AT72" s="49">
        <f t="shared" si="67"/>
        <v>19.913154748270525</v>
      </c>
      <c r="AU72" s="61">
        <f t="shared" si="68"/>
        <v>177.61638248814825</v>
      </c>
      <c r="AV72" s="58" t="str">
        <f t="shared" si="42"/>
        <v>-23144.7991936157+26936.8948608646i</v>
      </c>
      <c r="AW72" s="64">
        <f t="shared" si="69"/>
        <v>91.008108324264398</v>
      </c>
      <c r="AX72" s="61">
        <f t="shared" si="70"/>
        <v>130.66992928173613</v>
      </c>
    </row>
    <row r="73" spans="1:50" x14ac:dyDescent="0.4">
      <c r="A73" s="31" t="s">
        <v>584</v>
      </c>
      <c r="B73" s="1">
        <f>(Ccomp_iso*Rcomp_iso)+(Ccomp_iso*Rpullup)+(Copto*Rpullup)</f>
        <v>1.3427370000000001E-3</v>
      </c>
      <c r="E73" s="31" t="s">
        <v>588</v>
      </c>
      <c r="N73" s="10">
        <v>55</v>
      </c>
      <c r="O73" s="50">
        <f t="shared" si="43"/>
        <v>35.481338923357555</v>
      </c>
      <c r="P73" s="48" t="str">
        <f t="shared" si="44"/>
        <v>5120.19230769231</v>
      </c>
      <c r="Q73" s="17" t="str">
        <f t="shared" si="35"/>
        <v>1+1.04179627036074i</v>
      </c>
      <c r="R73" s="17">
        <f t="shared" si="45"/>
        <v>1.4440704515145886</v>
      </c>
      <c r="S73" s="17">
        <f t="shared" si="46"/>
        <v>0.80586564803441196</v>
      </c>
      <c r="T73" s="17" t="str">
        <f t="shared" si="36"/>
        <v>1+2.22712891574897E-06i</v>
      </c>
      <c r="U73" s="17">
        <f t="shared" si="47"/>
        <v>1.00000000000248</v>
      </c>
      <c r="V73" s="17">
        <f t="shared" si="48"/>
        <v>2.227128915745288E-6</v>
      </c>
      <c r="W73" s="31" t="str">
        <f t="shared" si="37"/>
        <v>1-0.00361156040391724i</v>
      </c>
      <c r="X73" s="17">
        <f t="shared" si="49"/>
        <v>1.0000065216630096</v>
      </c>
      <c r="Y73" s="17">
        <f t="shared" si="50"/>
        <v>-3.6115447017356613E-3</v>
      </c>
      <c r="Z73" s="31" t="str">
        <f t="shared" si="38"/>
        <v>0.999999496429835+0.0219888831339072i</v>
      </c>
      <c r="AA73" s="17">
        <f t="shared" si="51"/>
        <v>1.0002412228264741</v>
      </c>
      <c r="AB73" s="17">
        <f t="shared" si="52"/>
        <v>2.1985351273788315E-2</v>
      </c>
      <c r="AC73" s="66" t="str">
        <f t="shared" si="53"/>
        <v>2388.50042456669-2619.33540620623i</v>
      </c>
      <c r="AD73" s="64">
        <f t="shared" si="54"/>
        <v>70.991919488942571</v>
      </c>
      <c r="AE73" s="61">
        <f t="shared" si="55"/>
        <v>-47.639166989892502</v>
      </c>
      <c r="AF73" s="31" t="str">
        <f t="shared" si="56"/>
        <v>-10.0808080808081</v>
      </c>
      <c r="AG73" s="31" t="str">
        <f t="shared" si="57"/>
        <v>222.935827402299i</v>
      </c>
      <c r="AH73" s="31">
        <f t="shared" si="58"/>
        <v>222.935827402299</v>
      </c>
      <c r="AI73" s="31">
        <f t="shared" si="59"/>
        <v>1.5707963267948966</v>
      </c>
      <c r="AJ73" s="31" t="str">
        <f t="shared" si="39"/>
        <v>0.999049327731441+0.299344184078681i</v>
      </c>
      <c r="AK73" s="31">
        <f t="shared" si="60"/>
        <v>1.0429316850984898</v>
      </c>
      <c r="AL73" s="31">
        <f t="shared" si="61"/>
        <v>0.2911164231252702</v>
      </c>
      <c r="AM73" s="31" t="str">
        <f t="shared" si="40"/>
        <v>1+220.965431385387i</v>
      </c>
      <c r="AN73" s="31">
        <f t="shared" si="62"/>
        <v>220.96769417118458</v>
      </c>
      <c r="AO73" s="31">
        <f t="shared" si="63"/>
        <v>1.5662707629236088</v>
      </c>
      <c r="AP73" s="31" t="str">
        <f t="shared" si="41"/>
        <v>1+0.258962257110511i</v>
      </c>
      <c r="AQ73" s="31">
        <f t="shared" si="64"/>
        <v>1.0329866652613529</v>
      </c>
      <c r="AR73" s="31">
        <f t="shared" si="65"/>
        <v>0.25339577970715643</v>
      </c>
      <c r="AS73" s="58" t="str">
        <f t="shared" si="66"/>
        <v>-9.88770380778969+0.417966668497547i</v>
      </c>
      <c r="AT73" s="49">
        <f t="shared" si="67"/>
        <v>19.909662310511319</v>
      </c>
      <c r="AU73" s="61">
        <f t="shared" si="68"/>
        <v>177.57947062188248</v>
      </c>
      <c r="AV73" s="58" t="str">
        <f t="shared" si="42"/>
        <v>-22521.9898494857+26897.5262349848i</v>
      </c>
      <c r="AW73" s="64">
        <f t="shared" si="69"/>
        <v>90.901581799453908</v>
      </c>
      <c r="AX73" s="61">
        <f t="shared" si="70"/>
        <v>129.94030363199002</v>
      </c>
    </row>
    <row r="74" spans="1:50" x14ac:dyDescent="0.4">
      <c r="A74" s="31" t="s">
        <v>585</v>
      </c>
      <c r="B74" s="1">
        <v>1</v>
      </c>
      <c r="E74" s="31" t="s">
        <v>587</v>
      </c>
      <c r="N74" s="10">
        <v>56</v>
      </c>
      <c r="O74" s="50">
        <f t="shared" si="43"/>
        <v>36.307805477010156</v>
      </c>
      <c r="P74" s="48" t="str">
        <f t="shared" si="44"/>
        <v>5120.19230769231</v>
      </c>
      <c r="Q74" s="17" t="str">
        <f t="shared" si="35"/>
        <v>1+1.06606282284438i</v>
      </c>
      <c r="R74" s="17">
        <f t="shared" si="45"/>
        <v>1.4616736784422601</v>
      </c>
      <c r="S74" s="17">
        <f t="shared" si="46"/>
        <v>0.81736249738357236</v>
      </c>
      <c r="T74" s="17" t="str">
        <f t="shared" si="36"/>
        <v>1+2.27900541239176E-06i</v>
      </c>
      <c r="U74" s="17">
        <f t="shared" si="47"/>
        <v>1.000000000002597</v>
      </c>
      <c r="V74" s="17">
        <f t="shared" si="48"/>
        <v>2.2790054123878147E-6</v>
      </c>
      <c r="W74" s="31" t="str">
        <f t="shared" si="37"/>
        <v>1-0.00369568445252718i</v>
      </c>
      <c r="X74" s="17">
        <f t="shared" si="49"/>
        <v>1.0000068290184685</v>
      </c>
      <c r="Y74" s="17">
        <f t="shared" si="50"/>
        <v>-3.6956676273426897E-3</v>
      </c>
      <c r="Z74" s="31" t="str">
        <f t="shared" si="38"/>
        <v>0.999999472697305+0.0225010700190078i</v>
      </c>
      <c r="AA74" s="17">
        <f t="shared" si="51"/>
        <v>1.0002525898726224</v>
      </c>
      <c r="AB74" s="17">
        <f t="shared" si="52"/>
        <v>2.2497285614319927E-2</v>
      </c>
      <c r="AC74" s="66" t="str">
        <f t="shared" si="53"/>
        <v>2328.24394848335-2616.1073293548i</v>
      </c>
      <c r="AD74" s="64">
        <f t="shared" si="54"/>
        <v>70.886582554728832</v>
      </c>
      <c r="AE74" s="61">
        <f t="shared" si="55"/>
        <v>-48.332036528690679</v>
      </c>
      <c r="AF74" s="31" t="str">
        <f t="shared" si="56"/>
        <v>-10.0808080808081</v>
      </c>
      <c r="AG74" s="31" t="str">
        <f t="shared" si="57"/>
        <v>228.128669909085i</v>
      </c>
      <c r="AH74" s="31">
        <f t="shared" si="58"/>
        <v>228.128669909085</v>
      </c>
      <c r="AI74" s="31">
        <f t="shared" si="59"/>
        <v>1.5707963267948966</v>
      </c>
      <c r="AJ74" s="31" t="str">
        <f t="shared" si="39"/>
        <v>0.999004523927752+0.306316805847715i</v>
      </c>
      <c r="AK74" s="31">
        <f t="shared" si="60"/>
        <v>1.0449114911670085</v>
      </c>
      <c r="AL74" s="31">
        <f t="shared" si="61"/>
        <v>0.29752093437267207</v>
      </c>
      <c r="AM74" s="31" t="str">
        <f t="shared" si="40"/>
        <v>1+226.112377472961i</v>
      </c>
      <c r="AN74" s="31">
        <f t="shared" si="62"/>
        <v>226.11458875197502</v>
      </c>
      <c r="AO74" s="31">
        <f t="shared" si="63"/>
        <v>1.5663737759751868</v>
      </c>
      <c r="AP74" s="31" t="str">
        <f t="shared" si="41"/>
        <v>1+0.264994262966393i</v>
      </c>
      <c r="AQ74" s="31">
        <f t="shared" si="64"/>
        <v>1.0345153258435091</v>
      </c>
      <c r="AR74" s="31">
        <f t="shared" si="65"/>
        <v>0.25904036989509954</v>
      </c>
      <c r="AS74" s="58" t="str">
        <f t="shared" si="66"/>
        <v>-9.88329286995619+0.424284409027375i</v>
      </c>
      <c r="AT74" s="49">
        <f t="shared" si="67"/>
        <v>19.906029712160368</v>
      </c>
      <c r="AU74" s="61">
        <f t="shared" si="68"/>
        <v>177.54183256550257</v>
      </c>
      <c r="AV74" s="58" t="str">
        <f t="shared" si="42"/>
        <v>-21900.7432633767+26843.5925230062i</v>
      </c>
      <c r="AW74" s="64">
        <f t="shared" si="69"/>
        <v>90.792612266889194</v>
      </c>
      <c r="AX74" s="61">
        <f t="shared" si="70"/>
        <v>129.20979603681201</v>
      </c>
    </row>
    <row r="75" spans="1:50" x14ac:dyDescent="0.4">
      <c r="N75" s="10">
        <v>57</v>
      </c>
      <c r="O75" s="50">
        <f t="shared" si="43"/>
        <v>37.15352290971726</v>
      </c>
      <c r="P75" s="48" t="str">
        <f t="shared" si="44"/>
        <v>5120.19230769231</v>
      </c>
      <c r="Q75" s="17" t="str">
        <f t="shared" si="35"/>
        <v>1+1.09089461594769i</v>
      </c>
      <c r="R75" s="17">
        <f t="shared" si="45"/>
        <v>1.479882111218207</v>
      </c>
      <c r="S75" s="17">
        <f t="shared" si="46"/>
        <v>0.82884244941932639</v>
      </c>
      <c r="T75" s="17" t="str">
        <f t="shared" si="36"/>
        <v>1+0.0000023320902678704i</v>
      </c>
      <c r="U75" s="17">
        <f t="shared" si="47"/>
        <v>1.0000000000027192</v>
      </c>
      <c r="V75" s="17">
        <f t="shared" si="48"/>
        <v>2.3320902678661721E-6</v>
      </c>
      <c r="W75" s="31" t="str">
        <f t="shared" si="37"/>
        <v>1-0.003781768001952i</v>
      </c>
      <c r="X75" s="17">
        <f t="shared" si="49"/>
        <v>1.0000071508590429</v>
      </c>
      <c r="Y75" s="17">
        <f t="shared" si="50"/>
        <v>-3.7817499734489669E-3</v>
      </c>
      <c r="Z75" s="31" t="str">
        <f t="shared" si="38"/>
        <v>0.999999447846294+0.0230251872692692i</v>
      </c>
      <c r="AA75" s="17">
        <f t="shared" si="51"/>
        <v>1.0002644924926996</v>
      </c>
      <c r="AB75" s="17">
        <f t="shared" si="52"/>
        <v>2.3021132264496057E-2</v>
      </c>
      <c r="AC75" s="66" t="str">
        <f t="shared" si="53"/>
        <v>2268.16460252781-2611.50079710358i</v>
      </c>
      <c r="AD75" s="64">
        <f t="shared" si="54"/>
        <v>70.77894810934356</v>
      </c>
      <c r="AE75" s="61">
        <f t="shared" si="55"/>
        <v>-49.024732645103235</v>
      </c>
      <c r="AF75" s="31" t="str">
        <f t="shared" si="56"/>
        <v>-10.0808080808081</v>
      </c>
      <c r="AG75" s="31" t="str">
        <f t="shared" si="57"/>
        <v>233.442469256296i</v>
      </c>
      <c r="AH75" s="31">
        <f t="shared" si="58"/>
        <v>233.44246925629599</v>
      </c>
      <c r="AI75" s="31">
        <f t="shared" si="59"/>
        <v>1.5707963267948966</v>
      </c>
      <c r="AJ75" s="31" t="str">
        <f t="shared" si="39"/>
        <v>0.998957608585847+0.313451840841791i</v>
      </c>
      <c r="AK75" s="31">
        <f t="shared" si="60"/>
        <v>1.0469805921212969</v>
      </c>
      <c r="AL75" s="31">
        <f t="shared" si="61"/>
        <v>0.30404958203112564</v>
      </c>
      <c r="AM75" s="31" t="str">
        <f t="shared" si="40"/>
        <v>1+231.379211336022i</v>
      </c>
      <c r="AN75" s="31">
        <f t="shared" si="62"/>
        <v>231.38137228065602</v>
      </c>
      <c r="AO75" s="31">
        <f t="shared" si="63"/>
        <v>1.5664744442541307</v>
      </c>
      <c r="AP75" s="31" t="str">
        <f t="shared" si="41"/>
        <v>1+0.271166772288114i</v>
      </c>
      <c r="AQ75" s="31">
        <f t="shared" si="64"/>
        <v>1.0361136126859611</v>
      </c>
      <c r="AR75" s="31">
        <f t="shared" si="65"/>
        <v>0.26479900879119561</v>
      </c>
      <c r="AS75" s="58" t="str">
        <f t="shared" si="66"/>
        <v>-9.87870966715563+0.430712252175968i</v>
      </c>
      <c r="AT75" s="49">
        <f t="shared" si="67"/>
        <v>19.90225238314002</v>
      </c>
      <c r="AU75" s="61">
        <f t="shared" si="68"/>
        <v>177.50348218074575</v>
      </c>
      <c r="AV75" s="58" t="str">
        <f t="shared" si="42"/>
        <v>-21281.7341958119+26775.1844543923i</v>
      </c>
      <c r="AW75" s="64">
        <f t="shared" si="69"/>
        <v>90.681200492483583</v>
      </c>
      <c r="AX75" s="61">
        <f t="shared" si="70"/>
        <v>128.47874953564263</v>
      </c>
    </row>
    <row r="76" spans="1:50" x14ac:dyDescent="0.4">
      <c r="N76" s="10">
        <v>58</v>
      </c>
      <c r="O76" s="50">
        <f t="shared" si="43"/>
        <v>38.018939632056139</v>
      </c>
      <c r="P76" s="48" t="str">
        <f t="shared" si="44"/>
        <v>5120.19230769231</v>
      </c>
      <c r="Q76" s="17" t="str">
        <f t="shared" si="35"/>
        <v>1+1.11630481581608i</v>
      </c>
      <c r="R76" s="17">
        <f t="shared" si="45"/>
        <v>1.4987115939413336</v>
      </c>
      <c r="S76" s="17">
        <f t="shared" si="46"/>
        <v>0.84029948850901448</v>
      </c>
      <c r="T76" s="17" t="str">
        <f t="shared" si="36"/>
        <v>1+2.38641162847793E-06i</v>
      </c>
      <c r="U76" s="17">
        <f t="shared" si="47"/>
        <v>1.0000000000028475</v>
      </c>
      <c r="V76" s="17">
        <f t="shared" si="48"/>
        <v>2.3864116284733995E-6</v>
      </c>
      <c r="W76" s="31" t="str">
        <f t="shared" si="37"/>
        <v>1-0.00386985669482906i</v>
      </c>
      <c r="X76" s="17">
        <f t="shared" si="49"/>
        <v>1.0000074878673852</v>
      </c>
      <c r="Y76" s="17">
        <f t="shared" si="50"/>
        <v>-3.8698373769478277E-3</v>
      </c>
      <c r="Z76" s="31" t="str">
        <f t="shared" si="38"/>
        <v>0.999999421824092+0.0235615127785952i</v>
      </c>
      <c r="AA76" s="17">
        <f t="shared" si="51"/>
        <v>1.0002769559141778</v>
      </c>
      <c r="AB76" s="17">
        <f t="shared" si="52"/>
        <v>2.3557167827670335E-2</v>
      </c>
      <c r="AC76" s="66" t="str">
        <f t="shared" si="53"/>
        <v>2208.32498876625-2605.52771760274i</v>
      </c>
      <c r="AD76" s="64">
        <f t="shared" si="54"/>
        <v>70.669023879422554</v>
      </c>
      <c r="AE76" s="61">
        <f t="shared" si="55"/>
        <v>-49.716929130161652</v>
      </c>
      <c r="AF76" s="31" t="str">
        <f t="shared" si="56"/>
        <v>-10.0808080808081</v>
      </c>
      <c r="AG76" s="31" t="str">
        <f t="shared" si="57"/>
        <v>238.880042890683i</v>
      </c>
      <c r="AH76" s="31">
        <f t="shared" si="58"/>
        <v>238.880042890683</v>
      </c>
      <c r="AI76" s="31">
        <f t="shared" si="59"/>
        <v>1.5707963267948966</v>
      </c>
      <c r="AJ76" s="31" t="str">
        <f t="shared" si="39"/>
        <v>0.998908482191997+0.320753072150907i</v>
      </c>
      <c r="AK76" s="31">
        <f t="shared" si="60"/>
        <v>1.0491428354086798</v>
      </c>
      <c r="AL76" s="31">
        <f t="shared" si="61"/>
        <v>0.31070367806938459</v>
      </c>
      <c r="AM76" s="31" t="str">
        <f t="shared" si="40"/>
        <v>1+236.768725519599i</v>
      </c>
      <c r="AN76" s="31">
        <f t="shared" si="62"/>
        <v>236.77083727557161</v>
      </c>
      <c r="AO76" s="31">
        <f t="shared" si="63"/>
        <v>1.5665728211279284</v>
      </c>
      <c r="AP76" s="31" t="str">
        <f t="shared" si="41"/>
        <v>1+0.277483057821818i</v>
      </c>
      <c r="AQ76" s="31">
        <f t="shared" si="64"/>
        <v>1.0377845862114865</v>
      </c>
      <c r="AR76" s="31">
        <f t="shared" si="65"/>
        <v>0.27067322133755745</v>
      </c>
      <c r="AS76" s="58" t="str">
        <f t="shared" si="66"/>
        <v>-9.87394905600185+0.43724684418777i</v>
      </c>
      <c r="AT76" s="49">
        <f t="shared" si="67"/>
        <v>19.898325701504252</v>
      </c>
      <c r="AU76" s="61">
        <f t="shared" si="68"/>
        <v>177.46443472781834</v>
      </c>
      <c r="AV76" s="58" t="str">
        <f t="shared" si="42"/>
        <v>-20665.6296662082+26692.4310798893i</v>
      </c>
      <c r="AW76" s="64">
        <f t="shared" si="69"/>
        <v>90.567349580926816</v>
      </c>
      <c r="AX76" s="61">
        <f t="shared" si="70"/>
        <v>127.74750559765658</v>
      </c>
    </row>
    <row r="77" spans="1:50" x14ac:dyDescent="0.4">
      <c r="N77" s="10">
        <v>59</v>
      </c>
      <c r="O77" s="50">
        <f t="shared" si="43"/>
        <v>38.904514499428053</v>
      </c>
      <c r="P77" s="48" t="str">
        <f t="shared" si="44"/>
        <v>5120.19230769231</v>
      </c>
      <c r="Q77" s="17" t="str">
        <f t="shared" si="35"/>
        <v>1+1.14230689527385i</v>
      </c>
      <c r="R77" s="17">
        <f t="shared" si="45"/>
        <v>1.5181781986941396</v>
      </c>
      <c r="S77" s="17">
        <f t="shared" si="46"/>
        <v>0.85172765916129667</v>
      </c>
      <c r="T77" s="17" t="str">
        <f t="shared" si="36"/>
        <v>1+2.44199829611876E-06i</v>
      </c>
      <c r="U77" s="17">
        <f t="shared" si="47"/>
        <v>1.0000000000029816</v>
      </c>
      <c r="V77" s="17">
        <f t="shared" si="48"/>
        <v>2.4419982961139059E-6</v>
      </c>
      <c r="W77" s="31" t="str">
        <f t="shared" si="37"/>
        <v>1-0.00395999723694934i</v>
      </c>
      <c r="X77" s="17">
        <f t="shared" si="49"/>
        <v>1.0000078407583195</v>
      </c>
      <c r="Y77" s="17">
        <f t="shared" si="50"/>
        <v>-3.9599765374754292E-3</v>
      </c>
      <c r="Z77" s="31" t="str">
        <f t="shared" si="38"/>
        <v>0.999999394575501+0.0241103309138699i</v>
      </c>
      <c r="AA77" s="17">
        <f t="shared" si="51"/>
        <v>1.0002900065521723</v>
      </c>
      <c r="AB77" s="17">
        <f t="shared" si="52"/>
        <v>2.4105675287971171E-2</v>
      </c>
      <c r="AC77" s="66" t="str">
        <f t="shared" si="53"/>
        <v>2148.78670596342-2598.20351523614i</v>
      </c>
      <c r="AD77" s="64">
        <f t="shared" si="54"/>
        <v>70.556819948453452</v>
      </c>
      <c r="AE77" s="61">
        <f t="shared" si="55"/>
        <v>-50.408303647185228</v>
      </c>
      <c r="AF77" s="31" t="str">
        <f t="shared" si="56"/>
        <v>-10.0808080808081</v>
      </c>
      <c r="AG77" s="31" t="str">
        <f t="shared" si="57"/>
        <v>244.444273885762i</v>
      </c>
      <c r="AH77" s="31">
        <f t="shared" si="58"/>
        <v>244.44427388576199</v>
      </c>
      <c r="AI77" s="31">
        <f t="shared" si="59"/>
        <v>1.5707963267948966</v>
      </c>
      <c r="AJ77" s="31" t="str">
        <f t="shared" si="39"/>
        <v>0.998857040542534+0.328224370984546i</v>
      </c>
      <c r="AK77" s="31">
        <f t="shared" si="60"/>
        <v>1.0514022185394087</v>
      </c>
      <c r="AL77" s="31">
        <f t="shared" si="61"/>
        <v>0.31748447500203669</v>
      </c>
      <c r="AM77" s="31" t="str">
        <f t="shared" si="40"/>
        <v>1+242.283777615451i</v>
      </c>
      <c r="AN77" s="31">
        <f t="shared" si="62"/>
        <v>242.28584130240318</v>
      </c>
      <c r="AO77" s="31">
        <f t="shared" si="63"/>
        <v>1.5666689587496794</v>
      </c>
      <c r="AP77" s="31" t="str">
        <f t="shared" si="41"/>
        <v>1+0.283946468545701i</v>
      </c>
      <c r="AQ77" s="31">
        <f t="shared" si="64"/>
        <v>1.0395314314630293</v>
      </c>
      <c r="AR77" s="31">
        <f t="shared" si="65"/>
        <v>0.27666449988565678</v>
      </c>
      <c r="AS77" s="58" t="str">
        <f t="shared" si="66"/>
        <v>-9.86900587794941+0.443884555406181i</v>
      </c>
      <c r="AT77" s="49">
        <f t="shared" si="67"/>
        <v>19.894245002193077</v>
      </c>
      <c r="AU77" s="61">
        <f t="shared" si="68"/>
        <v>177.42470693651433</v>
      </c>
      <c r="AV77" s="58" t="str">
        <f t="shared" si="42"/>
        <v>-20053.0862193972+26595.4989956136i</v>
      </c>
      <c r="AW77" s="64">
        <f t="shared" si="69"/>
        <v>90.451064950646554</v>
      </c>
      <c r="AX77" s="61">
        <f t="shared" si="70"/>
        <v>127.01640328932909</v>
      </c>
    </row>
    <row r="78" spans="1:50" x14ac:dyDescent="0.4">
      <c r="N78" s="10">
        <v>60</v>
      </c>
      <c r="O78" s="50">
        <f t="shared" si="43"/>
        <v>39.810717055349755</v>
      </c>
      <c r="P78" s="48" t="str">
        <f t="shared" si="44"/>
        <v>5120.19230769231</v>
      </c>
      <c r="Q78" s="17" t="str">
        <f t="shared" si="35"/>
        <v>1+1.16891464096771i</v>
      </c>
      <c r="R78" s="17">
        <f t="shared" si="45"/>
        <v>1.5382982278702237</v>
      </c>
      <c r="S78" s="17">
        <f t="shared" si="46"/>
        <v>0.8631210812476996</v>
      </c>
      <c r="T78" s="17" t="str">
        <f t="shared" si="36"/>
        <v>1+2.49887974357987E-06i</v>
      </c>
      <c r="U78" s="17">
        <f t="shared" si="47"/>
        <v>1.0000000000031222</v>
      </c>
      <c r="V78" s="17">
        <f t="shared" si="48"/>
        <v>2.4988797435746689E-6</v>
      </c>
      <c r="W78" s="31" t="str">
        <f t="shared" si="37"/>
        <v>1-0.0040522374220214i</v>
      </c>
      <c r="X78" s="17">
        <f t="shared" si="49"/>
        <v>1.0000082102803578</v>
      </c>
      <c r="Y78" s="17">
        <f t="shared" si="50"/>
        <v>-4.0522152421453312E-3</v>
      </c>
      <c r="Z78" s="31" t="str">
        <f t="shared" si="38"/>
        <v>0.999999366042723+0.0246719326657331i</v>
      </c>
      <c r="AA78" s="17">
        <f t="shared" si="51"/>
        <v>1.0003036720652936</v>
      </c>
      <c r="AB78" s="17">
        <f t="shared" si="52"/>
        <v>2.4666944154493973E-2</v>
      </c>
      <c r="AC78" s="66" t="str">
        <f t="shared" si="53"/>
        <v>2089.61010015163-2589.54703245405i</v>
      </c>
      <c r="AD78" s="64">
        <f t="shared" si="54"/>
        <v>70.442348713279358</v>
      </c>
      <c r="AE78" s="61">
        <f t="shared" si="55"/>
        <v>-51.098538613589575</v>
      </c>
      <c r="AF78" s="31" t="str">
        <f t="shared" si="56"/>
        <v>-10.0808080808081</v>
      </c>
      <c r="AG78" s="31" t="str">
        <f t="shared" si="57"/>
        <v>250.138112470457i</v>
      </c>
      <c r="AH78" s="31">
        <f t="shared" si="58"/>
        <v>250.138112470457</v>
      </c>
      <c r="AI78" s="31">
        <f t="shared" si="59"/>
        <v>1.5707963267948966</v>
      </c>
      <c r="AJ78" s="31" t="str">
        <f t="shared" si="39"/>
        <v>0.998803174522823+0.335869698724244i</v>
      </c>
      <c r="AK78" s="31">
        <f t="shared" si="60"/>
        <v>1.0537628936141104</v>
      </c>
      <c r="AL78" s="31">
        <f t="shared" si="61"/>
        <v>0.32439316042217037</v>
      </c>
      <c r="AM78" s="31" t="str">
        <f t="shared" si="40"/>
        <v>1+247.927291777199i</v>
      </c>
      <c r="AN78" s="31">
        <f t="shared" si="62"/>
        <v>247.92930848928765</v>
      </c>
      <c r="AO78" s="31">
        <f t="shared" si="63"/>
        <v>1.5667629080857106</v>
      </c>
      <c r="AP78" s="31" t="str">
        <f t="shared" si="41"/>
        <v>1+0.290560431445683i</v>
      </c>
      <c r="AQ78" s="31">
        <f t="shared" si="64"/>
        <v>1.0413574623163275</v>
      </c>
      <c r="AR78" s="31">
        <f t="shared" si="65"/>
        <v>0.28277429993566788</v>
      </c>
      <c r="AS78" s="58" t="str">
        <f t="shared" si="66"/>
        <v>-9.86387497315291+0.450621469060633i</v>
      </c>
      <c r="AT78" s="49">
        <f t="shared" si="67"/>
        <v>19.890005586759063</v>
      </c>
      <c r="AU78" s="61">
        <f t="shared" si="68"/>
        <v>177.38431707693411</v>
      </c>
      <c r="AV78" s="58" t="str">
        <f t="shared" si="42"/>
        <v>-19444.7472825672+26484.5913383202i</v>
      </c>
      <c r="AW78" s="64">
        <f t="shared" si="69"/>
        <v>90.332354300038432</v>
      </c>
      <c r="AX78" s="61">
        <f t="shared" si="70"/>
        <v>126.28577846334456</v>
      </c>
    </row>
    <row r="79" spans="1:50" x14ac:dyDescent="0.4">
      <c r="N79" s="10">
        <v>61</v>
      </c>
      <c r="O79" s="50">
        <f t="shared" si="43"/>
        <v>40.738027780411279</v>
      </c>
      <c r="P79" s="48" t="str">
        <f t="shared" si="44"/>
        <v>5120.19230769231</v>
      </c>
      <c r="Q79" s="17" t="str">
        <f t="shared" si="35"/>
        <v>1+1.19614216067664i</v>
      </c>
      <c r="R79" s="17">
        <f t="shared" si="45"/>
        <v>1.5590882170512932</v>
      </c>
      <c r="S79" s="17">
        <f t="shared" si="46"/>
        <v>0.87447396474781625</v>
      </c>
      <c r="T79" s="17" t="str">
        <f t="shared" si="36"/>
        <v>1+2.55708613015761E-06i</v>
      </c>
      <c r="U79" s="17">
        <f t="shared" si="47"/>
        <v>1.0000000000032694</v>
      </c>
      <c r="V79" s="17">
        <f t="shared" si="48"/>
        <v>2.5570861301520364E-6</v>
      </c>
      <c r="W79" s="31" t="str">
        <f t="shared" si="37"/>
        <v>1-0.00414662615701233i</v>
      </c>
      <c r="X79" s="17">
        <f t="shared" si="49"/>
        <v>1.000008597217287</v>
      </c>
      <c r="Y79" s="17">
        <f t="shared" si="50"/>
        <v>-4.1466023908579694E-3</v>
      </c>
      <c r="Z79" s="31" t="str">
        <f t="shared" si="38"/>
        <v>0.999999336165237+0.0252466158028673i</v>
      </c>
      <c r="AA79" s="17">
        <f t="shared" si="51"/>
        <v>1.0003179814141161</v>
      </c>
      <c r="AB79" s="17">
        <f t="shared" si="52"/>
        <v>2.5241270608535624E-2</v>
      </c>
      <c r="AC79" s="66" t="str">
        <f t="shared" si="53"/>
        <v>2030.85402619359-2579.58041096434i</v>
      </c>
      <c r="AD79" s="64">
        <f t="shared" si="54"/>
        <v>70.325624831279072</v>
      </c>
      <c r="AE79" s="61">
        <f t="shared" si="55"/>
        <v>-51.787322055610375</v>
      </c>
      <c r="AF79" s="31" t="str">
        <f t="shared" si="56"/>
        <v>-10.0808080808081</v>
      </c>
      <c r="AG79" s="31" t="str">
        <f t="shared" si="57"/>
        <v>255.964577593354i</v>
      </c>
      <c r="AH79" s="31">
        <f t="shared" si="58"/>
        <v>255.96457759335399</v>
      </c>
      <c r="AI79" s="31">
        <f t="shared" si="59"/>
        <v>1.5707963267948966</v>
      </c>
      <c r="AJ79" s="31" t="str">
        <f t="shared" si="39"/>
        <v>0.998746769875813+0.343693109023967i</v>
      </c>
      <c r="AK79" s="31">
        <f t="shared" si="60"/>
        <v>1.0562291718788734</v>
      </c>
      <c r="AL79" s="31">
        <f t="shared" si="61"/>
        <v>0.33143085133545752</v>
      </c>
      <c r="AM79" s="31" t="str">
        <f t="shared" si="40"/>
        <v>1+253.702260270754i</v>
      </c>
      <c r="AN79" s="31">
        <f t="shared" si="62"/>
        <v>253.70423107723173</v>
      </c>
      <c r="AO79" s="31">
        <f t="shared" si="63"/>
        <v>1.5668547189425663</v>
      </c>
      <c r="AP79" s="31" t="str">
        <f t="shared" si="41"/>
        <v>1+0.29732845333244i</v>
      </c>
      <c r="AQ79" s="31">
        <f t="shared" si="64"/>
        <v>1.0432661257613327</v>
      </c>
      <c r="AR79" s="31">
        <f t="shared" si="65"/>
        <v>0.28900403566311056</v>
      </c>
      <c r="AS79" s="58" t="str">
        <f t="shared" si="66"/>
        <v>-9.85855119555243+0.457453370440127i</v>
      </c>
      <c r="AT79" s="49">
        <f t="shared" si="67"/>
        <v>19.885602734107138</v>
      </c>
      <c r="AU79" s="61">
        <f t="shared" si="68"/>
        <v>177.34328502936086</v>
      </c>
      <c r="AV79" s="58" t="str">
        <f t="shared" si="42"/>
        <v>-18841.2406346063+26359.9465636903i</v>
      </c>
      <c r="AW79" s="64">
        <f t="shared" si="69"/>
        <v>90.211227565386224</v>
      </c>
      <c r="AX79" s="61">
        <f t="shared" si="70"/>
        <v>125.55596297375047</v>
      </c>
    </row>
    <row r="80" spans="1:50" x14ac:dyDescent="0.4">
      <c r="N80" s="10">
        <v>62</v>
      </c>
      <c r="O80" s="50">
        <f t="shared" si="43"/>
        <v>41.686938347033561</v>
      </c>
      <c r="P80" s="48" t="str">
        <f t="shared" si="44"/>
        <v>5120.19230769231</v>
      </c>
      <c r="Q80" s="17" t="str">
        <f t="shared" si="35"/>
        <v>1+1.22400389079196i</v>
      </c>
      <c r="R80" s="17">
        <f t="shared" si="45"/>
        <v>1.5805649384551894</v>
      </c>
      <c r="S80" s="17">
        <f t="shared" si="46"/>
        <v>0.88578062393055201</v>
      </c>
      <c r="T80" s="17" t="str">
        <f t="shared" si="36"/>
        <v>1+0.0000026166483176486i</v>
      </c>
      <c r="U80" s="17">
        <f t="shared" si="47"/>
        <v>1.0000000000034235</v>
      </c>
      <c r="V80" s="17">
        <f t="shared" si="48"/>
        <v>2.6166483176426281E-6</v>
      </c>
      <c r="W80" s="31" t="str">
        <f t="shared" si="37"/>
        <v>1-0.0042432134880788i</v>
      </c>
      <c r="X80" s="17">
        <f t="shared" si="49"/>
        <v>1.0000090023898311</v>
      </c>
      <c r="Y80" s="17">
        <f t="shared" si="50"/>
        <v>-4.2431880221979728E-3</v>
      </c>
      <c r="Z80" s="31" t="str">
        <f t="shared" si="38"/>
        <v>0.999999304879668+0.0258346850298787i</v>
      </c>
      <c r="AA80" s="17">
        <f t="shared" si="51"/>
        <v>1.0003329649223864</v>
      </c>
      <c r="AB80" s="17">
        <f t="shared" si="52"/>
        <v>2.5828957653920286E-2</v>
      </c>
      <c r="AC80" s="66" t="str">
        <f t="shared" si="53"/>
        <v>1972.57562228135-2568.32895365966i</v>
      </c>
      <c r="AD80" s="64">
        <f t="shared" si="54"/>
        <v>70.206665158679058</v>
      </c>
      <c r="AE80" s="61">
        <f t="shared" si="55"/>
        <v>-52.474348430924543</v>
      </c>
      <c r="AF80" s="31" t="str">
        <f t="shared" si="56"/>
        <v>-10.0808080808081</v>
      </c>
      <c r="AG80" s="31" t="str">
        <f t="shared" si="57"/>
        <v>261.926758523383i</v>
      </c>
      <c r="AH80" s="31">
        <f t="shared" si="58"/>
        <v>261.926758523383</v>
      </c>
      <c r="AI80" s="31">
        <f t="shared" si="59"/>
        <v>1.5707963267948966</v>
      </c>
      <c r="AJ80" s="31" t="str">
        <f t="shared" si="39"/>
        <v>0.998687706959687+0.351698749959411i</v>
      </c>
      <c r="AK80" s="31">
        <f t="shared" si="60"/>
        <v>1.0588055282984736</v>
      </c>
      <c r="AL80" s="31">
        <f t="shared" si="61"/>
        <v>0.33859858830344447</v>
      </c>
      <c r="AM80" s="31" t="str">
        <f t="shared" si="40"/>
        <v>1+259.611745060851i</v>
      </c>
      <c r="AN80" s="31">
        <f t="shared" si="62"/>
        <v>259.61367100663301</v>
      </c>
      <c r="AO80" s="31">
        <f t="shared" si="63"/>
        <v>1.566944439993383</v>
      </c>
      <c r="AP80" s="31" t="str">
        <f t="shared" si="41"/>
        <v>1+0.304254122700762i</v>
      </c>
      <c r="AQ80" s="31">
        <f t="shared" si="64"/>
        <v>1.0452610062469614</v>
      </c>
      <c r="AR80" s="31">
        <f t="shared" si="65"/>
        <v>0.29535507523195426</v>
      </c>
      <c r="AS80" s="58" t="str">
        <f t="shared" si="66"/>
        <v>-9.85302942922008+0.464375736558993i</v>
      </c>
      <c r="AT80" s="49">
        <f t="shared" si="67"/>
        <v>19.881031712291467</v>
      </c>
      <c r="AU80" s="61">
        <f t="shared" si="68"/>
        <v>177.30163235279593</v>
      </c>
      <c r="AV80" s="58" t="str">
        <f t="shared" si="42"/>
        <v>-18243.1760081188+26221.8370218419i</v>
      </c>
      <c r="AW80" s="64">
        <f t="shared" si="69"/>
        <v>90.087696870970547</v>
      </c>
      <c r="AX80" s="61">
        <f t="shared" si="70"/>
        <v>124.8272839218714</v>
      </c>
    </row>
    <row r="81" spans="14:50" x14ac:dyDescent="0.4">
      <c r="N81" s="10">
        <v>63</v>
      </c>
      <c r="O81" s="50">
        <f t="shared" si="43"/>
        <v>42.657951880159267</v>
      </c>
      <c r="P81" s="48" t="str">
        <f t="shared" si="44"/>
        <v>5120.19230769231</v>
      </c>
      <c r="Q81" s="17" t="str">
        <f t="shared" si="35"/>
        <v>1+1.25251460397179i</v>
      </c>
      <c r="R81" s="17">
        <f t="shared" si="45"/>
        <v>1.6027454049731698</v>
      </c>
      <c r="S81" s="17">
        <f t="shared" si="46"/>
        <v>0.89703549089038925</v>
      </c>
      <c r="T81" s="17" t="str">
        <f t="shared" si="36"/>
        <v>1+2.67759788671303E-06i</v>
      </c>
      <c r="U81" s="17">
        <f t="shared" si="47"/>
        <v>1.0000000000035847</v>
      </c>
      <c r="V81" s="17">
        <f t="shared" si="48"/>
        <v>2.677597886706631E-6</v>
      </c>
      <c r="W81" s="31" t="str">
        <f t="shared" si="37"/>
        <v>1-0.00434205062710221i</v>
      </c>
      <c r="X81" s="17">
        <f t="shared" si="49"/>
        <v>1.0000094266573931</v>
      </c>
      <c r="Y81" s="17">
        <f t="shared" si="50"/>
        <v>-4.3420233399331714E-3</v>
      </c>
      <c r="Z81" s="31" t="str">
        <f t="shared" si="38"/>
        <v>0.999999272119657+0.0264364521488554i</v>
      </c>
      <c r="AA81" s="17">
        <f t="shared" si="51"/>
        <v>1.0003486543411064</v>
      </c>
      <c r="AB81" s="17">
        <f t="shared" si="52"/>
        <v>2.6430315270463536E-2</v>
      </c>
      <c r="AC81" s="66" t="str">
        <f t="shared" si="53"/>
        <v>1914.8300991228-2555.8209688586i</v>
      </c>
      <c r="AD81" s="64">
        <f t="shared" si="54"/>
        <v>70.085488680521976</v>
      </c>
      <c r="AE81" s="61">
        <f t="shared" si="55"/>
        <v>-53.159319414530437</v>
      </c>
      <c r="AF81" s="31" t="str">
        <f t="shared" si="56"/>
        <v>-10.0808080808081</v>
      </c>
      <c r="AG81" s="31" t="str">
        <f t="shared" si="57"/>
        <v>268.027816487791i</v>
      </c>
      <c r="AH81" s="31">
        <f t="shared" si="58"/>
        <v>268.02781648779097</v>
      </c>
      <c r="AI81" s="31">
        <f t="shared" si="59"/>
        <v>1.5707963267948966</v>
      </c>
      <c r="AJ81" s="31" t="str">
        <f t="shared" si="39"/>
        <v>0.99862586049408+0.359890866227366i</v>
      </c>
      <c r="AK81" s="31">
        <f t="shared" si="60"/>
        <v>1.0614966061374977</v>
      </c>
      <c r="AL81" s="31">
        <f t="shared" si="61"/>
        <v>0.34589732940583517</v>
      </c>
      <c r="AM81" s="31" t="str">
        <f t="shared" si="40"/>
        <v>1+265.658879434546i</v>
      </c>
      <c r="AN81" s="31">
        <f t="shared" si="62"/>
        <v>265.66076154076399</v>
      </c>
      <c r="AO81" s="31">
        <f t="shared" si="63"/>
        <v>1.5670321188036682</v>
      </c>
      <c r="AP81" s="31" t="str">
        <f t="shared" si="41"/>
        <v>1+0.311341111632218i</v>
      </c>
      <c r="AQ81" s="31">
        <f t="shared" si="64"/>
        <v>1.0473458300830654</v>
      </c>
      <c r="AR81" s="31">
        <f t="shared" si="65"/>
        <v>0.30182873589447884</v>
      </c>
      <c r="AS81" s="58" t="str">
        <f t="shared" si="66"/>
        <v>-9.84730460598988+0.471383726427335i</v>
      </c>
      <c r="AT81" s="49">
        <f t="shared" si="67"/>
        <v>19.876287791404266</v>
      </c>
      <c r="AU81" s="61">
        <f t="shared" si="68"/>
        <v>177.25938235161487</v>
      </c>
      <c r="AV81" s="58" t="str">
        <f t="shared" si="42"/>
        <v>-17651.1428423983+26070.5673463265i</v>
      </c>
      <c r="AW81" s="64">
        <f t="shared" si="69"/>
        <v>89.961776471926242</v>
      </c>
      <c r="AX81" s="61">
        <f t="shared" si="70"/>
        <v>124.10006293708445</v>
      </c>
    </row>
    <row r="82" spans="14:50" x14ac:dyDescent="0.4">
      <c r="N82" s="10">
        <v>64</v>
      </c>
      <c r="O82" s="50">
        <f t="shared" si="43"/>
        <v>43.651583224016633</v>
      </c>
      <c r="P82" s="48" t="str">
        <f t="shared" si="44"/>
        <v>5120.19230769231</v>
      </c>
      <c r="Q82" s="17" t="str">
        <f t="shared" si="35"/>
        <v>1+1.28168941697364i</v>
      </c>
      <c r="R82" s="17">
        <f t="shared" si="45"/>
        <v>1.6256468748108333</v>
      </c>
      <c r="S82" s="17">
        <f t="shared" si="46"/>
        <v>0.90823312836473213</v>
      </c>
      <c r="T82" s="17" t="str">
        <f t="shared" si="36"/>
        <v>1+0.0000027399671536192i</v>
      </c>
      <c r="U82" s="17">
        <f t="shared" si="47"/>
        <v>1.0000000000037537</v>
      </c>
      <c r="V82" s="17">
        <f t="shared" si="48"/>
        <v>2.7399671536123432E-6</v>
      </c>
      <c r="W82" s="31" t="str">
        <f t="shared" si="37"/>
        <v>1-0.00444318997884194i</v>
      </c>
      <c r="X82" s="17">
        <f t="shared" si="49"/>
        <v>1.0000098709198766</v>
      </c>
      <c r="Y82" s="17">
        <f t="shared" si="50"/>
        <v>-4.4431607401291175E-3</v>
      </c>
      <c r="Z82" s="31" t="str">
        <f t="shared" si="38"/>
        <v>0.999999237815713+0.0270522362246891i</v>
      </c>
      <c r="AA82" s="17">
        <f t="shared" si="51"/>
        <v>1.0003650829156139</v>
      </c>
      <c r="AB82" s="17">
        <f t="shared" si="52"/>
        <v>2.7045660570623423E-2</v>
      </c>
      <c r="AC82" s="66" t="str">
        <f t="shared" si="53"/>
        <v>1857.67054535597-2542.08759861089i</v>
      </c>
      <c r="AD82" s="64">
        <f t="shared" si="54"/>
        <v>69.962116432881928</v>
      </c>
      <c r="AE82" s="61">
        <f t="shared" si="55"/>
        <v>-53.841944643656397</v>
      </c>
      <c r="AF82" s="31" t="str">
        <f t="shared" si="56"/>
        <v>-10.0808080808081</v>
      </c>
      <c r="AG82" s="31" t="str">
        <f t="shared" si="57"/>
        <v>274.270986348268i</v>
      </c>
      <c r="AH82" s="31">
        <f t="shared" si="58"/>
        <v>274.27098634826802</v>
      </c>
      <c r="AI82" s="31">
        <f t="shared" si="59"/>
        <v>1.5707963267948966</v>
      </c>
      <c r="AJ82" s="31" t="str">
        <f t="shared" si="39"/>
        <v>0.998561099294346+0.368273801396315i</v>
      </c>
      <c r="AK82" s="31">
        <f t="shared" si="60"/>
        <v>1.0643072215384173</v>
      </c>
      <c r="AL82" s="31">
        <f t="shared" si="61"/>
        <v>0.35332794403367535</v>
      </c>
      <c r="AM82" s="31" t="str">
        <f t="shared" si="40"/>
        <v>1+271.846869662528i</v>
      </c>
      <c r="AN82" s="31">
        <f t="shared" si="62"/>
        <v>271.84870892707119</v>
      </c>
      <c r="AO82" s="31">
        <f t="shared" si="63"/>
        <v>1.5671178018564926</v>
      </c>
      <c r="AP82" s="31" t="str">
        <f t="shared" si="41"/>
        <v>1+0.318593177742148i</v>
      </c>
      <c r="AQ82" s="31">
        <f t="shared" si="64"/>
        <v>1.0495244698928368</v>
      </c>
      <c r="AR82" s="31">
        <f t="shared" si="65"/>
        <v>0.30842627887947399</v>
      </c>
      <c r="AS82" s="58" t="str">
        <f t="shared" si="66"/>
        <v>-9.84137172438976+0.478472172047892i</v>
      </c>
      <c r="AT82" s="49">
        <f t="shared" si="67"/>
        <v>19.871366257591067</v>
      </c>
      <c r="AU82" s="61">
        <f t="shared" si="68"/>
        <v>177.21656013975056</v>
      </c>
      <c r="AV82" s="58" t="str">
        <f t="shared" si="42"/>
        <v>-17065.7082034546+25906.4726746769i</v>
      </c>
      <c r="AW82" s="64">
        <f t="shared" si="69"/>
        <v>89.833482690472977</v>
      </c>
      <c r="AX82" s="61">
        <f t="shared" si="70"/>
        <v>123.37461549609424</v>
      </c>
    </row>
    <row r="83" spans="14:50" x14ac:dyDescent="0.4">
      <c r="N83" s="10">
        <v>65</v>
      </c>
      <c r="O83" s="50">
        <f t="shared" si="43"/>
        <v>44.668359215096324</v>
      </c>
      <c r="P83" s="48" t="str">
        <f t="shared" ref="P83:P146" si="71">COMPLEX(Adc,0)</f>
        <v>5120.19230769231</v>
      </c>
      <c r="Q83" s="17" t="str">
        <f t="shared" ref="Q83:Q146" si="72">IMSUM(COMPLEX(1,0),IMDIV(COMPLEX(0,2*PI()*O83),COMPLEX(wp_lf,0)))</f>
        <v>1+1.31154379866953i</v>
      </c>
      <c r="R83" s="17">
        <f t="shared" si="45"/>
        <v>1.6492868567439991</v>
      </c>
      <c r="S83" s="17">
        <f t="shared" si="46"/>
        <v>0.91936824176662857</v>
      </c>
      <c r="T83" s="17" t="str">
        <f t="shared" ref="T83:T146" si="73">IMSUM(COMPLEX(1,0),IMDIV(COMPLEX(0,2*PI()*O83),COMPLEX(wz_esr,0)))</f>
        <v>1+2.80378918737797E-06i</v>
      </c>
      <c r="U83" s="17">
        <f t="shared" si="47"/>
        <v>1.0000000000039306</v>
      </c>
      <c r="V83" s="17">
        <f t="shared" si="48"/>
        <v>2.8037891873706227E-6</v>
      </c>
      <c r="W83" s="31" t="str">
        <f t="shared" ref="W83:W146" si="74">IMSUB(COMPLEX(1,0),IMDIV(COMPLEX(0,2*PI()*O83),COMPLEX(wz_rhp,0)))</f>
        <v>1-0.00454668516872103i</v>
      </c>
      <c r="X83" s="17">
        <f t="shared" si="49"/>
        <v>1.000010336119594</v>
      </c>
      <c r="Y83" s="17">
        <f t="shared" si="50"/>
        <v>-4.5466538388932703E-3</v>
      </c>
      <c r="Z83" s="31" t="str">
        <f t="shared" ref="Z83:Z146" si="75">IMSUM(COMPLEX(1,0),IMDIV(COMPLEX(0,2*PI()*O83),COMPLEX(Q*(wsl/2),0)),IMDIV(IMPOWER(COMPLEX(0,2*PI()*O83),2),IMPOWER(COMPLEX(wsl/2,0),2)))</f>
        <v>0.999999201895074+0.027682363754248i</v>
      </c>
      <c r="AA83" s="17">
        <f t="shared" si="51"/>
        <v>1.0003822854558189</v>
      </c>
      <c r="AB83" s="17">
        <f t="shared" si="52"/>
        <v>2.7675317959384382E-2</v>
      </c>
      <c r="AC83" s="66" t="str">
        <f t="shared" si="53"/>
        <v>1801.14775050091-2527.16263295732i</v>
      </c>
      <c r="AD83" s="64">
        <f t="shared" si="54"/>
        <v>69.836571417968088</v>
      </c>
      <c r="AE83" s="61">
        <f t="shared" si="55"/>
        <v>-54.521942417934611</v>
      </c>
      <c r="AF83" s="31" t="str">
        <f t="shared" ref="AF83:AF146" si="76">COMPLEX(Adc_ea_iso,0)</f>
        <v>-10.0808080808081</v>
      </c>
      <c r="AG83" s="31" t="str">
        <f t="shared" si="57"/>
        <v>280.659578316113i</v>
      </c>
      <c r="AH83" s="31">
        <f t="shared" si="58"/>
        <v>280.65957831611303</v>
      </c>
      <c r="AI83" s="31">
        <f t="shared" si="59"/>
        <v>1.5707963267948966</v>
      </c>
      <c r="AJ83" s="31" t="str">
        <f t="shared" ref="AJ83:AJ146" si="77">IMSUM(IMPRODUCT(COMPLEX(wpA_ea_iso,0),IMPOWER(COMPLEX(0,2*PI()*O83),2)),COMPLEX(0,wpB_ea_iso*2*PI()*O83),COMPLEX(1,0))</f>
        <v>0.998493285993299+0.376852000209443i</v>
      </c>
      <c r="AK83" s="31">
        <f t="shared" si="60"/>
        <v>1.0672423680849417</v>
      </c>
      <c r="AL83" s="31">
        <f t="shared" si="61"/>
        <v>0.36089120652761603</v>
      </c>
      <c r="AM83" s="31" t="str">
        <f t="shared" ref="AM83:AM146" si="78">IMSUM(COMPLEX(1,0),IMDIV(COMPLEX(0,2*PI()*O83),COMPLEX(wz1_ea_iso,0)))</f>
        <v>1+278.178996699125i</v>
      </c>
      <c r="AN83" s="31">
        <f t="shared" si="62"/>
        <v>278.18079409716944</v>
      </c>
      <c r="AO83" s="31">
        <f t="shared" si="63"/>
        <v>1.5672015345771093</v>
      </c>
      <c r="AP83" s="31" t="str">
        <f t="shared" ref="AP83:AP146" si="79">IMSUM(COMPLEX(1,0),IMDIV(COMPLEX(0,2*PI()*O83),COMPLEX(wz2_ea_iso,0)))</f>
        <v>1+0.326014166171997i</v>
      </c>
      <c r="AQ83" s="31">
        <f t="shared" si="64"/>
        <v>1.0518009491081584</v>
      </c>
      <c r="AR83" s="31">
        <f t="shared" si="65"/>
        <v>0.31514890407175228</v>
      </c>
      <c r="AS83" s="58" t="str">
        <f t="shared" si="66"/>
        <v>-9.83522586988214+0.485635570268312i</v>
      </c>
      <c r="AT83" s="49">
        <f t="shared" si="67"/>
        <v>19.866262428218686</v>
      </c>
      <c r="AU83" s="61">
        <f t="shared" si="68"/>
        <v>177.17319270176242</v>
      </c>
      <c r="AV83" s="58" t="str">
        <f t="shared" ref="AV83:AV146" si="80">IMPRODUCT(AC83,AS83)</f>
        <v>-16487.4148847896+25729.9167200133i</v>
      </c>
      <c r="AW83" s="64">
        <f t="shared" si="69"/>
        <v>89.702833846186763</v>
      </c>
      <c r="AX83" s="61">
        <f t="shared" si="70"/>
        <v>122.65125028382782</v>
      </c>
    </row>
    <row r="84" spans="14:50" x14ac:dyDescent="0.4">
      <c r="N84" s="10">
        <v>66</v>
      </c>
      <c r="O84" s="50">
        <f t="shared" ref="O84:O118" si="81">10^(1+(N84/100))</f>
        <v>45.70881896148753</v>
      </c>
      <c r="P84" s="48" t="str">
        <f t="shared" si="71"/>
        <v>5120.19230769231</v>
      </c>
      <c r="Q84" s="17" t="str">
        <f t="shared" si="72"/>
        <v>1+1.34209357824781i</v>
      </c>
      <c r="R84" s="17">
        <f t="shared" ref="R84:R147" si="82">IMABS(Q84)</f>
        <v>1.6736831159971743</v>
      </c>
      <c r="S84" s="17">
        <f t="shared" ref="S84:S147" si="83">IMARGUMENT(Q84)</f>
        <v>0.93043569037556839</v>
      </c>
      <c r="T84" s="17" t="str">
        <f t="shared" si="73"/>
        <v>1+2.86909782727643E-06i</v>
      </c>
      <c r="U84" s="17">
        <f t="shared" ref="U84:U147" si="84">IMABS(T84)</f>
        <v>1.0000000000041158</v>
      </c>
      <c r="V84" s="17">
        <f t="shared" ref="V84:V147" si="85">IMARGUMENT(T84)</f>
        <v>2.8690978272685573E-6</v>
      </c>
      <c r="W84" s="31" t="str">
        <f t="shared" si="74"/>
        <v>1-0.00465259107125907i</v>
      </c>
      <c r="X84" s="17">
        <f t="shared" ref="X84:X147" si="86">IMABS(W84)</f>
        <v>1.000010823243267</v>
      </c>
      <c r="Y84" s="17">
        <f t="shared" ref="Y84:Y147" si="87">IMARGUMENT(W84)</f>
        <v>-4.6525575007634185E-3</v>
      </c>
      <c r="Z84" s="31" t="str">
        <f t="shared" si="75"/>
        <v>0.999999164281548+0.0283271688394887i</v>
      </c>
      <c r="AA84" s="17">
        <f t="shared" ref="AA84:AA147" si="88">IMABS(Z84)</f>
        <v>1.0004002984097193</v>
      </c>
      <c r="AB84" s="17">
        <f t="shared" ref="AB84:AB147" si="89">IMARGUMENT(Z84)</f>
        <v>2.8319619297418681E-2</v>
      </c>
      <c r="AC84" s="66" t="str">
        <f t="shared" ref="AC84:AC147" si="90">(IMDIV(IMPRODUCT(P84,T84,W84),IMPRODUCT(Q84,Z84)))</f>
        <v>1745.31004651751-2511.0823121434i</v>
      </c>
      <c r="AD84" s="64">
        <f t="shared" ref="AD84:AD147" si="91">20*LOG(IMABS(AC84))</f>
        <v>69.708878512805526</v>
      </c>
      <c r="AE84" s="61">
        <f t="shared" ref="AE84:AE147" si="92">(180/PI())*IMARGUMENT(AC84)</f>
        <v>-55.199040351559596</v>
      </c>
      <c r="AF84" s="31" t="str">
        <f t="shared" si="76"/>
        <v>-10.0808080808081</v>
      </c>
      <c r="AG84" s="31" t="str">
        <f t="shared" ref="AG84:AG147" si="93">COMPLEX(0,1*2*PI()*O84)</f>
        <v>287.19697970735i</v>
      </c>
      <c r="AH84" s="31">
        <f t="shared" ref="AH84:AH147" si="94">IMABS(AG84)</f>
        <v>287.19697970735001</v>
      </c>
      <c r="AI84" s="31">
        <f t="shared" ref="AI84:AI147" si="95">IMARGUMENT(AG84)</f>
        <v>1.5707963267948966</v>
      </c>
      <c r="AJ84" s="31" t="str">
        <f t="shared" si="77"/>
        <v>0.998422276749836+0.385630010941308i</v>
      </c>
      <c r="AK84" s="31">
        <f t="shared" ref="AK84:AK147" si="96">IMABS(AJ84)</f>
        <v>1.0703072213383031</v>
      </c>
      <c r="AL84" s="31">
        <f t="shared" ref="AL84:AL147" si="97">IMARGUMENT(AJ84)</f>
        <v>0.3685877896778893</v>
      </c>
      <c r="AM84" s="31" t="str">
        <f t="shared" si="78"/>
        <v>1+284.658617921906i</v>
      </c>
      <c r="AN84" s="31">
        <f t="shared" ref="AN84:AN147" si="98">IMABS(AM84)</f>
        <v>284.66037440643134</v>
      </c>
      <c r="AO84" s="31">
        <f t="shared" ref="AO84:AO147" si="99">IMARGUMENT(AM84)</f>
        <v>1.5672833613570158</v>
      </c>
      <c r="AP84" s="31" t="str">
        <f t="shared" si="79"/>
        <v>1+0.333608011628058i</v>
      </c>
      <c r="AQ84" s="31">
        <f t="shared" ref="AQ84:AQ147" si="100">IMABS(AP84)</f>
        <v>1.0541794464997061</v>
      </c>
      <c r="AR84" s="31">
        <f t="shared" ref="AR84:AR147" si="101">IMARGUMENT(AP84)</f>
        <v>0.32199774448753349</v>
      </c>
      <c r="AS84" s="58" t="str">
        <f t="shared" ref="AS84:AS147" si="102">IMDIV(IMPRODUCT(AF84,AM84,AP84),IMPRODUCT(AG84,AJ84))</f>
        <v>-9.82886223641045+0.492868075625279i</v>
      </c>
      <c r="AT84" s="49">
        <f t="shared" ref="AT84:AT147" si="103">20*LOG(IMABS(AS84))</f>
        <v>19.860971668217037</v>
      </c>
      <c r="AU84" s="61">
        <f t="shared" ref="AU84:AU147" si="104">(180/PI())*IMARGUMENT(AS84)</f>
        <v>177.12930895010294</v>
      </c>
      <c r="AV84" s="58" t="str">
        <f t="shared" si="80"/>
        <v>-15916.7797001209+25541.2897143411i</v>
      </c>
      <c r="AW84" s="64">
        <f t="shared" ref="AW84:AW147" si="105">20*LOG(IMABS(AV84))</f>
        <v>89.569850181022574</v>
      </c>
      <c r="AX84" s="61">
        <f t="shared" ref="AX84:AX147" si="106">(180/PI())*IMARGUMENT(AV84)</f>
        <v>121.93026859854324</v>
      </c>
    </row>
    <row r="85" spans="14:50" x14ac:dyDescent="0.4">
      <c r="N85" s="10">
        <v>67</v>
      </c>
      <c r="O85" s="50">
        <f t="shared" si="81"/>
        <v>46.773514128719818</v>
      </c>
      <c r="P85" s="48" t="str">
        <f t="shared" si="71"/>
        <v>5120.19230769231</v>
      </c>
      <c r="Q85" s="17" t="str">
        <f t="shared" si="72"/>
        <v>1+1.37335495360598i</v>
      </c>
      <c r="R85" s="17">
        <f t="shared" si="82"/>
        <v>1.6988536807488994</v>
      </c>
      <c r="S85" s="17">
        <f t="shared" si="83"/>
        <v>0.94143049763802622</v>
      </c>
      <c r="T85" s="17" t="str">
        <f t="shared" si="73"/>
        <v>1+2.93592770081991E-06i</v>
      </c>
      <c r="U85" s="17">
        <f t="shared" si="84"/>
        <v>1.0000000000043099</v>
      </c>
      <c r="V85" s="17">
        <f t="shared" si="85"/>
        <v>2.9359277008114743E-6</v>
      </c>
      <c r="W85" s="31" t="str">
        <f t="shared" si="74"/>
        <v>1-0.00476096383916741i</v>
      </c>
      <c r="X85" s="17">
        <f t="shared" si="86"/>
        <v>1.0000113333241167</v>
      </c>
      <c r="Y85" s="17">
        <f t="shared" si="87"/>
        <v>-4.7609278677552512E-3</v>
      </c>
      <c r="Z85" s="31" t="str">
        <f t="shared" si="75"/>
        <v>0.99999912489535+0.0289869933646025i</v>
      </c>
      <c r="AA85" s="17">
        <f t="shared" si="88"/>
        <v>1.0004191599403649</v>
      </c>
      <c r="AB85" s="17">
        <f t="shared" si="89"/>
        <v>2.8978904067573211E-2</v>
      </c>
      <c r="AC85" s="66" t="str">
        <f t="shared" si="90"/>
        <v>1690.20316878767-2493.88511886059i</v>
      </c>
      <c r="AD85" s="64">
        <f t="shared" si="91"/>
        <v>69.579064372216919</v>
      </c>
      <c r="AE85" s="61">
        <f t="shared" si="92"/>
        <v>-55.872975974668527</v>
      </c>
      <c r="AF85" s="31" t="str">
        <f t="shared" si="76"/>
        <v>-10.0808080808081</v>
      </c>
      <c r="AG85" s="31" t="str">
        <f t="shared" si="93"/>
        <v>293.886656738729i</v>
      </c>
      <c r="AH85" s="31">
        <f t="shared" si="94"/>
        <v>293.88665673872902</v>
      </c>
      <c r="AI85" s="31">
        <f t="shared" si="95"/>
        <v>1.5707963267948966</v>
      </c>
      <c r="AJ85" s="31" t="str">
        <f t="shared" si="77"/>
        <v>0.998347920943829+0.394612487809391i</v>
      </c>
      <c r="AK85" s="31">
        <f t="shared" si="96"/>
        <v>1.0735071433334678</v>
      </c>
      <c r="AL85" s="31">
        <f t="shared" si="97"/>
        <v>0.37641825810511842</v>
      </c>
      <c r="AM85" s="31" t="str">
        <f t="shared" si="78"/>
        <v>1+291.28916891181i</v>
      </c>
      <c r="AN85" s="31">
        <f t="shared" si="98"/>
        <v>291.29088541410459</v>
      </c>
      <c r="AO85" s="31">
        <f t="shared" si="99"/>
        <v>1.5673633255774688</v>
      </c>
      <c r="AP85" s="31" t="str">
        <f t="shared" si="79"/>
        <v>1+0.341378740467708i</v>
      </c>
      <c r="AQ85" s="31">
        <f t="shared" si="100"/>
        <v>1.056664300732886</v>
      </c>
      <c r="AR85" s="31">
        <f t="shared" si="101"/>
        <v>0.32897386055196337</v>
      </c>
      <c r="AS85" s="58" t="str">
        <f t="shared" si="102"/>
        <v>-9.82227614923679+0.50016349432405i</v>
      </c>
      <c r="AT85" s="49">
        <f t="shared" si="103"/>
        <v>19.85548940760814</v>
      </c>
      <c r="AU85" s="61">
        <f t="shared" si="104"/>
        <v>177.08493977784161</v>
      </c>
      <c r="AV85" s="58" t="str">
        <f t="shared" si="80"/>
        <v>-15354.2919766555+25341.0062449394i</v>
      </c>
      <c r="AW85" s="64">
        <f t="shared" si="105"/>
        <v>89.43455377982508</v>
      </c>
      <c r="AX85" s="61">
        <f t="shared" si="106"/>
        <v>121.21196380317301</v>
      </c>
    </row>
    <row r="86" spans="14:50" x14ac:dyDescent="0.4">
      <c r="N86" s="10">
        <v>68</v>
      </c>
      <c r="O86" s="50">
        <f t="shared" si="81"/>
        <v>47.863009232263877</v>
      </c>
      <c r="P86" s="48" t="str">
        <f t="shared" si="71"/>
        <v>5120.19230769231</v>
      </c>
      <c r="Q86" s="17" t="str">
        <f t="shared" si="72"/>
        <v>1+1.40534449993906i</v>
      </c>
      <c r="R86" s="17">
        <f t="shared" si="82"/>
        <v>1.7248168492651521</v>
      </c>
      <c r="S86" s="17">
        <f t="shared" si="83"/>
        <v>0.95234786053866649</v>
      </c>
      <c r="T86" s="17" t="str">
        <f t="shared" si="73"/>
        <v>1+3.00431424209196E-06i</v>
      </c>
      <c r="U86" s="17">
        <f t="shared" si="84"/>
        <v>1.0000000000045128</v>
      </c>
      <c r="V86" s="17">
        <f t="shared" si="85"/>
        <v>3.0043142420829211E-6</v>
      </c>
      <c r="W86" s="31" t="str">
        <f t="shared" si="74"/>
        <v>1-0.00487186093312209i</v>
      </c>
      <c r="X86" s="17">
        <f t="shared" si="86"/>
        <v>1.0000118674440577</v>
      </c>
      <c r="Y86" s="17">
        <f t="shared" si="87"/>
        <v>-4.8718223890842289E-3</v>
      </c>
      <c r="Z86" s="31" t="str">
        <f t="shared" si="75"/>
        <v>0.999999083652939+0.0296621871772865i</v>
      </c>
      <c r="AA86" s="17">
        <f t="shared" si="88"/>
        <v>1.0004389100064321</v>
      </c>
      <c r="AB86" s="17">
        <f t="shared" si="89"/>
        <v>2.9653519544721691E-2</v>
      </c>
      <c r="AC86" s="66" t="str">
        <f t="shared" si="90"/>
        <v>1635.87013708827-2475.61156263029i</v>
      </c>
      <c r="AD86" s="64">
        <f t="shared" si="91"/>
        <v>69.44715732685566</v>
      </c>
      <c r="AE86" s="61">
        <f t="shared" si="92"/>
        <v>-56.543497281705825</v>
      </c>
      <c r="AF86" s="31" t="str">
        <f t="shared" si="76"/>
        <v>-10.0808080808081</v>
      </c>
      <c r="AG86" s="31" t="str">
        <f t="shared" si="93"/>
        <v>300.732156365561i</v>
      </c>
      <c r="AH86" s="31">
        <f t="shared" si="94"/>
        <v>300.73215636556102</v>
      </c>
      <c r="AI86" s="31">
        <f t="shared" si="95"/>
        <v>1.5707963267948966</v>
      </c>
      <c r="AJ86" s="31" t="str">
        <f t="shared" si="77"/>
        <v>0.998270060856646+0.403804193441825i</v>
      </c>
      <c r="AK86" s="31">
        <f t="shared" si="96"/>
        <v>1.0768476870216765</v>
      </c>
      <c r="AL86" s="31">
        <f t="shared" si="97"/>
        <v>0.38438306154379609</v>
      </c>
      <c r="AM86" s="31" t="str">
        <f t="shared" si="78"/>
        <v>1+298.074165274741i</v>
      </c>
      <c r="AN86" s="31">
        <f t="shared" si="98"/>
        <v>298.07584270489548</v>
      </c>
      <c r="AO86" s="31">
        <f t="shared" si="99"/>
        <v>1.5674414696324632</v>
      </c>
      <c r="AP86" s="31" t="str">
        <f t="shared" si="79"/>
        <v>1+0.349330472834236i</v>
      </c>
      <c r="AQ86" s="31">
        <f t="shared" si="100"/>
        <v>1.0592600149399538</v>
      </c>
      <c r="AR86" s="31">
        <f t="shared" si="101"/>
        <v>0.33607823418687688</v>
      </c>
      <c r="AS86" s="58" t="str">
        <f t="shared" si="102"/>
        <v>-9.81546308904234+0.507515279502578i</v>
      </c>
      <c r="AT86" s="49">
        <f t="shared" si="103"/>
        <v>19.849811160226608</v>
      </c>
      <c r="AU86" s="61">
        <f t="shared" si="104"/>
        <v>177.04011810606383</v>
      </c>
      <c r="AV86" s="58" t="str">
        <f t="shared" si="80"/>
        <v>-14800.4122549084+25129.5030056583i</v>
      </c>
      <c r="AW86" s="64">
        <f t="shared" si="105"/>
        <v>89.296968487082268</v>
      </c>
      <c r="AX86" s="61">
        <f t="shared" si="106"/>
        <v>120.49662082435798</v>
      </c>
    </row>
    <row r="87" spans="14:50" x14ac:dyDescent="0.4">
      <c r="N87" s="10">
        <v>69</v>
      </c>
      <c r="O87" s="50">
        <f t="shared" si="81"/>
        <v>48.977881936844632</v>
      </c>
      <c r="P87" s="48" t="str">
        <f t="shared" si="71"/>
        <v>5120.19230769231</v>
      </c>
      <c r="Q87" s="17" t="str">
        <f t="shared" si="72"/>
        <v>1+1.43807917852795i</v>
      </c>
      <c r="R87" s="17">
        <f t="shared" si="82"/>
        <v>1.7515911976587528</v>
      </c>
      <c r="S87" s="17">
        <f t="shared" si="83"/>
        <v>0.96318315801236321</v>
      </c>
      <c r="T87" s="17" t="str">
        <f t="shared" si="73"/>
        <v>1+3.07429371054197E-06i</v>
      </c>
      <c r="U87" s="17">
        <f t="shared" si="84"/>
        <v>1.0000000000047256</v>
      </c>
      <c r="V87" s="17">
        <f t="shared" si="85"/>
        <v>3.0742937105322846E-6</v>
      </c>
      <c r="W87" s="31" t="str">
        <f t="shared" si="74"/>
        <v>1-0.00498534115223022i</v>
      </c>
      <c r="X87" s="17">
        <f t="shared" si="86"/>
        <v>1.0000124267359902</v>
      </c>
      <c r="Y87" s="17">
        <f t="shared" si="87"/>
        <v>-4.9852998515772691E-3</v>
      </c>
      <c r="Z87" s="31" t="str">
        <f t="shared" si="75"/>
        <v>0.999999040466832+0.0303531082742373i</v>
      </c>
      <c r="AA87" s="17">
        <f t="shared" si="88"/>
        <v>1.000459590446557</v>
      </c>
      <c r="AB87" s="17">
        <f t="shared" si="89"/>
        <v>3.0343820969026672E-2</v>
      </c>
      <c r="AC87" s="66" t="str">
        <f t="shared" si="90"/>
        <v>1582.35115687139-2456.30395845413i</v>
      </c>
      <c r="AD87" s="64">
        <f t="shared" si="91"/>
        <v>69.313187277057565</v>
      </c>
      <c r="AE87" s="61">
        <f t="shared" si="92"/>
        <v>-57.210363225064455</v>
      </c>
      <c r="AF87" s="31" t="str">
        <f t="shared" si="76"/>
        <v>-10.0808080808081</v>
      </c>
      <c r="AG87" s="31" t="str">
        <f t="shared" si="93"/>
        <v>307.737108162359i</v>
      </c>
      <c r="AH87" s="31">
        <f t="shared" si="94"/>
        <v>307.73710816235899</v>
      </c>
      <c r="AI87" s="31">
        <f t="shared" si="95"/>
        <v>1.5707963267948966</v>
      </c>
      <c r="AJ87" s="31" t="str">
        <f t="shared" si="77"/>
        <v>0.998188531336604+0.413210001402601i</v>
      </c>
      <c r="AK87" s="31">
        <f t="shared" si="96"/>
        <v>1.080334600645126</v>
      </c>
      <c r="AL87" s="31">
        <f t="shared" si="97"/>
        <v>0.39248252805300621</v>
      </c>
      <c r="AM87" s="31" t="str">
        <f t="shared" si="78"/>
        <v>1+305.017204505578i</v>
      </c>
      <c r="AN87" s="31">
        <f t="shared" si="98"/>
        <v>305.01884375296811</v>
      </c>
      <c r="AO87" s="31">
        <f t="shared" si="99"/>
        <v>1.5675178349511918</v>
      </c>
      <c r="AP87" s="31" t="str">
        <f t="shared" si="79"/>
        <v>1+0.357467424841396i</v>
      </c>
      <c r="AQ87" s="31">
        <f t="shared" si="100"/>
        <v>1.0619712612979408</v>
      </c>
      <c r="AR87" s="31">
        <f t="shared" si="101"/>
        <v>0.34331176271893638</v>
      </c>
      <c r="AS87" s="58" t="str">
        <f t="shared" si="102"/>
        <v>-9.80841871724709+0.514916527934512i</v>
      </c>
      <c r="AT87" s="49">
        <f t="shared" si="103"/>
        <v>19.843932543625808</v>
      </c>
      <c r="AU87" s="61">
        <f t="shared" si="104"/>
        <v>176.99487892511735</v>
      </c>
      <c r="AV87" s="58" t="str">
        <f t="shared" si="80"/>
        <v>-14255.5711984759+24907.236485019i</v>
      </c>
      <c r="AW87" s="64">
        <f t="shared" si="105"/>
        <v>89.157119820683377</v>
      </c>
      <c r="AX87" s="61">
        <f t="shared" si="106"/>
        <v>119.78451570005281</v>
      </c>
    </row>
    <row r="88" spans="14:50" x14ac:dyDescent="0.4">
      <c r="N88" s="10">
        <v>70</v>
      </c>
      <c r="O88" s="50">
        <f t="shared" si="81"/>
        <v>50.118723362727238</v>
      </c>
      <c r="P88" s="48" t="str">
        <f t="shared" si="71"/>
        <v>5120.19230769231</v>
      </c>
      <c r="Q88" s="17" t="str">
        <f t="shared" si="72"/>
        <v>1+1.47157634573251i</v>
      </c>
      <c r="R88" s="17">
        <f t="shared" si="82"/>
        <v>1.7791955882700046</v>
      </c>
      <c r="S88" s="17">
        <f t="shared" si="83"/>
        <v>0.97393195837653002</v>
      </c>
      <c r="T88" s="17" t="str">
        <f t="shared" si="73"/>
        <v>1+3.14590321021039E-06i</v>
      </c>
      <c r="U88" s="17">
        <f t="shared" si="84"/>
        <v>1.0000000000049485</v>
      </c>
      <c r="V88" s="17">
        <f t="shared" si="85"/>
        <v>3.1459032102000122E-6</v>
      </c>
      <c r="W88" s="31" t="str">
        <f t="shared" si="74"/>
        <v>1-0.00510146466520603i</v>
      </c>
      <c r="X88" s="17">
        <f t="shared" si="86"/>
        <v>1.0000130123862041</v>
      </c>
      <c r="Y88" s="17">
        <f t="shared" si="87"/>
        <v>-5.1014204107901751E-3</v>
      </c>
      <c r="Z88" s="31" t="str">
        <f t="shared" si="75"/>
        <v>0.999998995245427+0.031060122990966i</v>
      </c>
      <c r="AA88" s="17">
        <f t="shared" si="88"/>
        <v>1.0004812450676313</v>
      </c>
      <c r="AB88" s="17">
        <f t="shared" si="89"/>
        <v>3.1050171722651475E-2</v>
      </c>
      <c r="AC88" s="66" t="str">
        <f t="shared" si="90"/>
        <v>1529.68354092467-2436.00620183165i</v>
      </c>
      <c r="AD88" s="64">
        <f t="shared" si="91"/>
        <v>69.177185583286061</v>
      </c>
      <c r="AE88" s="61">
        <f t="shared" si="92"/>
        <v>-57.873344152833887</v>
      </c>
      <c r="AF88" s="31" t="str">
        <f t="shared" si="76"/>
        <v>-10.0808080808081</v>
      </c>
      <c r="AG88" s="31" t="str">
        <f t="shared" si="93"/>
        <v>314.905226247286i</v>
      </c>
      <c r="AH88" s="31">
        <f t="shared" si="94"/>
        <v>314.90522624728601</v>
      </c>
      <c r="AI88" s="31">
        <f t="shared" si="95"/>
        <v>1.5707963267948966</v>
      </c>
      <c r="AJ88" s="31" t="str">
        <f t="shared" si="77"/>
        <v>0.998103159448658+0.422834898775602i</v>
      </c>
      <c r="AK88" s="31">
        <f t="shared" si="96"/>
        <v>1.083973832029153</v>
      </c>
      <c r="AL88" s="31">
        <f t="shared" si="97"/>
        <v>0.40071685718181982</v>
      </c>
      <c r="AM88" s="31" t="str">
        <f t="shared" si="78"/>
        <v>1+312.121967895623i</v>
      </c>
      <c r="AN88" s="31">
        <f t="shared" si="98"/>
        <v>312.12356982938081</v>
      </c>
      <c r="AO88" s="31">
        <f t="shared" si="99"/>
        <v>1.5675924620199926</v>
      </c>
      <c r="AP88" s="31" t="str">
        <f t="shared" si="79"/>
        <v>1+0.365793910808848i</v>
      </c>
      <c r="AQ88" s="31">
        <f t="shared" si="100"/>
        <v>1.0648028856012888</v>
      </c>
      <c r="AR88" s="31">
        <f t="shared" si="101"/>
        <v>0.35067525262043509</v>
      </c>
      <c r="AS88" s="58" t="str">
        <f t="shared" si="102"/>
        <v>-9.80113890249145+0.52235997832984i</v>
      </c>
      <c r="AT88" s="49">
        <f t="shared" si="103"/>
        <v>19.837849300154289</v>
      </c>
      <c r="AU88" s="61">
        <f t="shared" si="104"/>
        <v>176.94925932883746</v>
      </c>
      <c r="AV88" s="58" t="str">
        <f t="shared" si="80"/>
        <v>-13720.1687146575+24674.6806127715i</v>
      </c>
      <c r="AW88" s="64">
        <f t="shared" si="105"/>
        <v>89.015034883440336</v>
      </c>
      <c r="AX88" s="61">
        <f t="shared" si="106"/>
        <v>119.07591517600358</v>
      </c>
    </row>
    <row r="89" spans="14:50" x14ac:dyDescent="0.4">
      <c r="N89" s="10">
        <v>71</v>
      </c>
      <c r="O89" s="50">
        <f t="shared" si="81"/>
        <v>51.28613839913649</v>
      </c>
      <c r="P89" s="48" t="str">
        <f t="shared" si="71"/>
        <v>5120.19230769231</v>
      </c>
      <c r="Q89" s="17" t="str">
        <f t="shared" si="72"/>
        <v>1+1.5058537621942i</v>
      </c>
      <c r="R89" s="17">
        <f t="shared" si="82"/>
        <v>1.8076491786611764</v>
      </c>
      <c r="S89" s="17">
        <f t="shared" si="83"/>
        <v>0.98459002577236487</v>
      </c>
      <c r="T89" s="17" t="str">
        <f t="shared" si="73"/>
        <v>1+3.21918070940182E-06i</v>
      </c>
      <c r="U89" s="17">
        <f t="shared" si="84"/>
        <v>1.0000000000051816</v>
      </c>
      <c r="V89" s="17">
        <f t="shared" si="85"/>
        <v>3.2191807093906997E-6</v>
      </c>
      <c r="W89" s="31" t="str">
        <f t="shared" si="74"/>
        <v>1-0.00522029304227321i</v>
      </c>
      <c r="X89" s="17">
        <f t="shared" si="86"/>
        <v>1.0000136256368946</v>
      </c>
      <c r="Y89" s="17">
        <f t="shared" si="87"/>
        <v>-5.2202456228471758E-3</v>
      </c>
      <c r="Z89" s="31" t="str">
        <f t="shared" si="75"/>
        <v>0.999998947892803+0.0317836061960338i</v>
      </c>
      <c r="AA89" s="17">
        <f t="shared" si="88"/>
        <v>1.0005039197372179</v>
      </c>
      <c r="AB89" s="17">
        <f t="shared" si="89"/>
        <v>3.1772943509960391E-2</v>
      </c>
      <c r="AC89" s="66" t="str">
        <f t="shared" si="90"/>
        <v>1477.90165125163-2414.76354219366i</v>
      </c>
      <c r="AD89" s="64">
        <f t="shared" si="91"/>
        <v>69.03918495394214</v>
      </c>
      <c r="AE89" s="61">
        <f t="shared" si="92"/>
        <v>-58.532222190004397</v>
      </c>
      <c r="AF89" s="31" t="str">
        <f t="shared" si="76"/>
        <v>-10.0808080808081</v>
      </c>
      <c r="AG89" s="31" t="str">
        <f t="shared" si="93"/>
        <v>322.240311251433i</v>
      </c>
      <c r="AH89" s="31">
        <f t="shared" si="94"/>
        <v>322.24031125143301</v>
      </c>
      <c r="AI89" s="31">
        <f t="shared" si="95"/>
        <v>1.5707963267948966</v>
      </c>
      <c r="AJ89" s="31" t="str">
        <f t="shared" si="77"/>
        <v>0.998013764107589+0.432683988808816i</v>
      </c>
      <c r="AK89" s="31">
        <f t="shared" si="96"/>
        <v>1.0877715327768538</v>
      </c>
      <c r="AL89" s="31">
        <f t="shared" si="97"/>
        <v>0.40908611311967547</v>
      </c>
      <c r="AM89" s="31" t="str">
        <f t="shared" si="78"/>
        <v>1+319.392222484469i</v>
      </c>
      <c r="AN89" s="31">
        <f t="shared" si="98"/>
        <v>319.39378795394333</v>
      </c>
      <c r="AO89" s="31">
        <f t="shared" si="99"/>
        <v>1.5676653904037985</v>
      </c>
      <c r="AP89" s="31" t="str">
        <f t="shared" si="79"/>
        <v>1+0.374314345549665i</v>
      </c>
      <c r="AQ89" s="31">
        <f t="shared" si="100"/>
        <v>1.0677599118173868</v>
      </c>
      <c r="AR89" s="31">
        <f t="shared" si="101"/>
        <v>0.35816941309734918</v>
      </c>
      <c r="AS89" s="58" t="str">
        <f t="shared" si="102"/>
        <v>-9.79361974820175+0.529838011393131i</v>
      </c>
      <c r="AT89" s="49">
        <f t="shared" si="103"/>
        <v>19.831557319172024</v>
      </c>
      <c r="AU89" s="61">
        <f t="shared" si="104"/>
        <v>176.90329854085334</v>
      </c>
      <c r="AV89" s="58" t="str">
        <f t="shared" si="80"/>
        <v>-13194.5732844174+24432.3243859992i</v>
      </c>
      <c r="AW89" s="64">
        <f t="shared" si="105"/>
        <v>88.870742273114161</v>
      </c>
      <c r="AX89" s="61">
        <f t="shared" si="106"/>
        <v>118.37107635084897</v>
      </c>
    </row>
    <row r="90" spans="14:50" x14ac:dyDescent="0.4">
      <c r="N90" s="10">
        <v>72</v>
      </c>
      <c r="O90" s="50">
        <f t="shared" si="81"/>
        <v>52.480746024977286</v>
      </c>
      <c r="P90" s="48" t="str">
        <f t="shared" si="71"/>
        <v>5120.19230769231</v>
      </c>
      <c r="Q90" s="17" t="str">
        <f t="shared" si="72"/>
        <v>1+1.54092960225293i</v>
      </c>
      <c r="R90" s="17">
        <f t="shared" si="82"/>
        <v>1.836971431214806</v>
      </c>
      <c r="S90" s="17">
        <f t="shared" si="83"/>
        <v>0.99515332561233871</v>
      </c>
      <c r="T90" s="17" t="str">
        <f t="shared" si="73"/>
        <v>1+3.29416506081627E-06i</v>
      </c>
      <c r="U90" s="17">
        <f t="shared" si="84"/>
        <v>1.0000000000054259</v>
      </c>
      <c r="V90" s="17">
        <f t="shared" si="85"/>
        <v>3.2941650608043544E-6</v>
      </c>
      <c r="W90" s="31" t="str">
        <f t="shared" si="74"/>
        <v>1-0.00534188928781017i</v>
      </c>
      <c r="X90" s="17">
        <f t="shared" si="86"/>
        <v>1.0000142677887967</v>
      </c>
      <c r="Y90" s="17">
        <f t="shared" si="87"/>
        <v>-5.3418384770188834E-3</v>
      </c>
      <c r="Z90" s="31" t="str">
        <f t="shared" si="75"/>
        <v>0.999998898308519+0.0325239414898126i</v>
      </c>
      <c r="AA90" s="17">
        <f t="shared" si="88"/>
        <v>1.0005276624802957</v>
      </c>
      <c r="AB90" s="17">
        <f t="shared" si="89"/>
        <v>3.2512516541244769E-2</v>
      </c>
      <c r="AC90" s="66" t="str">
        <f t="shared" si="90"/>
        <v>1427.0368607941-2392.62235672139i</v>
      </c>
      <c r="AD90" s="64">
        <f t="shared" si="91"/>
        <v>68.89921933130347</v>
      </c>
      <c r="AE90" s="61">
        <f t="shared" si="92"/>
        <v>-59.186791562976715</v>
      </c>
      <c r="AF90" s="31" t="str">
        <f t="shared" si="76"/>
        <v>-10.0808080808081</v>
      </c>
      <c r="AG90" s="31" t="str">
        <f t="shared" si="93"/>
        <v>329.746252333961i</v>
      </c>
      <c r="AH90" s="31">
        <f t="shared" si="94"/>
        <v>329.74625233396102</v>
      </c>
      <c r="AI90" s="31">
        <f t="shared" si="95"/>
        <v>1.5707963267948966</v>
      </c>
      <c r="AJ90" s="31" t="str">
        <f t="shared" si="77"/>
        <v>0.997920155693893+0.442762493620145i</v>
      </c>
      <c r="AK90" s="31">
        <f t="shared" si="96"/>
        <v>1.0917340623507414</v>
      </c>
      <c r="AL90" s="31">
        <f t="shared" si="97"/>
        <v>0.41759021786501971</v>
      </c>
      <c r="AM90" s="31" t="str">
        <f t="shared" si="78"/>
        <v>1+326.831823057334i</v>
      </c>
      <c r="AN90" s="31">
        <f t="shared" si="98"/>
        <v>326.83335289254137</v>
      </c>
      <c r="AO90" s="31">
        <f t="shared" si="99"/>
        <v>1.5677366587670993</v>
      </c>
      <c r="AP90" s="31" t="str">
        <f t="shared" si="79"/>
        <v>1+0.383033246711129i</v>
      </c>
      <c r="AQ90" s="31">
        <f t="shared" si="100"/>
        <v>1.0708475466125271</v>
      </c>
      <c r="AR90" s="31">
        <f t="shared" si="101"/>
        <v>0.36579484954167613</v>
      </c>
      <c r="AS90" s="58" t="str">
        <f t="shared" si="102"/>
        <v>-9.78585762114704+0.537342651801469i</v>
      </c>
      <c r="AT90" s="49">
        <f t="shared" si="103"/>
        <v>19.825052660365756</v>
      </c>
      <c r="AU90" s="61">
        <f t="shared" si="104"/>
        <v>176.85703793204294</v>
      </c>
      <c r="AV90" s="58" t="str">
        <f t="shared" si="80"/>
        <v>-12679.1214979395+24180.6694950463i</v>
      </c>
      <c r="AW90" s="64">
        <f t="shared" si="105"/>
        <v>88.724271991669198</v>
      </c>
      <c r="AX90" s="61">
        <f t="shared" si="106"/>
        <v>117.67024636906619</v>
      </c>
    </row>
    <row r="91" spans="14:50" x14ac:dyDescent="0.4">
      <c r="N91" s="10">
        <v>73</v>
      </c>
      <c r="O91" s="50">
        <f t="shared" si="81"/>
        <v>53.703179637025293</v>
      </c>
      <c r="P91" s="48" t="str">
        <f t="shared" si="71"/>
        <v>5120.19230769231</v>
      </c>
      <c r="Q91" s="17" t="str">
        <f t="shared" si="72"/>
        <v>1+1.57682246358339i</v>
      </c>
      <c r="R91" s="17">
        <f t="shared" si="82"/>
        <v>1.8671821233241259</v>
      </c>
      <c r="S91" s="17">
        <f t="shared" si="83"/>
        <v>1.00561802903985</v>
      </c>
      <c r="T91" s="17" t="str">
        <f t="shared" si="73"/>
        <v>1+3.37089602214939E-06i</v>
      </c>
      <c r="U91" s="17">
        <f t="shared" si="84"/>
        <v>1.0000000000056815</v>
      </c>
      <c r="V91" s="17">
        <f t="shared" si="85"/>
        <v>3.3708960221366221E-6</v>
      </c>
      <c r="W91" s="31" t="str">
        <f t="shared" si="74"/>
        <v>1-0.00546631787375576i</v>
      </c>
      <c r="X91" s="17">
        <f t="shared" si="86"/>
        <v>1.0000149402039435</v>
      </c>
      <c r="Y91" s="17">
        <f t="shared" si="87"/>
        <v>-5.466263429055913E-3</v>
      </c>
      <c r="Z91" s="31" t="str">
        <f t="shared" si="75"/>
        <v>0.999998846387399+0.0332815214078745i</v>
      </c>
      <c r="AA91" s="17">
        <f t="shared" si="88"/>
        <v>1.0005525235805224</v>
      </c>
      <c r="AB91" s="17">
        <f t="shared" si="89"/>
        <v>3.3269279720008399E-2</v>
      </c>
      <c r="AC91" s="66" t="str">
        <f t="shared" si="90"/>
        <v>1377.11753441652-2369.62992641808i</v>
      </c>
      <c r="AD91" s="64">
        <f t="shared" si="91"/>
        <v>68.757323776334786</v>
      </c>
      <c r="AE91" s="61">
        <f t="shared" si="92"/>
        <v>-59.836858867720608</v>
      </c>
      <c r="AF91" s="31" t="str">
        <f t="shared" si="76"/>
        <v>-10.0808080808081</v>
      </c>
      <c r="AG91" s="31" t="str">
        <f t="shared" si="93"/>
        <v>337.427029244183i</v>
      </c>
      <c r="AH91" s="31">
        <f t="shared" si="94"/>
        <v>337.42702924418302</v>
      </c>
      <c r="AI91" s="31">
        <f t="shared" si="95"/>
        <v>1.5707963267948966</v>
      </c>
      <c r="AJ91" s="31" t="str">
        <f t="shared" si="77"/>
        <v>0.997822135651575+0.453075756966247i</v>
      </c>
      <c r="AK91" s="31">
        <f t="shared" si="96"/>
        <v>1.0958679920258678</v>
      </c>
      <c r="AL91" s="31">
        <f t="shared" si="97"/>
        <v>0.42622894444839277</v>
      </c>
      <c r="AM91" s="31" t="str">
        <f t="shared" si="78"/>
        <v>1+334.444714188912i</v>
      </c>
      <c r="AN91" s="31">
        <f t="shared" si="98"/>
        <v>334.446209200976</v>
      </c>
      <c r="AO91" s="31">
        <f t="shared" si="99"/>
        <v>1.5678063048944268</v>
      </c>
      <c r="AP91" s="31" t="str">
        <f t="shared" si="79"/>
        <v>1+0.391955237170043i</v>
      </c>
      <c r="AQ91" s="31">
        <f t="shared" si="100"/>
        <v>1.0740711838351427</v>
      </c>
      <c r="AR91" s="31">
        <f t="shared" si="101"/>
        <v>0.37355205686764492</v>
      </c>
      <c r="AS91" s="58" t="str">
        <f t="shared" si="102"/>
        <v>-9.7778491808713+0.54486557226185i</v>
      </c>
      <c r="AT91" s="49">
        <f t="shared" si="103"/>
        <v>19.818331578104647</v>
      </c>
      <c r="AU91" s="61">
        <f t="shared" si="104"/>
        <v>176.81052102818941</v>
      </c>
      <c r="AV91" s="58" t="str">
        <f t="shared" si="80"/>
        <v>-12174.1177899515+23920.2279684568i</v>
      </c>
      <c r="AW91" s="64">
        <f t="shared" si="105"/>
        <v>88.575655354439419</v>
      </c>
      <c r="AX91" s="61">
        <f t="shared" si="106"/>
        <v>116.97366216046883</v>
      </c>
    </row>
    <row r="92" spans="14:50" x14ac:dyDescent="0.4">
      <c r="N92" s="10">
        <v>74</v>
      </c>
      <c r="O92" s="50">
        <f t="shared" si="81"/>
        <v>54.95408738576247</v>
      </c>
      <c r="P92" s="48" t="str">
        <f t="shared" si="71"/>
        <v>5120.19230769231</v>
      </c>
      <c r="Q92" s="17" t="str">
        <f t="shared" si="72"/>
        <v>1+1.61355137705576i</v>
      </c>
      <c r="R92" s="17">
        <f t="shared" si="82"/>
        <v>1.8983013581616957</v>
      </c>
      <c r="S92" s="17">
        <f t="shared" si="83"/>
        <v>1.01598051641473</v>
      </c>
      <c r="T92" s="17" t="str">
        <f t="shared" si="73"/>
        <v>1+3.44941427717255E-06i</v>
      </c>
      <c r="U92" s="17">
        <f t="shared" si="84"/>
        <v>1.0000000000059492</v>
      </c>
      <c r="V92" s="17">
        <f t="shared" si="85"/>
        <v>3.449414277158869E-6</v>
      </c>
      <c r="W92" s="31" t="str">
        <f t="shared" si="74"/>
        <v>1-0.00559364477379331i</v>
      </c>
      <c r="X92" s="17">
        <f t="shared" si="86"/>
        <v>1.0000156443085555</v>
      </c>
      <c r="Y92" s="17">
        <f t="shared" si="87"/>
        <v>-5.5935864352956478E-3</v>
      </c>
      <c r="Z92" s="31" t="str">
        <f t="shared" si="75"/>
        <v>0.999998792019312+0.0340567476291199i</v>
      </c>
      <c r="AA92" s="17">
        <f t="shared" si="88"/>
        <v>1.0005785556862374</v>
      </c>
      <c r="AB92" s="17">
        <f t="shared" si="89"/>
        <v>3.4043630833845775E-2</v>
      </c>
      <c r="AC92" s="66" t="str">
        <f t="shared" si="90"/>
        <v>1328.16902839128-2345.83421617685i</v>
      </c>
      <c r="AD92" s="64">
        <f t="shared" si="91"/>
        <v>68.613534353088838</v>
      </c>
      <c r="AE92" s="61">
        <f t="shared" si="92"/>
        <v>-60.482243282370973</v>
      </c>
      <c r="AF92" s="31" t="str">
        <f t="shared" si="76"/>
        <v>-10.0808080808081</v>
      </c>
      <c r="AG92" s="31" t="str">
        <f t="shared" si="93"/>
        <v>345.286714431686i</v>
      </c>
      <c r="AH92" s="31">
        <f t="shared" si="94"/>
        <v>345.28671443168599</v>
      </c>
      <c r="AI92" s="31">
        <f t="shared" si="95"/>
        <v>1.5707963267948966</v>
      </c>
      <c r="AJ92" s="31" t="str">
        <f t="shared" si="77"/>
        <v>0.997719496066982+0.463629247075859i</v>
      </c>
      <c r="AK92" s="31">
        <f t="shared" si="96"/>
        <v>1.1001801086986986</v>
      </c>
      <c r="AL92" s="31">
        <f t="shared" si="97"/>
        <v>0.43500191024902246</v>
      </c>
      <c r="AM92" s="31" t="str">
        <f t="shared" si="78"/>
        <v>1+342.234932334854i</v>
      </c>
      <c r="AN92" s="31">
        <f t="shared" si="98"/>
        <v>342.23639331643574</v>
      </c>
      <c r="AO92" s="31">
        <f t="shared" si="99"/>
        <v>1.5678743657103755</v>
      </c>
      <c r="AP92" s="31" t="str">
        <f t="shared" si="79"/>
        <v>1+0.401085047483847i</v>
      </c>
      <c r="AQ92" s="31">
        <f t="shared" si="100"/>
        <v>1.0774364089425974</v>
      </c>
      <c r="AR92" s="31">
        <f t="shared" si="101"/>
        <v>0.38144141275409149</v>
      </c>
      <c r="AS92" s="58" t="str">
        <f t="shared" si="102"/>
        <v>-9.76959140986853+0.552398099805667i</v>
      </c>
      <c r="AT92" s="49">
        <f t="shared" si="103"/>
        <v>19.811390546764965</v>
      </c>
      <c r="AU92" s="61">
        <f t="shared" si="104"/>
        <v>176.76379350687492</v>
      </c>
      <c r="AV92" s="58" t="str">
        <f t="shared" si="80"/>
        <v>-11679.8343671497+23651.5198548411i</v>
      </c>
      <c r="AW92" s="64">
        <f t="shared" si="105"/>
        <v>88.424924899853806</v>
      </c>
      <c r="AX92" s="61">
        <f t="shared" si="106"/>
        <v>116.28155022450402</v>
      </c>
    </row>
    <row r="93" spans="14:50" x14ac:dyDescent="0.4">
      <c r="N93" s="10">
        <v>75</v>
      </c>
      <c r="O93" s="50">
        <f t="shared" si="81"/>
        <v>56.234132519034915</v>
      </c>
      <c r="P93" s="48" t="str">
        <f t="shared" si="71"/>
        <v>5120.19230769231</v>
      </c>
      <c r="Q93" s="17" t="str">
        <f t="shared" si="72"/>
        <v>1+1.65113581682612i</v>
      </c>
      <c r="R93" s="17">
        <f t="shared" si="82"/>
        <v>1.9303495760110547</v>
      </c>
      <c r="S93" s="17">
        <f t="shared" si="83"/>
        <v>1.0262373798457356</v>
      </c>
      <c r="T93" s="17" t="str">
        <f t="shared" si="73"/>
        <v>1+3.52976145730385E-06i</v>
      </c>
      <c r="U93" s="17">
        <f t="shared" si="84"/>
        <v>1.0000000000062297</v>
      </c>
      <c r="V93" s="17">
        <f t="shared" si="85"/>
        <v>3.5297614572891909E-6</v>
      </c>
      <c r="W93" s="31" t="str">
        <f t="shared" si="74"/>
        <v>1-0.00572393749833056i</v>
      </c>
      <c r="X93" s="17">
        <f t="shared" si="86"/>
        <v>1.0000163815960641</v>
      </c>
      <c r="Y93" s="17">
        <f t="shared" si="87"/>
        <v>-5.7238749875593827E-3</v>
      </c>
      <c r="Z93" s="31" t="str">
        <f t="shared" si="75"/>
        <v>0.999998735088936+0.0348500311887525i</v>
      </c>
      <c r="AA93" s="17">
        <f t="shared" si="88"/>
        <v>1.0006058139214109</v>
      </c>
      <c r="AB93" s="17">
        <f t="shared" si="89"/>
        <v>3.4835976748940685E-2</v>
      </c>
      <c r="AC93" s="66" t="str">
        <f t="shared" si="90"/>
        <v>1280.21370746452-2321.28366044812i</v>
      </c>
      <c r="AD93" s="64">
        <f t="shared" si="91"/>
        <v>68.467888013383785</v>
      </c>
      <c r="AE93" s="61">
        <f t="shared" si="92"/>
        <v>-61.122776725468228</v>
      </c>
      <c r="AF93" s="31" t="str">
        <f t="shared" si="76"/>
        <v>-10.0808080808081</v>
      </c>
      <c r="AG93" s="31" t="str">
        <f t="shared" si="93"/>
        <v>353.32947520559i</v>
      </c>
      <c r="AH93" s="31">
        <f t="shared" si="94"/>
        <v>353.32947520558997</v>
      </c>
      <c r="AI93" s="31">
        <f t="shared" si="95"/>
        <v>1.5707963267948966</v>
      </c>
      <c r="AJ93" s="31" t="str">
        <f t="shared" si="77"/>
        <v>0.997612019227794+0.474428559549128i</v>
      </c>
      <c r="AK93" s="31">
        <f t="shared" si="96"/>
        <v>1.1046774185361157</v>
      </c>
      <c r="AL93" s="31">
        <f t="shared" si="97"/>
        <v>0.44390857044683019</v>
      </c>
      <c r="AM93" s="31" t="str">
        <f t="shared" si="78"/>
        <v>1+350.206607971934i</v>
      </c>
      <c r="AN93" s="31">
        <f t="shared" si="98"/>
        <v>350.20803569765189</v>
      </c>
      <c r="AO93" s="31">
        <f t="shared" si="99"/>
        <v>1.5679408772991672</v>
      </c>
      <c r="AP93" s="31" t="str">
        <f t="shared" si="79"/>
        <v>1+0.410427518398814i</v>
      </c>
      <c r="AQ93" s="31">
        <f t="shared" si="100"/>
        <v>1.0809490033572391</v>
      </c>
      <c r="AR93" s="31">
        <f t="shared" si="101"/>
        <v>0.389463170818037</v>
      </c>
      <c r="AS93" s="58" t="str">
        <f t="shared" si="102"/>
        <v>-9.76108164434343+0.559931224471515i</v>
      </c>
      <c r="AT93" s="49">
        <f t="shared" si="103"/>
        <v>19.804226286932384</v>
      </c>
      <c r="AU93" s="61">
        <f t="shared" si="104"/>
        <v>176.71690318264891</v>
      </c>
      <c r="AV93" s="58" t="str">
        <f t="shared" si="80"/>
        <v>-11196.5113184283+23375.0709581203i</v>
      </c>
      <c r="AW93" s="64">
        <f t="shared" si="105"/>
        <v>88.272114300316176</v>
      </c>
      <c r="AX93" s="61">
        <f t="shared" si="106"/>
        <v>115.59412645718058</v>
      </c>
    </row>
    <row r="94" spans="14:50" x14ac:dyDescent="0.4">
      <c r="N94" s="10">
        <v>76</v>
      </c>
      <c r="O94" s="50">
        <f t="shared" si="81"/>
        <v>57.543993733715695</v>
      </c>
      <c r="P94" s="48" t="str">
        <f t="shared" si="71"/>
        <v>5120.19230769231</v>
      </c>
      <c r="Q94" s="17" t="str">
        <f t="shared" si="72"/>
        <v>1+1.68959571066193i</v>
      </c>
      <c r="R94" s="17">
        <f t="shared" si="82"/>
        <v>1.9633475661449227</v>
      </c>
      <c r="S94" s="17">
        <f t="shared" si="83"/>
        <v>1.036385424797833</v>
      </c>
      <c r="T94" s="17" t="str">
        <f t="shared" si="73"/>
        <v>1+3.61198016368173E-06i</v>
      </c>
      <c r="U94" s="17">
        <f t="shared" si="84"/>
        <v>1.0000000000065232</v>
      </c>
      <c r="V94" s="17">
        <f t="shared" si="85"/>
        <v>3.611980163666022E-6</v>
      </c>
      <c r="W94" s="31" t="str">
        <f t="shared" si="74"/>
        <v>1-0.00585726513029469i</v>
      </c>
      <c r="X94" s="17">
        <f t="shared" si="86"/>
        <v>1.0000171536302798</v>
      </c>
      <c r="Y94" s="17">
        <f t="shared" si="87"/>
        <v>-5.8571981488586417E-3</v>
      </c>
      <c r="Z94" s="31" t="str">
        <f t="shared" si="75"/>
        <v>0.999998675475514+0.0356617926962162i</v>
      </c>
      <c r="AA94" s="17">
        <f t="shared" si="88"/>
        <v>1.0006343560017767</v>
      </c>
      <c r="AB94" s="17">
        <f t="shared" si="89"/>
        <v>3.5646733608212973E-2</v>
      </c>
      <c r="AC94" s="66" t="str">
        <f t="shared" si="90"/>
        <v>1233.27097844429-2296.02695595634i</v>
      </c>
      <c r="AD94" s="64">
        <f t="shared" si="91"/>
        <v>68.320422482405007</v>
      </c>
      <c r="AE94" s="61">
        <f t="shared" si="92"/>
        <v>-61.758303961448931</v>
      </c>
      <c r="AF94" s="31" t="str">
        <f t="shared" si="76"/>
        <v>-10.0808080808081</v>
      </c>
      <c r="AG94" s="31" t="str">
        <f t="shared" si="93"/>
        <v>361.559575944117i</v>
      </c>
      <c r="AH94" s="31">
        <f t="shared" si="94"/>
        <v>361.559575944117</v>
      </c>
      <c r="AI94" s="31">
        <f t="shared" si="95"/>
        <v>1.5707963267948966</v>
      </c>
      <c r="AJ94" s="31" t="str">
        <f t="shared" si="77"/>
        <v>0.997499477161227+0.485479420324475i</v>
      </c>
      <c r="AK94" s="31">
        <f t="shared" si="96"/>
        <v>1.109367150449079</v>
      </c>
      <c r="AL94" s="31">
        <f t="shared" si="97"/>
        <v>0.45294821165441307</v>
      </c>
      <c r="AM94" s="31" t="str">
        <f t="shared" si="78"/>
        <v>1+358.363967788094i</v>
      </c>
      <c r="AN94" s="31">
        <f t="shared" si="98"/>
        <v>358.36536301493487</v>
      </c>
      <c r="AO94" s="31">
        <f t="shared" si="99"/>
        <v>1.5680058749237715</v>
      </c>
      <c r="AP94" s="31" t="str">
        <f t="shared" si="79"/>
        <v>1+0.419987603416687i</v>
      </c>
      <c r="AQ94" s="31">
        <f t="shared" si="100"/>
        <v>1.0846149487369665</v>
      </c>
      <c r="AR94" s="31">
        <f t="shared" si="101"/>
        <v>0.39761745374741142</v>
      </c>
      <c r="AS94" s="58" t="str">
        <f t="shared" si="102"/>
        <v>-9.75231760538175+0.567455610519447i</v>
      </c>
      <c r="AT94" s="49">
        <f t="shared" si="103"/>
        <v>19.796835792375273</v>
      </c>
      <c r="AU94" s="61">
        <f t="shared" si="104"/>
        <v>176.66989997951887</v>
      </c>
      <c r="AV94" s="58" t="str">
        <f t="shared" si="80"/>
        <v>-10724.3568972273+23091.4106410131i</v>
      </c>
      <c r="AW94" s="64">
        <f t="shared" si="105"/>
        <v>88.117258274780284</v>
      </c>
      <c r="AX94" s="61">
        <f t="shared" si="106"/>
        <v>114.9115960180699</v>
      </c>
    </row>
    <row r="95" spans="14:50" x14ac:dyDescent="0.4">
      <c r="N95" s="10">
        <v>77</v>
      </c>
      <c r="O95" s="50">
        <f t="shared" si="81"/>
        <v>58.884365535558949</v>
      </c>
      <c r="P95" s="48" t="str">
        <f t="shared" si="71"/>
        <v>5120.19230769231</v>
      </c>
      <c r="Q95" s="17" t="str">
        <f t="shared" si="72"/>
        <v>1+1.72895145050798i</v>
      </c>
      <c r="R95" s="17">
        <f t="shared" si="82"/>
        <v>1.9973164792324847</v>
      </c>
      <c r="S95" s="17">
        <f t="shared" si="83"/>
        <v>1.0464216708080645</v>
      </c>
      <c r="T95" s="17" t="str">
        <f t="shared" si="73"/>
        <v>1+3.69611398975261E-06i</v>
      </c>
      <c r="U95" s="17">
        <f t="shared" si="84"/>
        <v>1.0000000000068305</v>
      </c>
      <c r="V95" s="17">
        <f t="shared" si="85"/>
        <v>3.6961139897357784E-6</v>
      </c>
      <c r="W95" s="31" t="str">
        <f t="shared" si="74"/>
        <v>1-0.00599369836176098i</v>
      </c>
      <c r="X95" s="17">
        <f t="shared" si="86"/>
        <v>1.0000179620487084</v>
      </c>
      <c r="Y95" s="17">
        <f t="shared" si="87"/>
        <v>-5.9936265899287865E-3</v>
      </c>
      <c r="Z95" s="31" t="str">
        <f t="shared" si="75"/>
        <v>0.999998613052598+0.036492462558207i</v>
      </c>
      <c r="AA95" s="17">
        <f t="shared" si="88"/>
        <v>1.0006642423563867</v>
      </c>
      <c r="AB95" s="17">
        <f t="shared" si="89"/>
        <v>3.6476327033133638E-2</v>
      </c>
      <c r="AC95" s="66" t="str">
        <f t="shared" si="90"/>
        <v>1187.35733914098-2270.11286275216i</v>
      </c>
      <c r="AD95" s="64">
        <f t="shared" si="91"/>
        <v>68.171176145837023</v>
      </c>
      <c r="AE95" s="61">
        <f t="shared" si="92"/>
        <v>-62.388682655315677</v>
      </c>
      <c r="AF95" s="31" t="str">
        <f t="shared" si="76"/>
        <v>-10.0808080808081</v>
      </c>
      <c r="AG95" s="31" t="str">
        <f t="shared" si="93"/>
        <v>369.981380355616i</v>
      </c>
      <c r="AH95" s="31">
        <f t="shared" si="94"/>
        <v>369.98138035561601</v>
      </c>
      <c r="AI95" s="31">
        <f t="shared" si="95"/>
        <v>1.5707963267948966</v>
      </c>
      <c r="AJ95" s="31" t="str">
        <f t="shared" si="77"/>
        <v>0.997381631150467+0.496787688714559i</v>
      </c>
      <c r="AK95" s="31">
        <f t="shared" si="96"/>
        <v>1.114256759375827</v>
      </c>
      <c r="AL95" s="31">
        <f t="shared" si="97"/>
        <v>0.46211994577608145</v>
      </c>
      <c r="AM95" s="31" t="str">
        <f t="shared" si="78"/>
        <v>1+366.711336923482i</v>
      </c>
      <c r="AN95" s="31">
        <f t="shared" si="98"/>
        <v>366.71270039120208</v>
      </c>
      <c r="AO95" s="31">
        <f t="shared" si="99"/>
        <v>1.5680693930445913</v>
      </c>
      <c r="AP95" s="31" t="str">
        <f t="shared" si="79"/>
        <v>1+0.429770371421084i</v>
      </c>
      <c r="AQ95" s="31">
        <f t="shared" si="100"/>
        <v>1.0884404311451392</v>
      </c>
      <c r="AR95" s="31">
        <f t="shared" si="101"/>
        <v>0.4059042464237147</v>
      </c>
      <c r="AS95" s="58" t="str">
        <f t="shared" si="102"/>
        <v>-9.74329743033128+0.574961610309788i</v>
      </c>
      <c r="AT95" s="49">
        <f t="shared" si="103"/>
        <v>19.789216357662642</v>
      </c>
      <c r="AU95" s="61">
        <f t="shared" si="104"/>
        <v>176.62283588982882</v>
      </c>
      <c r="AV95" s="58" t="str">
        <f t="shared" si="80"/>
        <v>-10263.5479641844+22801.0697099407i</v>
      </c>
      <c r="AW95" s="64">
        <f t="shared" si="105"/>
        <v>87.960392503499648</v>
      </c>
      <c r="AX95" s="61">
        <f t="shared" si="106"/>
        <v>114.23415323451329</v>
      </c>
    </row>
    <row r="96" spans="14:50" x14ac:dyDescent="0.4">
      <c r="N96" s="10">
        <v>78</v>
      </c>
      <c r="O96" s="50">
        <f t="shared" si="81"/>
        <v>60.255958607435822</v>
      </c>
      <c r="P96" s="48" t="str">
        <f t="shared" si="71"/>
        <v>5120.19230769231</v>
      </c>
      <c r="Q96" s="17" t="str">
        <f t="shared" si="72"/>
        <v>1+1.76922390329846i</v>
      </c>
      <c r="R96" s="17">
        <f t="shared" si="82"/>
        <v>2.0322778402577333</v>
      </c>
      <c r="S96" s="17">
        <f t="shared" si="83"/>
        <v>1.0563433513490881</v>
      </c>
      <c r="T96" s="17" t="str">
        <f t="shared" si="73"/>
        <v>1+0.0000037822075443847i</v>
      </c>
      <c r="U96" s="17">
        <f t="shared" si="84"/>
        <v>1.0000000000071525</v>
      </c>
      <c r="V96" s="17">
        <f t="shared" si="85"/>
        <v>3.7822075443666651E-6</v>
      </c>
      <c r="W96" s="31" t="str">
        <f t="shared" si="74"/>
        <v>1-0.00613330953143464i</v>
      </c>
      <c r="X96" s="17">
        <f t="shared" si="86"/>
        <v>1.0000188085660231</v>
      </c>
      <c r="Y96" s="17">
        <f t="shared" si="87"/>
        <v>-6.1332326266089936E-3</v>
      </c>
      <c r="Z96" s="31" t="str">
        <f t="shared" si="75"/>
        <v>0.999998547687781+0.0373424812068811i</v>
      </c>
      <c r="AA96" s="17">
        <f t="shared" si="88"/>
        <v>1.000695536254838</v>
      </c>
      <c r="AB96" s="17">
        <f t="shared" si="89"/>
        <v>3.7325192329230046E-2</v>
      </c>
      <c r="AC96" s="66" t="str">
        <f t="shared" si="90"/>
        <v>1142.48644139991-2243.59001471668i</v>
      </c>
      <c r="AD96" s="64">
        <f t="shared" si="91"/>
        <v>68.020187939085034</v>
      </c>
      <c r="AE96" s="61">
        <f t="shared" si="92"/>
        <v>-63.013783378733983</v>
      </c>
      <c r="AF96" s="31" t="str">
        <f t="shared" si="76"/>
        <v>-10.0808080808081</v>
      </c>
      <c r="AG96" s="31" t="str">
        <f t="shared" si="93"/>
        <v>378.599353792262i</v>
      </c>
      <c r="AH96" s="31">
        <f t="shared" si="94"/>
        <v>378.59935379226198</v>
      </c>
      <c r="AI96" s="31">
        <f t="shared" si="95"/>
        <v>1.5707963267948966</v>
      </c>
      <c r="AJ96" s="31" t="str">
        <f t="shared" si="77"/>
        <v>0.997258231228327+0.508359360512961i</v>
      </c>
      <c r="AK96" s="31">
        <f t="shared" si="96"/>
        <v>1.1193539293600563</v>
      </c>
      <c r="AL96" s="31">
        <f t="shared" si="97"/>
        <v>0.47142270414332293</v>
      </c>
      <c r="AM96" s="31" t="str">
        <f t="shared" si="78"/>
        <v>1+375.253141263706i</v>
      </c>
      <c r="AN96" s="31">
        <f t="shared" si="98"/>
        <v>375.25447369522311</v>
      </c>
      <c r="AO96" s="31">
        <f t="shared" si="99"/>
        <v>1.5681314653377239</v>
      </c>
      <c r="AP96" s="31" t="str">
        <f t="shared" si="79"/>
        <v>1+0.439781009365092i</v>
      </c>
      <c r="AQ96" s="31">
        <f t="shared" si="100"/>
        <v>1.0924318451043888</v>
      </c>
      <c r="AR96" s="31">
        <f t="shared" si="101"/>
        <v>0.41432338906839966</v>
      </c>
      <c r="AS96" s="58" t="str">
        <f t="shared" si="102"/>
        <v>-9.73401970417255+0.582439280964231i</v>
      </c>
      <c r="AT96" s="49">
        <f t="shared" si="103"/>
        <v>19.781365606280879</v>
      </c>
      <c r="AU96" s="61">
        <f t="shared" si="104"/>
        <v>176.57576491863608</v>
      </c>
      <c r="AV96" s="58" t="str">
        <f t="shared" si="80"/>
        <v>-9814.23057738659+22504.5783927773i</v>
      </c>
      <c r="AW96" s="64">
        <f t="shared" si="105"/>
        <v>87.801553545365906</v>
      </c>
      <c r="AX96" s="61">
        <f t="shared" si="106"/>
        <v>113.56198153990208</v>
      </c>
    </row>
    <row r="97" spans="14:50" x14ac:dyDescent="0.4">
      <c r="N97" s="10">
        <v>79</v>
      </c>
      <c r="O97" s="50">
        <f t="shared" si="81"/>
        <v>61.659500186148257</v>
      </c>
      <c r="P97" s="48" t="str">
        <f t="shared" si="71"/>
        <v>5120.19230769231</v>
      </c>
      <c r="Q97" s="17" t="str">
        <f t="shared" si="72"/>
        <v>1+1.81043442202091i</v>
      </c>
      <c r="R97" s="17">
        <f t="shared" si="82"/>
        <v>2.0682535619304967</v>
      </c>
      <c r="S97" s="17">
        <f t="shared" si="83"/>
        <v>1.0661479128839959</v>
      </c>
      <c r="T97" s="17" t="str">
        <f t="shared" si="73"/>
        <v>1+3.87030647552027E-06i</v>
      </c>
      <c r="U97" s="17">
        <f t="shared" si="84"/>
        <v>1.0000000000074896</v>
      </c>
      <c r="V97" s="17">
        <f t="shared" si="85"/>
        <v>3.8703064755009454E-6</v>
      </c>
      <c r="W97" s="31" t="str">
        <f t="shared" si="74"/>
        <v>1-0.00627617266300583i</v>
      </c>
      <c r="X97" s="17">
        <f t="shared" si="86"/>
        <v>1.0000196949777018</v>
      </c>
      <c r="Y97" s="17">
        <f t="shared" si="87"/>
        <v>-6.2760902580881357E-3</v>
      </c>
      <c r="Z97" s="31" t="str">
        <f t="shared" si="75"/>
        <v>0.999998479242415+0.0382122993333772i</v>
      </c>
      <c r="AA97" s="17">
        <f t="shared" si="88"/>
        <v>1.0007283039404282</v>
      </c>
      <c r="AB97" s="17">
        <f t="shared" si="89"/>
        <v>3.8193774695292525E-2</v>
      </c>
      <c r="AC97" s="66" t="str">
        <f t="shared" si="90"/>
        <v>1098.66916690054-2216.50674046147i</v>
      </c>
      <c r="AD97" s="64">
        <f t="shared" si="91"/>
        <v>67.867497239095329</v>
      </c>
      <c r="AE97" s="61">
        <f t="shared" si="92"/>
        <v>-63.633489570053264</v>
      </c>
      <c r="AF97" s="31" t="str">
        <f t="shared" si="76"/>
        <v>-10.0808080808081</v>
      </c>
      <c r="AG97" s="31" t="str">
        <f t="shared" si="93"/>
        <v>387.418065617644i</v>
      </c>
      <c r="AH97" s="31">
        <f t="shared" si="94"/>
        <v>387.418065617644</v>
      </c>
      <c r="AI97" s="31">
        <f t="shared" si="95"/>
        <v>1.5707963267948966</v>
      </c>
      <c r="AJ97" s="31" t="str">
        <f t="shared" si="77"/>
        <v>0.997129015647027+0.520200571173238i</v>
      </c>
      <c r="AK97" s="31">
        <f t="shared" si="96"/>
        <v>1.1246665764101698</v>
      </c>
      <c r="AL97" s="31">
        <f t="shared" si="97"/>
        <v>0.48085523197808056</v>
      </c>
      <c r="AM97" s="31" t="str">
        <f t="shared" si="78"/>
        <v>1+383.99390978649i</v>
      </c>
      <c r="AN97" s="31">
        <f t="shared" si="98"/>
        <v>383.99521188826691</v>
      </c>
      <c r="AO97" s="31">
        <f t="shared" si="99"/>
        <v>1.5681921247128059</v>
      </c>
      <c r="AP97" s="31" t="str">
        <f t="shared" si="79"/>
        <v>1+0.450024825021456i</v>
      </c>
      <c r="AQ97" s="31">
        <f t="shared" si="100"/>
        <v>1.0965957975186629</v>
      </c>
      <c r="AR97" s="31">
        <f t="shared" si="101"/>
        <v>0.42287457044963883</v>
      </c>
      <c r="AS97" s="58" t="str">
        <f t="shared" si="102"/>
        <v>-9.72448349063817+0.589878403911604i</v>
      </c>
      <c r="AT97" s="49">
        <f t="shared" si="103"/>
        <v>19.773281519084801</v>
      </c>
      <c r="AU97" s="61">
        <f t="shared" si="104"/>
        <v>176.52874301274076</v>
      </c>
      <c r="AV97" s="58" t="str">
        <f t="shared" si="80"/>
        <v>-9376.52071687477+22202.464419104i</v>
      </c>
      <c r="AW97" s="64">
        <f t="shared" si="105"/>
        <v>87.640778758180147</v>
      </c>
      <c r="AX97" s="61">
        <f t="shared" si="106"/>
        <v>112.89525344268749</v>
      </c>
    </row>
    <row r="98" spans="14:50" x14ac:dyDescent="0.4">
      <c r="N98" s="10">
        <v>80</v>
      </c>
      <c r="O98" s="50">
        <f t="shared" si="81"/>
        <v>63.095734448019364</v>
      </c>
      <c r="P98" s="48" t="str">
        <f t="shared" si="71"/>
        <v>5120.19230769231</v>
      </c>
      <c r="Q98" s="17" t="str">
        <f t="shared" si="72"/>
        <v>1+1.85260485703786i</v>
      </c>
      <c r="R98" s="17">
        <f t="shared" si="82"/>
        <v>2.1052659585715694</v>
      </c>
      <c r="S98" s="17">
        <f t="shared" si="83"/>
        <v>1.0758330131597604</v>
      </c>
      <c r="T98" s="17" t="str">
        <f t="shared" si="73"/>
        <v>1+3.96045749437871E-06i</v>
      </c>
      <c r="U98" s="17">
        <f t="shared" si="84"/>
        <v>1.0000000000078426</v>
      </c>
      <c r="V98" s="17">
        <f t="shared" si="85"/>
        <v>3.9604574943580033E-6</v>
      </c>
      <c r="W98" s="31" t="str">
        <f t="shared" si="74"/>
        <v>1-0.0064223635043979i</v>
      </c>
      <c r="X98" s="17">
        <f t="shared" si="86"/>
        <v>1.000020623163834</v>
      </c>
      <c r="Y98" s="17">
        <f t="shared" si="87"/>
        <v>-6.4222752060360917E-3</v>
      </c>
      <c r="Z98" s="31" t="str">
        <f t="shared" si="75"/>
        <v>0.999998407571318+0.0391023781267793i</v>
      </c>
      <c r="AA98" s="17">
        <f t="shared" si="88"/>
        <v>1.0007626147695274</v>
      </c>
      <c r="AB98" s="17">
        <f t="shared" si="89"/>
        <v>3.9082529436294859E-2</v>
      </c>
      <c r="AC98" s="66" t="str">
        <f t="shared" si="90"/>
        <v>1055.9137143536-2188.91089539598i</v>
      </c>
      <c r="AD98" s="64">
        <f t="shared" si="91"/>
        <v>67.71314375923285</v>
      </c>
      <c r="AE98" s="61">
        <f t="shared" si="92"/>
        <v>-64.24769745097008</v>
      </c>
      <c r="AF98" s="31" t="str">
        <f t="shared" si="76"/>
        <v>-10.0808080808081</v>
      </c>
      <c r="AG98" s="31" t="str">
        <f t="shared" si="93"/>
        <v>396.4421916295i</v>
      </c>
      <c r="AH98" s="31">
        <f t="shared" si="94"/>
        <v>396.44219162949997</v>
      </c>
      <c r="AI98" s="31">
        <f t="shared" si="95"/>
        <v>1.5707963267948966</v>
      </c>
      <c r="AJ98" s="31" t="str">
        <f t="shared" si="77"/>
        <v>0.996993710322994+0.53231759906202i</v>
      </c>
      <c r="AK98" s="31">
        <f t="shared" si="96"/>
        <v>1.1302028511266302</v>
      </c>
      <c r="AL98" s="31">
        <f t="shared" si="97"/>
        <v>0.49041608323687336</v>
      </c>
      <c r="AM98" s="31" t="str">
        <f t="shared" si="78"/>
        <v>1+392.938276963003i</v>
      </c>
      <c r="AN98" s="31">
        <f t="shared" si="98"/>
        <v>392.93954942542194</v>
      </c>
      <c r="AO98" s="31">
        <f t="shared" si="99"/>
        <v>1.5682514033304544</v>
      </c>
      <c r="AP98" s="31" t="str">
        <f t="shared" si="79"/>
        <v>1+0.460507249796827i</v>
      </c>
      <c r="AQ98" s="31">
        <f t="shared" si="100"/>
        <v>1.1009391114477844</v>
      </c>
      <c r="AR98" s="31">
        <f t="shared" si="101"/>
        <v>0.43155732118904222</v>
      </c>
      <c r="AS98" s="58" t="str">
        <f t="shared" si="102"/>
        <v>-9.71468836281956+0.597268507399528i</v>
      </c>
      <c r="AT98" s="49">
        <f t="shared" si="103"/>
        <v>19.764962462898964</v>
      </c>
      <c r="AU98" s="61">
        <f t="shared" si="104"/>
        <v>176.48182797359814</v>
      </c>
      <c r="AV98" s="58" t="str">
        <f t="shared" si="80"/>
        <v>-8950.50512964877+21895.2512108669i</v>
      </c>
      <c r="AW98" s="64">
        <f t="shared" si="105"/>
        <v>87.4781062221318</v>
      </c>
      <c r="AX98" s="61">
        <f t="shared" si="106"/>
        <v>112.23413052262809</v>
      </c>
    </row>
    <row r="99" spans="14:50" x14ac:dyDescent="0.4">
      <c r="N99" s="10">
        <v>81</v>
      </c>
      <c r="O99" s="50">
        <f t="shared" si="81"/>
        <v>64.565422903465588</v>
      </c>
      <c r="P99" s="48" t="str">
        <f t="shared" si="71"/>
        <v>5120.19230769231</v>
      </c>
      <c r="Q99" s="17" t="str">
        <f t="shared" si="72"/>
        <v>1+1.89575756767213i</v>
      </c>
      <c r="R99" s="17">
        <f t="shared" si="82"/>
        <v>2.1433377604535764</v>
      </c>
      <c r="S99" s="17">
        <f t="shared" si="83"/>
        <v>1.0853965187896728</v>
      </c>
      <c r="T99" s="17" t="str">
        <f t="shared" si="73"/>
        <v>1+4.05270840022353E-06i</v>
      </c>
      <c r="U99" s="17">
        <f t="shared" si="84"/>
        <v>1.0000000000082121</v>
      </c>
      <c r="V99" s="17">
        <f t="shared" si="85"/>
        <v>4.0527084002013416E-6</v>
      </c>
      <c r="W99" s="31" t="str">
        <f t="shared" si="74"/>
        <v>1-0.00657195956793003i</v>
      </c>
      <c r="X99" s="17">
        <f t="shared" si="86"/>
        <v>1.0000215950931073</v>
      </c>
      <c r="Y99" s="17">
        <f t="shared" si="87"/>
        <v>-6.571864954641079E-3</v>
      </c>
      <c r="Z99" s="31" t="str">
        <f t="shared" si="75"/>
        <v>0.999998332522466+0.0400131895186455i</v>
      </c>
      <c r="AA99" s="17">
        <f t="shared" si="88"/>
        <v>1.0007985413574341</v>
      </c>
      <c r="AB99" s="17">
        <f t="shared" si="89"/>
        <v>3.999192218003194E-2</v>
      </c>
      <c r="AC99" s="66" t="str">
        <f t="shared" si="90"/>
        <v>1014.22569670619-2160.84970556448i</v>
      </c>
      <c r="AD99" s="64">
        <f t="shared" si="91"/>
        <v>67.557167447621993</v>
      </c>
      <c r="AE99" s="61">
        <f t="shared" si="92"/>
        <v>-64.856315902715664</v>
      </c>
      <c r="AF99" s="31" t="str">
        <f t="shared" si="76"/>
        <v>-10.0808080808081</v>
      </c>
      <c r="AG99" s="31" t="str">
        <f t="shared" si="93"/>
        <v>405.676516538891i</v>
      </c>
      <c r="AH99" s="31">
        <f t="shared" si="94"/>
        <v>405.67651653889101</v>
      </c>
      <c r="AI99" s="31">
        <f t="shared" si="95"/>
        <v>1.5707963267948966</v>
      </c>
      <c r="AJ99" s="31" t="str">
        <f t="shared" si="77"/>
        <v>0.996852028255497+0.544716868787881i</v>
      </c>
      <c r="AK99" s="31">
        <f t="shared" si="96"/>
        <v>1.1359711410855347</v>
      </c>
      <c r="AL99" s="31">
        <f t="shared" si="97"/>
        <v>0.50010361589008756</v>
      </c>
      <c r="AM99" s="31" t="str">
        <f t="shared" si="78"/>
        <v>1+402.090985215115i</v>
      </c>
      <c r="AN99" s="31">
        <f t="shared" si="98"/>
        <v>402.09222871284373</v>
      </c>
      <c r="AO99" s="31">
        <f t="shared" si="99"/>
        <v>1.5683093326193103</v>
      </c>
      <c r="AP99" s="31" t="str">
        <f t="shared" si="79"/>
        <v>1+0.471233841611576i</v>
      </c>
      <c r="AQ99" s="31">
        <f t="shared" si="100"/>
        <v>1.1054688297188682</v>
      </c>
      <c r="AR99" s="31">
        <f t="shared" si="101"/>
        <v>0.44037100721068712</v>
      </c>
      <c r="AS99" s="58" t="str">
        <f t="shared" si="102"/>
        <v>-9.70463443297994+0.604598892029988i</v>
      </c>
      <c r="AT99" s="49">
        <f t="shared" si="103"/>
        <v>19.75640721906467</v>
      </c>
      <c r="AU99" s="61">
        <f t="shared" si="104"/>
        <v>176.43507935342905</v>
      </c>
      <c r="AV99" s="58" t="str">
        <f t="shared" si="80"/>
        <v>-8536.24228124035+21583.4561896125i</v>
      </c>
      <c r="AW99" s="64">
        <f t="shared" si="105"/>
        <v>87.313574666686662</v>
      </c>
      <c r="AX99" s="61">
        <f t="shared" si="106"/>
        <v>111.57876345071338</v>
      </c>
    </row>
    <row r="100" spans="14:50" x14ac:dyDescent="0.4">
      <c r="N100" s="10">
        <v>82</v>
      </c>
      <c r="O100" s="50">
        <f t="shared" si="81"/>
        <v>66.069344800759623</v>
      </c>
      <c r="P100" s="48" t="str">
        <f t="shared" si="71"/>
        <v>5120.19230769231</v>
      </c>
      <c r="Q100" s="17" t="str">
        <f t="shared" si="72"/>
        <v>1+1.9399154340621i</v>
      </c>
      <c r="R100" s="17">
        <f t="shared" si="82"/>
        <v>2.1824921285796992</v>
      </c>
      <c r="S100" s="17">
        <f t="shared" si="83"/>
        <v>1.0948365021774642</v>
      </c>
      <c r="T100" s="17" t="str">
        <f t="shared" si="73"/>
        <v>1+4.14710810570608E-06i</v>
      </c>
      <c r="U100" s="17">
        <f t="shared" si="84"/>
        <v>1.0000000000085993</v>
      </c>
      <c r="V100" s="17">
        <f t="shared" si="85"/>
        <v>4.1471081056823051E-6</v>
      </c>
      <c r="W100" s="31" t="str">
        <f t="shared" si="74"/>
        <v>1-0.00672504017141526i</v>
      </c>
      <c r="X100" s="17">
        <f t="shared" si="86"/>
        <v>1.0000226128269836</v>
      </c>
      <c r="Y100" s="17">
        <f t="shared" si="87"/>
        <v>-6.7249387915734289E-3</v>
      </c>
      <c r="Z100" s="31" t="str">
        <f t="shared" si="75"/>
        <v>0.999998253936671+0.0409452164332317i</v>
      </c>
      <c r="AA100" s="17">
        <f t="shared" si="88"/>
        <v>1.0008361597310294</v>
      </c>
      <c r="AB100" s="17">
        <f t="shared" si="89"/>
        <v>4.0922429097473137E-2</v>
      </c>
      <c r="AC100" s="66" t="str">
        <f t="shared" si="90"/>
        <v>973.608246962665-2132.36962369086i</v>
      </c>
      <c r="AD100" s="64">
        <f t="shared" si="91"/>
        <v>67.399608389301932</v>
      </c>
      <c r="AE100" s="61">
        <f t="shared" si="92"/>
        <v>-65.459266304792109</v>
      </c>
      <c r="AF100" s="31" t="str">
        <f t="shared" si="76"/>
        <v>-10.0808080808081</v>
      </c>
      <c r="AG100" s="31" t="str">
        <f t="shared" si="93"/>
        <v>415.125936507115i</v>
      </c>
      <c r="AH100" s="31">
        <f t="shared" si="94"/>
        <v>415.125936507115</v>
      </c>
      <c r="AI100" s="31">
        <f t="shared" si="95"/>
        <v>1.5707963267948966</v>
      </c>
      <c r="AJ100" s="31" t="str">
        <f t="shared" si="77"/>
        <v>0.996703668917873+0.557404954607754i</v>
      </c>
      <c r="AK100" s="31">
        <f t="shared" si="96"/>
        <v>1.1419800729678347</v>
      </c>
      <c r="AL100" s="31">
        <f t="shared" si="97"/>
        <v>0.50991598769159152</v>
      </c>
      <c r="AM100" s="31" t="str">
        <f t="shared" si="78"/>
        <v>1+411.456887429892i</v>
      </c>
      <c r="AN100" s="31">
        <f t="shared" si="98"/>
        <v>411.45810262224126</v>
      </c>
      <c r="AO100" s="31">
        <f t="shared" si="99"/>
        <v>1.5683659432926924</v>
      </c>
      <c r="AP100" s="31" t="str">
        <f t="shared" si="79"/>
        <v>1+0.482210287846665i</v>
      </c>
      <c r="AQ100" s="31">
        <f t="shared" si="100"/>
        <v>1.1101922183591288</v>
      </c>
      <c r="AR100" s="31">
        <f t="shared" si="101"/>
        <v>0.44931482337743855</v>
      </c>
      <c r="AS100" s="58" t="str">
        <f t="shared" si="102"/>
        <v>-9.69432238127696+0.611858659351136i</v>
      </c>
      <c r="AT100" s="49">
        <f t="shared" si="103"/>
        <v>19.747615011710714</v>
      </c>
      <c r="AU100" s="61">
        <f t="shared" si="104"/>
        <v>176.38855833394564</v>
      </c>
      <c r="AV100" s="58" t="str">
        <f t="shared" si="80"/>
        <v>-8133.76339993341+21267.5892048212i</v>
      </c>
      <c r="AW100" s="64">
        <f t="shared" si="105"/>
        <v>87.147223401012639</v>
      </c>
      <c r="AX100" s="61">
        <f t="shared" si="106"/>
        <v>110.92929202915356</v>
      </c>
    </row>
    <row r="101" spans="14:50" x14ac:dyDescent="0.4">
      <c r="N101" s="10">
        <v>83</v>
      </c>
      <c r="O101" s="50">
        <f t="shared" si="81"/>
        <v>67.60829753919819</v>
      </c>
      <c r="P101" s="48" t="str">
        <f t="shared" si="71"/>
        <v>5120.19230769231</v>
      </c>
      <c r="Q101" s="17" t="str">
        <f t="shared" si="72"/>
        <v>1+1.98510186929302i</v>
      </c>
      <c r="R101" s="17">
        <f t="shared" si="82"/>
        <v>2.2227526698826936</v>
      </c>
      <c r="S101" s="17">
        <f t="shared" si="83"/>
        <v>1.1041512378372917</v>
      </c>
      <c r="T101" s="17" t="str">
        <f t="shared" si="73"/>
        <v>1+4.24370666279975E-06i</v>
      </c>
      <c r="U101" s="17">
        <f t="shared" si="84"/>
        <v>1.0000000000090046</v>
      </c>
      <c r="V101" s="17">
        <f t="shared" si="85"/>
        <v>4.2437066627742749E-6</v>
      </c>
      <c r="W101" s="31" t="str">
        <f t="shared" si="74"/>
        <v>1-0.0068816864802158i</v>
      </c>
      <c r="X101" s="17">
        <f t="shared" si="86"/>
        <v>1.0000236785240697</v>
      </c>
      <c r="Y101" s="17">
        <f t="shared" si="87"/>
        <v>-6.8815778498970345E-3</v>
      </c>
      <c r="Z101" s="31" t="str">
        <f t="shared" si="75"/>
        <v>0.999998171647242+0.0418989530435448i</v>
      </c>
      <c r="AA101" s="17">
        <f t="shared" si="88"/>
        <v>1.0008755494885326</v>
      </c>
      <c r="AB101" s="17">
        <f t="shared" si="89"/>
        <v>4.1874537126826303E-2</v>
      </c>
      <c r="AC101" s="66" t="str">
        <f t="shared" si="90"/>
        <v>934.062131246435-2103.51619771397i</v>
      </c>
      <c r="AD101" s="64">
        <f t="shared" si="91"/>
        <v>67.240506712497151</v>
      </c>
      <c r="AE101" s="61">
        <f t="shared" si="92"/>
        <v>-66.05648233936202</v>
      </c>
      <c r="AF101" s="31" t="str">
        <f t="shared" si="76"/>
        <v>-10.0808080808081</v>
      </c>
      <c r="AG101" s="31" t="str">
        <f t="shared" si="93"/>
        <v>424.795461741716i</v>
      </c>
      <c r="AH101" s="31">
        <f t="shared" si="94"/>
        <v>424.795461741716</v>
      </c>
      <c r="AI101" s="31">
        <f t="shared" si="95"/>
        <v>1.5707963267948966</v>
      </c>
      <c r="AJ101" s="31" t="str">
        <f t="shared" si="77"/>
        <v>0.996548317620077+0.570388583912686i</v>
      </c>
      <c r="AK101" s="31">
        <f t="shared" si="96"/>
        <v>1.1482385144251717</v>
      </c>
      <c r="AL101" s="31">
        <f t="shared" si="97"/>
        <v>0.51985115249411318</v>
      </c>
      <c r="AM101" s="31" t="str">
        <f t="shared" si="78"/>
        <v>1+421.040949532659i</v>
      </c>
      <c r="AN101" s="31">
        <f t="shared" si="98"/>
        <v>421.04213706393222</v>
      </c>
      <c r="AO101" s="31">
        <f t="shared" si="99"/>
        <v>1.5684212653648775</v>
      </c>
      <c r="AP101" s="31" t="str">
        <f t="shared" si="79"/>
        <v>1+0.493442408359178i</v>
      </c>
      <c r="AQ101" s="31">
        <f t="shared" si="100"/>
        <v>1.1151167698350275</v>
      </c>
      <c r="AR101" s="31">
        <f t="shared" si="101"/>
        <v>0.45838778736207852</v>
      </c>
      <c r="AS101" s="58" t="str">
        <f t="shared" si="102"/>
        <v>-9.68375348308348+0.619036743507181i</v>
      </c>
      <c r="AT101" s="49">
        <f t="shared" si="103"/>
        <v>19.73858553550761</v>
      </c>
      <c r="AU101" s="61">
        <f t="shared" si="104"/>
        <v>176.34232758723846</v>
      </c>
      <c r="AV101" s="58" t="str">
        <f t="shared" si="80"/>
        <v>-7743.07359992658+20948.1510862953i</v>
      </c>
      <c r="AW101" s="64">
        <f t="shared" si="105"/>
        <v>86.979092248004761</v>
      </c>
      <c r="AX101" s="61">
        <f t="shared" si="106"/>
        <v>110.28584524787648</v>
      </c>
    </row>
    <row r="102" spans="14:50" x14ac:dyDescent="0.4">
      <c r="N102" s="10">
        <v>84</v>
      </c>
      <c r="O102" s="50">
        <f t="shared" si="81"/>
        <v>69.183097091893657</v>
      </c>
      <c r="P102" s="48" t="str">
        <f t="shared" si="71"/>
        <v>5120.19230769231</v>
      </c>
      <c r="Q102" s="17" t="str">
        <f t="shared" si="72"/>
        <v>1+2.03134083181097i</v>
      </c>
      <c r="R102" s="17">
        <f t="shared" si="82"/>
        <v>2.264143452827688</v>
      </c>
      <c r="S102" s="17">
        <f t="shared" si="83"/>
        <v>1.1133391981647736</v>
      </c>
      <c r="T102" s="17" t="str">
        <f t="shared" si="73"/>
        <v>1+4.34255528933813E-06i</v>
      </c>
      <c r="U102" s="17">
        <f t="shared" si="84"/>
        <v>1.0000000000094289</v>
      </c>
      <c r="V102" s="17">
        <f t="shared" si="85"/>
        <v>4.3425552893108328E-6</v>
      </c>
      <c r="W102" s="31" t="str">
        <f t="shared" si="74"/>
        <v>1-0.00704198155027803i</v>
      </c>
      <c r="X102" s="17">
        <f t="shared" si="86"/>
        <v>1.0000247944446949</v>
      </c>
      <c r="Y102" s="17">
        <f t="shared" si="87"/>
        <v>-7.0418651509502068E-3</v>
      </c>
      <c r="Z102" s="31" t="str">
        <f t="shared" si="75"/>
        <v>0.999998085479631+0.0428749050333598i</v>
      </c>
      <c r="AA102" s="17">
        <f t="shared" si="88"/>
        <v>1.0009167939666848</v>
      </c>
      <c r="AB102" s="17">
        <f t="shared" si="89"/>
        <v>4.2848744201297272E-2</v>
      </c>
      <c r="AC102" s="66" t="str">
        <f t="shared" si="90"/>
        <v>895.585867760328-2074.33395194919i</v>
      </c>
      <c r="AD102" s="64">
        <f t="shared" si="91"/>
        <v>67.079902499249556</v>
      </c>
      <c r="AE102" s="61">
        <f t="shared" si="92"/>
        <v>-66.647909764450048</v>
      </c>
      <c r="AF102" s="31" t="str">
        <f t="shared" si="76"/>
        <v>-10.0808080808081</v>
      </c>
      <c r="AG102" s="31" t="str">
        <f t="shared" si="93"/>
        <v>434.690219152965i</v>
      </c>
      <c r="AH102" s="31">
        <f t="shared" si="94"/>
        <v>434.69021915296503</v>
      </c>
      <c r="AI102" s="31">
        <f t="shared" si="95"/>
        <v>1.5707963267948966</v>
      </c>
      <c r="AJ102" s="31" t="str">
        <f t="shared" si="77"/>
        <v>0.996385644841179+0.583674640794795i</v>
      </c>
      <c r="AK102" s="31">
        <f t="shared" si="96"/>
        <v>1.1547555756750019</v>
      </c>
      <c r="AL102" s="31">
        <f t="shared" si="97"/>
        <v>0.52990685716560637</v>
      </c>
      <c r="AM102" s="31" t="str">
        <f t="shared" si="78"/>
        <v>1+430.848253120005i</v>
      </c>
      <c r="AN102" s="31">
        <f t="shared" si="98"/>
        <v>430.84941361983994</v>
      </c>
      <c r="AO102" s="31">
        <f t="shared" si="99"/>
        <v>1.5684753281670047</v>
      </c>
      <c r="AP102" s="31" t="str">
        <f t="shared" si="79"/>
        <v>1+0.504936158568084i</v>
      </c>
      <c r="AQ102" s="31">
        <f t="shared" si="100"/>
        <v>1.1202502060832185</v>
      </c>
      <c r="AR102" s="31">
        <f t="shared" si="101"/>
        <v>0.46758873380294586</v>
      </c>
      <c r="AS102" s="58" t="str">
        <f t="shared" si="102"/>
        <v>-9.67292963458271+0.626121945916182i</v>
      </c>
      <c r="AT102" s="49">
        <f t="shared" si="103"/>
        <v>19.729318982647992</v>
      </c>
      <c r="AU102" s="61">
        <f t="shared" si="104"/>
        <v>176.29645111851002</v>
      </c>
      <c r="AV102" s="58" t="str">
        <f t="shared" si="80"/>
        <v>-7364.15307009792+20625.6323220875i</v>
      </c>
      <c r="AW102" s="64">
        <f t="shared" si="105"/>
        <v>86.809221481897538</v>
      </c>
      <c r="AX102" s="61">
        <f t="shared" si="106"/>
        <v>109.64854135405999</v>
      </c>
    </row>
    <row r="103" spans="14:50" x14ac:dyDescent="0.4">
      <c r="N103" s="10">
        <v>85</v>
      </c>
      <c r="O103" s="50">
        <f t="shared" si="81"/>
        <v>70.794578438413865</v>
      </c>
      <c r="P103" s="48" t="str">
        <f t="shared" si="71"/>
        <v>5120.19230769231</v>
      </c>
      <c r="Q103" s="17" t="str">
        <f t="shared" si="72"/>
        <v>1+2.07865683812593i</v>
      </c>
      <c r="R103" s="17">
        <f t="shared" si="82"/>
        <v>2.3066890234029573</v>
      </c>
      <c r="S103" s="17">
        <f t="shared" si="83"/>
        <v>1.1223990487144837</v>
      </c>
      <c r="T103" s="17" t="str">
        <f t="shared" si="73"/>
        <v>1+4.44370639617143E-06i</v>
      </c>
      <c r="U103" s="17">
        <f t="shared" si="84"/>
        <v>1.0000000000098732</v>
      </c>
      <c r="V103" s="17">
        <f t="shared" si="85"/>
        <v>4.4437063961421815E-6</v>
      </c>
      <c r="W103" s="31" t="str">
        <f t="shared" si="74"/>
        <v>1-0.00720601037216988i</v>
      </c>
      <c r="X103" s="17">
        <f t="shared" si="86"/>
        <v>1.0000259629557045</v>
      </c>
      <c r="Y103" s="17">
        <f t="shared" si="87"/>
        <v>-7.2058856482178878E-3</v>
      </c>
      <c r="Z103" s="31" t="str">
        <f t="shared" si="75"/>
        <v>0.999997995251065+0.0438735898653399i</v>
      </c>
      <c r="AA103" s="17">
        <f t="shared" si="88"/>
        <v>1.0009599804157114</v>
      </c>
      <c r="AB103" s="17">
        <f t="shared" si="89"/>
        <v>4.3845559480524043E-2</v>
      </c>
      <c r="AC103" s="66" t="str">
        <f t="shared" si="90"/>
        <v>858.175850350332-2044.86628087706i</v>
      </c>
      <c r="AD103" s="64">
        <f t="shared" si="91"/>
        <v>66.917835700610112</v>
      </c>
      <c r="AE103" s="61">
        <f t="shared" si="92"/>
        <v>-67.233506159137136</v>
      </c>
      <c r="AF103" s="31" t="str">
        <f t="shared" si="76"/>
        <v>-10.0808080808081</v>
      </c>
      <c r="AG103" s="31" t="str">
        <f t="shared" si="93"/>
        <v>444.815455072215i</v>
      </c>
      <c r="AH103" s="31">
        <f t="shared" si="94"/>
        <v>444.815455072215</v>
      </c>
      <c r="AI103" s="31">
        <f t="shared" si="95"/>
        <v>1.5707963267948966</v>
      </c>
      <c r="AJ103" s="31" t="str">
        <f t="shared" si="77"/>
        <v>0.996215305530403+0.5972701696973i</v>
      </c>
      <c r="AK103" s="31">
        <f t="shared" si="96"/>
        <v>1.1615406108196458</v>
      </c>
      <c r="AL103" s="31">
        <f t="shared" si="97"/>
        <v>0.54008063916092541</v>
      </c>
      <c r="AM103" s="31" t="str">
        <f t="shared" si="78"/>
        <v>1+440.883998154106i</v>
      </c>
      <c r="AN103" s="31">
        <f t="shared" si="98"/>
        <v>440.88513223780831</v>
      </c>
      <c r="AO103" s="31">
        <f t="shared" si="99"/>
        <v>1.5685281603626229</v>
      </c>
      <c r="AP103" s="31" t="str">
        <f t="shared" si="79"/>
        <v>1+0.516697632611885i</v>
      </c>
      <c r="AQ103" s="31">
        <f t="shared" si="100"/>
        <v>1.1256004813195162</v>
      </c>
      <c r="AR103" s="31">
        <f t="shared" si="101"/>
        <v>0.47691630879577773</v>
      </c>
      <c r="AS103" s="58" t="str">
        <f t="shared" si="102"/>
        <v>-9.66185337630677+0.633102972910242i</v>
      </c>
      <c r="AT103" s="49">
        <f t="shared" si="103"/>
        <v>19.719816068782198</v>
      </c>
      <c r="AU103" s="61">
        <f t="shared" si="104"/>
        <v>176.25099409050443</v>
      </c>
      <c r="AV103" s="58" t="str">
        <f t="shared" si="80"/>
        <v>-6996.95831554511+20300.5118621245i</v>
      </c>
      <c r="AW103" s="64">
        <f t="shared" si="105"/>
        <v>86.637651769392335</v>
      </c>
      <c r="AX103" s="61">
        <f t="shared" si="106"/>
        <v>109.01748793136726</v>
      </c>
    </row>
    <row r="104" spans="14:50" x14ac:dyDescent="0.4">
      <c r="N104" s="10">
        <v>86</v>
      </c>
      <c r="O104" s="50">
        <f t="shared" si="81"/>
        <v>72.443596007499011</v>
      </c>
      <c r="P104" s="48" t="str">
        <f t="shared" si="71"/>
        <v>5120.19230769231</v>
      </c>
      <c r="Q104" s="17" t="str">
        <f t="shared" si="72"/>
        <v>1+2.12707497581073i</v>
      </c>
      <c r="R104" s="17">
        <f t="shared" si="82"/>
        <v>2.3504144214840532</v>
      </c>
      <c r="S104" s="17">
        <f t="shared" si="83"/>
        <v>1.1313296430390862</v>
      </c>
      <c r="T104" s="17" t="str">
        <f t="shared" si="73"/>
        <v>1+4.54721361495538E-06i</v>
      </c>
      <c r="U104" s="17">
        <f t="shared" si="84"/>
        <v>1.0000000000103386</v>
      </c>
      <c r="V104" s="17">
        <f t="shared" si="85"/>
        <v>4.5472136149240391E-6</v>
      </c>
      <c r="W104" s="31" t="str">
        <f t="shared" si="74"/>
        <v>1-0.00737385991614385i</v>
      </c>
      <c r="X104" s="17">
        <f t="shared" si="86"/>
        <v>1.0000271865354775</v>
      </c>
      <c r="Y104" s="17">
        <f t="shared" si="87"/>
        <v>-7.3737262722176899E-3</v>
      </c>
      <c r="Z104" s="31" t="str">
        <f t="shared" si="75"/>
        <v>0.999997900770159+0.0448955370554021i</v>
      </c>
      <c r="AA104" s="17">
        <f t="shared" si="88"/>
        <v>1.0010052001824055</v>
      </c>
      <c r="AB104" s="17">
        <f t="shared" si="89"/>
        <v>4.486550358565726E-2</v>
      </c>
      <c r="AC104" s="66" t="str">
        <f t="shared" si="90"/>
        <v>821.826475436948-2015.15535543592i</v>
      </c>
      <c r="AD104" s="64">
        <f t="shared" si="91"/>
        <v>66.754346056538878</v>
      </c>
      <c r="AE104" s="61">
        <f t="shared" si="92"/>
        <v>-67.813240643903015</v>
      </c>
      <c r="AF104" s="31" t="str">
        <f t="shared" si="76"/>
        <v>-10.0808080808081</v>
      </c>
      <c r="AG104" s="31" t="str">
        <f t="shared" si="93"/>
        <v>455.176538033571i</v>
      </c>
      <c r="AH104" s="31">
        <f t="shared" si="94"/>
        <v>455.17653803357098</v>
      </c>
      <c r="AI104" s="31">
        <f t="shared" si="95"/>
        <v>1.5707963267948966</v>
      </c>
      <c r="AJ104" s="31" t="str">
        <f t="shared" si="77"/>
        <v>0.996036938375235+0.611182379149584i</v>
      </c>
      <c r="AK104" s="31">
        <f t="shared" si="96"/>
        <v>1.1686032188860587</v>
      </c>
      <c r="AL104" s="31">
        <f t="shared" si="97"/>
        <v>0.55036982480163366</v>
      </c>
      <c r="AM104" s="31" t="str">
        <f t="shared" si="78"/>
        <v>1+451.153505719817i</v>
      </c>
      <c r="AN104" s="31">
        <f t="shared" si="98"/>
        <v>451.15461398868683</v>
      </c>
      <c r="AO104" s="31">
        <f t="shared" si="99"/>
        <v>1.5685797899628811</v>
      </c>
      <c r="AP104" s="31" t="str">
        <f t="shared" si="79"/>
        <v>1+0.528733066579796i</v>
      </c>
      <c r="AQ104" s="31">
        <f t="shared" si="100"/>
        <v>1.1311757846130173</v>
      </c>
      <c r="AR104" s="31">
        <f t="shared" si="101"/>
        <v>0.48636896477501185</v>
      </c>
      <c r="AS104" s="58" t="str">
        <f t="shared" si="102"/>
        <v>-9.65052791428272+0.639968476235723i</v>
      </c>
      <c r="AT104" s="49">
        <f t="shared" si="103"/>
        <v>19.710078057624944</v>
      </c>
      <c r="AU104" s="61">
        <f t="shared" si="104"/>
        <v>176.20602262965724</v>
      </c>
      <c r="AV104" s="58" t="str">
        <f t="shared" si="80"/>
        <v>-6641.42343970427+19973.2560464662i</v>
      </c>
      <c r="AW104" s="64">
        <f t="shared" si="105"/>
        <v>86.464424114163819</v>
      </c>
      <c r="AX104" s="61">
        <f t="shared" si="106"/>
        <v>108.39278198575425</v>
      </c>
    </row>
    <row r="105" spans="14:50" x14ac:dyDescent="0.4">
      <c r="N105" s="10">
        <v>87</v>
      </c>
      <c r="O105" s="50">
        <f t="shared" si="81"/>
        <v>74.131024130091816</v>
      </c>
      <c r="P105" s="48" t="str">
        <f t="shared" si="71"/>
        <v>5120.19230769231</v>
      </c>
      <c r="Q105" s="17" t="str">
        <f t="shared" si="72"/>
        <v>1+2.17662091680287i</v>
      </c>
      <c r="R105" s="17">
        <f t="shared" si="82"/>
        <v>2.3953451975579148</v>
      </c>
      <c r="S105" s="17">
        <f t="shared" si="83"/>
        <v>1.1401300171444988</v>
      </c>
      <c r="T105" s="17" t="str">
        <f t="shared" si="73"/>
        <v>1+4.65313182658748E-06i</v>
      </c>
      <c r="U105" s="17">
        <f t="shared" si="84"/>
        <v>1.0000000000108258</v>
      </c>
      <c r="V105" s="17">
        <f t="shared" si="85"/>
        <v>4.6531318265538973E-6</v>
      </c>
      <c r="W105" s="31" t="str">
        <f t="shared" si="74"/>
        <v>1-0.00754561917824996i</v>
      </c>
      <c r="X105" s="17">
        <f t="shared" si="86"/>
        <v>1.0000284677791844</v>
      </c>
      <c r="Y105" s="17">
        <f t="shared" si="87"/>
        <v>-7.5454759764232195E-3</v>
      </c>
      <c r="Z105" s="31" t="str">
        <f t="shared" si="75"/>
        <v>0.999997801836505+0.045941288453474i</v>
      </c>
      <c r="AA105" s="17">
        <f t="shared" si="88"/>
        <v>1.0010525489017084</v>
      </c>
      <c r="AB105" s="17">
        <f t="shared" si="89"/>
        <v>4.5909108838049995E-2</v>
      </c>
      <c r="AC105" s="66" t="str">
        <f t="shared" si="90"/>
        <v>786.53027114717-1985.24204158476i</v>
      </c>
      <c r="AD105" s="64">
        <f t="shared" si="91"/>
        <v>66.589473020614903</v>
      </c>
      <c r="AE105" s="61">
        <f t="shared" si="92"/>
        <v>-68.387093579236222</v>
      </c>
      <c r="AF105" s="31" t="str">
        <f t="shared" si="76"/>
        <v>-10.0808080808081</v>
      </c>
      <c r="AG105" s="31" t="str">
        <f t="shared" si="93"/>
        <v>465.778961620368i</v>
      </c>
      <c r="AH105" s="31">
        <f t="shared" si="94"/>
        <v>465.77896162036802</v>
      </c>
      <c r="AI105" s="31">
        <f t="shared" si="95"/>
        <v>1.5707963267948966</v>
      </c>
      <c r="AJ105" s="31" t="str">
        <f t="shared" si="77"/>
        <v>0.995850165035023+0.625418645589248i</v>
      </c>
      <c r="AK105" s="31">
        <f t="shared" si="96"/>
        <v>1.1759532445854179</v>
      </c>
      <c r="AL105" s="31">
        <f t="shared" si="97"/>
        <v>0.56077152831452171</v>
      </c>
      <c r="AM105" s="31" t="str">
        <f t="shared" si="78"/>
        <v>1+461.662220845984i</v>
      </c>
      <c r="AN105" s="31">
        <f t="shared" si="98"/>
        <v>461.66330388763419</v>
      </c>
      <c r="AO105" s="31">
        <f t="shared" si="99"/>
        <v>1.5686302443413747</v>
      </c>
      <c r="AP105" s="31" t="str">
        <f t="shared" si="79"/>
        <v>1+0.54104884181822i</v>
      </c>
      <c r="AQ105" s="31">
        <f t="shared" si="100"/>
        <v>1.1369845422136737</v>
      </c>
      <c r="AR105" s="31">
        <f t="shared" si="101"/>
        <v>0.49594495583906978</v>
      </c>
      <c r="AS105" s="58" t="str">
        <f t="shared" si="102"/>
        <v>-9.63895713845001+0.646707096270463i</v>
      </c>
      <c r="AT105" s="49">
        <f t="shared" si="103"/>
        <v>19.70010678393902</v>
      </c>
      <c r="AU105" s="61">
        <f t="shared" si="104"/>
        <v>176.16160361419352</v>
      </c>
      <c r="AV105" s="58" t="str">
        <f t="shared" si="80"/>
        <v>-6297.46145557371+19644.3176560669i</v>
      </c>
      <c r="AW105" s="64">
        <f t="shared" si="105"/>
        <v>86.289579804553938</v>
      </c>
      <c r="AX105" s="61">
        <f t="shared" si="106"/>
        <v>107.77451003495729</v>
      </c>
    </row>
    <row r="106" spans="14:50" x14ac:dyDescent="0.4">
      <c r="N106" s="10">
        <v>88</v>
      </c>
      <c r="O106" s="50">
        <f t="shared" si="81"/>
        <v>75.857757502918361</v>
      </c>
      <c r="P106" s="48" t="str">
        <f t="shared" si="71"/>
        <v>5120.19230769231</v>
      </c>
      <c r="Q106" s="17" t="str">
        <f t="shared" si="72"/>
        <v>1+2.22732093101609i</v>
      </c>
      <c r="R106" s="17">
        <f t="shared" si="82"/>
        <v>2.4415074297946306</v>
      </c>
      <c r="S106" s="17">
        <f t="shared" si="83"/>
        <v>1.1487993836141943</v>
      </c>
      <c r="T106" s="17" t="str">
        <f t="shared" si="73"/>
        <v>1+4.76151719030552E-06i</v>
      </c>
      <c r="U106" s="17">
        <f t="shared" si="84"/>
        <v>1.000000000011336</v>
      </c>
      <c r="V106" s="17">
        <f t="shared" si="85"/>
        <v>4.7615171902695352E-6</v>
      </c>
      <c r="W106" s="31" t="str">
        <f t="shared" si="74"/>
        <v>1-0.00772137922752245i</v>
      </c>
      <c r="X106" s="17">
        <f t="shared" si="86"/>
        <v>1.0000298094042872</v>
      </c>
      <c r="Y106" s="17">
        <f t="shared" si="87"/>
        <v>-7.7212257842475844E-3</v>
      </c>
      <c r="Z106" s="31" t="str">
        <f t="shared" si="75"/>
        <v>0.999997698240251+0.0470113985307887i</v>
      </c>
      <c r="AA106" s="17">
        <f t="shared" si="88"/>
        <v>1.001102126697182</v>
      </c>
      <c r="AB106" s="17">
        <f t="shared" si="89"/>
        <v>4.697691950150748E-2</v>
      </c>
      <c r="AC106" s="66" t="str">
        <f t="shared" si="90"/>
        <v>752.278027557699-1955.16583080547i</v>
      </c>
      <c r="AD106" s="64">
        <f t="shared" si="91"/>
        <v>66.423255689617648</v>
      </c>
      <c r="AE106" s="61">
        <f t="shared" si="92"/>
        <v>-68.955056245551859</v>
      </c>
      <c r="AF106" s="31" t="str">
        <f t="shared" si="76"/>
        <v>-10.0808080808081</v>
      </c>
      <c r="AG106" s="31" t="str">
        <f t="shared" si="93"/>
        <v>476.628347377929i</v>
      </c>
      <c r="AH106" s="31">
        <f t="shared" si="94"/>
        <v>476.628347377929</v>
      </c>
      <c r="AI106" s="31">
        <f t="shared" si="95"/>
        <v>1.5707963267948966</v>
      </c>
      <c r="AJ106" s="31" t="str">
        <f t="shared" si="77"/>
        <v>0.995654589338473+0.639986517273198i</v>
      </c>
      <c r="AK106" s="31">
        <f t="shared" si="96"/>
        <v>1.1836007787942018</v>
      </c>
      <c r="AL106" s="31">
        <f t="shared" si="97"/>
        <v>0.57128265167646475</v>
      </c>
      <c r="AM106" s="31" t="str">
        <f t="shared" si="78"/>
        <v>1+472.415715392466i</v>
      </c>
      <c r="AN106" s="31">
        <f t="shared" si="98"/>
        <v>472.41677378113428</v>
      </c>
      <c r="AO106" s="31">
        <f t="shared" si="99"/>
        <v>1.5686795502486552</v>
      </c>
      <c r="AP106" s="31" t="str">
        <f t="shared" si="79"/>
        <v>1+0.553651488314203i</v>
      </c>
      <c r="AQ106" s="31">
        <f t="shared" si="100"/>
        <v>1.1430354196229144</v>
      </c>
      <c r="AR106" s="31">
        <f t="shared" si="101"/>
        <v>0.50564233357478727</v>
      </c>
      <c r="AS106" s="58" t="str">
        <f t="shared" si="102"/>
        <v>-9.62714563801909+0.653307507775738i</v>
      </c>
      <c r="AT106" s="49">
        <f t="shared" si="103"/>
        <v>19.689904674596367</v>
      </c>
      <c r="AU106" s="61">
        <f t="shared" si="104"/>
        <v>176.11780444460575</v>
      </c>
      <c r="AV106" s="58" t="str">
        <f t="shared" si="80"/>
        <v>-5964.96561536791+19314.135082981i</v>
      </c>
      <c r="AW106" s="64">
        <f t="shared" si="105"/>
        <v>86.113160364214011</v>
      </c>
      <c r="AX106" s="61">
        <f t="shared" si="106"/>
        <v>107.16274819905391</v>
      </c>
    </row>
    <row r="107" spans="14:50" x14ac:dyDescent="0.4">
      <c r="N107" s="10">
        <v>89</v>
      </c>
      <c r="O107" s="50">
        <f t="shared" si="81"/>
        <v>77.624711662869217</v>
      </c>
      <c r="P107" s="48" t="str">
        <f t="shared" si="71"/>
        <v>5120.19230769231</v>
      </c>
      <c r="Q107" s="17" t="str">
        <f t="shared" si="72"/>
        <v>1+2.27920190026901i</v>
      </c>
      <c r="R107" s="17">
        <f t="shared" si="82"/>
        <v>2.4889277414561208</v>
      </c>
      <c r="S107" s="17">
        <f t="shared" si="83"/>
        <v>1.1573371254541498</v>
      </c>
      <c r="T107" s="17" t="str">
        <f t="shared" si="73"/>
        <v>1+4.87242717346398E-06i</v>
      </c>
      <c r="U107" s="17">
        <f t="shared" si="84"/>
        <v>1.0000000000118703</v>
      </c>
      <c r="V107" s="17">
        <f t="shared" si="85"/>
        <v>4.8724271734254218E-6</v>
      </c>
      <c r="W107" s="31" t="str">
        <f t="shared" si="74"/>
        <v>1-0.00790123325426591i</v>
      </c>
      <c r="X107" s="17">
        <f t="shared" si="86"/>
        <v>1.0000312142563041</v>
      </c>
      <c r="Y107" s="17">
        <f t="shared" si="87"/>
        <v>-7.9010688371118042E-3</v>
      </c>
      <c r="Z107" s="31" t="str">
        <f t="shared" si="75"/>
        <v>0.999997589761656+0.0481064346738738i</v>
      </c>
      <c r="AA107" s="17">
        <f t="shared" si="88"/>
        <v>1.0011540383907729</v>
      </c>
      <c r="AB107" s="17">
        <f t="shared" si="89"/>
        <v>4.8069492028043975E-2</v>
      </c>
      <c r="AC107" s="66" t="str">
        <f t="shared" si="90"/>
        <v>719.058927042605-1924.96478212874i</v>
      </c>
      <c r="AD107" s="64">
        <f t="shared" si="91"/>
        <v>66.255732737998173</v>
      </c>
      <c r="AE107" s="61">
        <f t="shared" si="92"/>
        <v>-69.51713050736592</v>
      </c>
      <c r="AF107" s="31" t="str">
        <f t="shared" si="76"/>
        <v>-10.0808080808081</v>
      </c>
      <c r="AG107" s="31" t="str">
        <f t="shared" si="93"/>
        <v>487.730447794192i</v>
      </c>
      <c r="AH107" s="31">
        <f t="shared" si="94"/>
        <v>487.730447794192</v>
      </c>
      <c r="AI107" s="31">
        <f t="shared" si="95"/>
        <v>1.5707963267948966</v>
      </c>
      <c r="AJ107" s="31" t="str">
        <f t="shared" si="77"/>
        <v>0.99544979644331+0.65489371827983i</v>
      </c>
      <c r="AK107" s="31">
        <f t="shared" si="96"/>
        <v>1.1915561587610584</v>
      </c>
      <c r="AL107" s="31">
        <f t="shared" si="97"/>
        <v>0.58189988530954251</v>
      </c>
      <c r="AM107" s="31" t="str">
        <f t="shared" si="78"/>
        <v>1+483.41969100441i</v>
      </c>
      <c r="AN107" s="31">
        <f t="shared" si="98"/>
        <v>483.42072530126313</v>
      </c>
      <c r="AO107" s="31">
        <f t="shared" si="99"/>
        <v>1.5687277338264081</v>
      </c>
      <c r="AP107" s="31" t="str">
        <f t="shared" si="79"/>
        <v>1+0.566547688157734i</v>
      </c>
      <c r="AQ107" s="31">
        <f t="shared" si="100"/>
        <v>1.1493373233985196</v>
      </c>
      <c r="AR107" s="31">
        <f t="shared" si="101"/>
        <v>0.51545894343648269</v>
      </c>
      <c r="AS107" s="58" t="str">
        <f t="shared" si="102"/>
        <v>-9.61509871344976+0.659758467957837i</v>
      </c>
      <c r="AT107" s="49">
        <f t="shared" si="103"/>
        <v>19.67947476741266</v>
      </c>
      <c r="AU107" s="61">
        <f t="shared" si="104"/>
        <v>176.07469279717481</v>
      </c>
      <c r="AV107" s="58" t="str">
        <f t="shared" si="80"/>
        <v>-5643.81074877187+18983.1316161592i</v>
      </c>
      <c r="AW107" s="64">
        <f t="shared" si="105"/>
        <v>85.935207505410858</v>
      </c>
      <c r="AX107" s="61">
        <f t="shared" si="106"/>
        <v>106.55756228980886</v>
      </c>
    </row>
    <row r="108" spans="14:50" x14ac:dyDescent="0.4">
      <c r="N108" s="10">
        <v>90</v>
      </c>
      <c r="O108" s="50">
        <f t="shared" si="81"/>
        <v>79.432823472428197</v>
      </c>
      <c r="P108" s="48" t="str">
        <f t="shared" si="71"/>
        <v>5120.19230769231</v>
      </c>
      <c r="Q108" s="17" t="str">
        <f t="shared" si="72"/>
        <v>1+2.33229133253826i</v>
      </c>
      <c r="R108" s="17">
        <f t="shared" si="82"/>
        <v>2.5376333186323614</v>
      </c>
      <c r="S108" s="17">
        <f t="shared" si="83"/>
        <v>1.1657427897079577</v>
      </c>
      <c r="T108" s="17" t="str">
        <f t="shared" si="73"/>
        <v>1+4.98592058200402E-06i</v>
      </c>
      <c r="U108" s="17">
        <f t="shared" si="84"/>
        <v>1.0000000000124296</v>
      </c>
      <c r="V108" s="17">
        <f t="shared" si="85"/>
        <v>4.9859205819627046E-6</v>
      </c>
      <c r="W108" s="31" t="str">
        <f t="shared" si="74"/>
        <v>1-0.00808527661946597i</v>
      </c>
      <c r="X108" s="17">
        <f t="shared" si="86"/>
        <v>1.0000326853148418</v>
      </c>
      <c r="Y108" s="17">
        <f t="shared" si="87"/>
        <v>-8.0851004436222271E-3</v>
      </c>
      <c r="Z108" s="31" t="str">
        <f t="shared" si="75"/>
        <v>0.999997476170622+0.049226977485387i</v>
      </c>
      <c r="AA108" s="17">
        <f t="shared" si="88"/>
        <v>1.0012083937222862</v>
      </c>
      <c r="AB108" s="17">
        <f t="shared" si="89"/>
        <v>4.9187395307075617E-2</v>
      </c>
      <c r="AC108" s="66" t="str">
        <f t="shared" si="90"/>
        <v>686.860673805802-1894.6754751972i</v>
      </c>
      <c r="AD108" s="64">
        <f t="shared" si="91"/>
        <v>66.086942357223336</v>
      </c>
      <c r="AE108" s="61">
        <f t="shared" si="92"/>
        <v>-70.073328464562138</v>
      </c>
      <c r="AF108" s="31" t="str">
        <f t="shared" si="76"/>
        <v>-10.0808080808081</v>
      </c>
      <c r="AG108" s="31" t="str">
        <f t="shared" si="93"/>
        <v>499.091149349751i</v>
      </c>
      <c r="AH108" s="31">
        <f t="shared" si="94"/>
        <v>499.09114934975099</v>
      </c>
      <c r="AI108" s="31">
        <f t="shared" si="95"/>
        <v>1.5707963267948966</v>
      </c>
      <c r="AJ108" s="31" t="str">
        <f t="shared" si="77"/>
        <v>0.995235351956347+0.670148152604436i</v>
      </c>
      <c r="AK108" s="31">
        <f t="shared" si="96"/>
        <v>1.1998299680466449</v>
      </c>
      <c r="AL108" s="31">
        <f t="shared" si="97"/>
        <v>0.59261970966586952</v>
      </c>
      <c r="AM108" s="31" t="str">
        <f t="shared" si="78"/>
        <v>1+494.67998213534i</v>
      </c>
      <c r="AN108" s="31">
        <f t="shared" si="98"/>
        <v>494.68099288877102</v>
      </c>
      <c r="AO108" s="31">
        <f t="shared" si="99"/>
        <v>1.5687748206213081</v>
      </c>
      <c r="AP108" s="31" t="str">
        <f t="shared" si="79"/>
        <v>1+0.579744279084671i</v>
      </c>
      <c r="AQ108" s="31">
        <f t="shared" si="100"/>
        <v>1.1558994026866718</v>
      </c>
      <c r="AR108" s="31">
        <f t="shared" si="101"/>
        <v>0.52539242173470102</v>
      </c>
      <c r="AS108" s="58" t="str">
        <f t="shared" si="102"/>
        <v>-9.60282238474393+0.666048866573453i</v>
      </c>
      <c r="AT108" s="49">
        <f t="shared" si="103"/>
        <v>19.668820727453149</v>
      </c>
      <c r="AU108" s="61">
        <f t="shared" si="104"/>
        <v>176.03233636142704</v>
      </c>
      <c r="AV108" s="58" t="str">
        <f t="shared" si="80"/>
        <v>-5333.85460084304+18651.7148383313i</v>
      </c>
      <c r="AW108" s="64">
        <f t="shared" si="105"/>
        <v>85.755763084676516</v>
      </c>
      <c r="AX108" s="61">
        <f t="shared" si="106"/>
        <v>105.95900789686485</v>
      </c>
    </row>
    <row r="109" spans="14:50" x14ac:dyDescent="0.4">
      <c r="N109" s="10">
        <v>91</v>
      </c>
      <c r="O109" s="50">
        <f t="shared" si="81"/>
        <v>81.283051616409963</v>
      </c>
      <c r="P109" s="48" t="str">
        <f t="shared" si="71"/>
        <v>5120.19230769231</v>
      </c>
      <c r="Q109" s="17" t="str">
        <f t="shared" si="72"/>
        <v>1+2.38661737654354i</v>
      </c>
      <c r="R109" s="17">
        <f t="shared" si="82"/>
        <v>2.5876519282970749</v>
      </c>
      <c r="S109" s="17">
        <f t="shared" si="83"/>
        <v>1.174016080889321</v>
      </c>
      <c r="T109" s="17" t="str">
        <f t="shared" si="73"/>
        <v>1+5.10205759163309E-06i</v>
      </c>
      <c r="U109" s="17">
        <f t="shared" si="84"/>
        <v>1.0000000000130154</v>
      </c>
      <c r="V109" s="17">
        <f t="shared" si="85"/>
        <v>5.1020575915888199E-6</v>
      </c>
      <c r="W109" s="31" t="str">
        <f t="shared" si="74"/>
        <v>1-0.00827360690535094i</v>
      </c>
      <c r="X109" s="17">
        <f t="shared" si="86"/>
        <v>1.0000342256999128</v>
      </c>
      <c r="Y109" s="17">
        <f t="shared" si="87"/>
        <v>-8.2734181298821877E-3</v>
      </c>
      <c r="Z109" s="31" t="str">
        <f t="shared" si="75"/>
        <v>0.999997357226208+0.0503736210919589i</v>
      </c>
      <c r="AA109" s="17">
        <f t="shared" si="88"/>
        <v>1.0012653075790234</v>
      </c>
      <c r="AB109" s="17">
        <f t="shared" si="89"/>
        <v>5.0331210917970264E-2</v>
      </c>
      <c r="AC109" s="66" t="str">
        <f t="shared" si="90"/>
        <v>655.669621768123-1864.33297382071i</v>
      </c>
      <c r="AD109" s="64">
        <f t="shared" si="91"/>
        <v>65.916922199942121</v>
      </c>
      <c r="AE109" s="61">
        <f t="shared" si="92"/>
        <v>-70.623672093452385</v>
      </c>
      <c r="AF109" s="31" t="str">
        <f t="shared" si="76"/>
        <v>-10.0808080808081</v>
      </c>
      <c r="AG109" s="31" t="str">
        <f t="shared" si="93"/>
        <v>510.716475638947i</v>
      </c>
      <c r="AH109" s="31">
        <f t="shared" si="94"/>
        <v>510.71647563894697</v>
      </c>
      <c r="AI109" s="31">
        <f t="shared" si="95"/>
        <v>1.5707963267948966</v>
      </c>
      <c r="AJ109" s="31" t="str">
        <f t="shared" si="77"/>
        <v>0.995010801012077+0.685757908350013i</v>
      </c>
      <c r="AK109" s="31">
        <f t="shared" si="96"/>
        <v>1.2084330362065081</v>
      </c>
      <c r="AL109" s="31">
        <f t="shared" si="97"/>
        <v>0.6034383977363923</v>
      </c>
      <c r="AM109" s="31" t="str">
        <f t="shared" si="78"/>
        <v>1+506.202559140661i</v>
      </c>
      <c r="AN109" s="31">
        <f t="shared" si="98"/>
        <v>506.2035468865804</v>
      </c>
      <c r="AO109" s="31">
        <f t="shared" si="99"/>
        <v>1.5688208355985618</v>
      </c>
      <c r="AP109" s="31" t="str">
        <f t="shared" si="79"/>
        <v>1+0.593248258102201i</v>
      </c>
      <c r="AQ109" s="31">
        <f t="shared" si="100"/>
        <v>1.1627310504761175</v>
      </c>
      <c r="AR109" s="31">
        <f t="shared" si="101"/>
        <v>0.53544019328875847</v>
      </c>
      <c r="AS109" s="58" t="str">
        <f t="shared" si="102"/>
        <v>-9.59032339576861+0.672167777771395i</v>
      </c>
      <c r="AT109" s="49">
        <f t="shared" si="103"/>
        <v>19.657946860512784</v>
      </c>
      <c r="AU109" s="61">
        <f t="shared" si="104"/>
        <v>175.99080256266762</v>
      </c>
      <c r="AV109" s="58" t="str">
        <f t="shared" si="80"/>
        <v>-5034.93916149858+18320.2761289517i</v>
      </c>
      <c r="AW109" s="64">
        <f t="shared" si="105"/>
        <v>85.574869060454901</v>
      </c>
      <c r="AX109" s="61">
        <f t="shared" si="106"/>
        <v>105.36713046921525</v>
      </c>
    </row>
    <row r="110" spans="14:50" x14ac:dyDescent="0.4">
      <c r="N110" s="10">
        <v>92</v>
      </c>
      <c r="O110" s="50">
        <f t="shared" si="81"/>
        <v>83.176377110267126</v>
      </c>
      <c r="P110" s="48" t="str">
        <f t="shared" si="71"/>
        <v>5120.19230769231</v>
      </c>
      <c r="Q110" s="17" t="str">
        <f t="shared" si="72"/>
        <v>1+2.44220883667248i</v>
      </c>
      <c r="R110" s="17">
        <f t="shared" si="82"/>
        <v>2.6390119366765186</v>
      </c>
      <c r="S110" s="17">
        <f t="shared" si="83"/>
        <v>1.1821568542766983</v>
      </c>
      <c r="T110" s="17" t="str">
        <f t="shared" si="73"/>
        <v>1+5.22089977973096E-06i</v>
      </c>
      <c r="U110" s="17">
        <f t="shared" si="84"/>
        <v>1.0000000000136289</v>
      </c>
      <c r="V110" s="17">
        <f t="shared" si="85"/>
        <v>5.2208997796835238E-6</v>
      </c>
      <c r="W110" s="31" t="str">
        <f t="shared" si="74"/>
        <v>1-0.00846632396713127i</v>
      </c>
      <c r="X110" s="17">
        <f t="shared" si="86"/>
        <v>1.0000358386785528</v>
      </c>
      <c r="Y110" s="17">
        <f t="shared" si="87"/>
        <v>-8.4661216909636596E-3</v>
      </c>
      <c r="Z110" s="31" t="str">
        <f t="shared" si="75"/>
        <v>0.999997232676116+0.0515469734592075i</v>
      </c>
      <c r="AA110" s="17">
        <f t="shared" si="88"/>
        <v>1.0013249002360294</v>
      </c>
      <c r="AB110" s="17">
        <f t="shared" si="89"/>
        <v>5.1501533385863371E-2</v>
      </c>
      <c r="AC110" s="66" t="str">
        <f t="shared" si="90"/>
        <v>625.470900068804-1833.97079943282i</v>
      </c>
      <c r="AD110" s="64">
        <f t="shared" si="91"/>
        <v>65.745709328893668</v>
      </c>
      <c r="AE110" s="61">
        <f t="shared" si="92"/>
        <v>-71.168192880192436</v>
      </c>
      <c r="AF110" s="31" t="str">
        <f t="shared" si="76"/>
        <v>-10.0808080808081</v>
      </c>
      <c r="AG110" s="31" t="str">
        <f t="shared" si="93"/>
        <v>522.612590563659i</v>
      </c>
      <c r="AH110" s="31">
        <f t="shared" si="94"/>
        <v>522.61259056365896</v>
      </c>
      <c r="AI110" s="31">
        <f t="shared" si="95"/>
        <v>1.5707963267948966</v>
      </c>
      <c r="AJ110" s="31" t="str">
        <f t="shared" si="77"/>
        <v>0.994775667307839+0.701731262015676i</v>
      </c>
      <c r="AK110" s="31">
        <f t="shared" si="96"/>
        <v>1.2173764382301269</v>
      </c>
      <c r="AL110" s="31">
        <f t="shared" si="97"/>
        <v>0.61435201851192245</v>
      </c>
      <c r="AM110" s="31" t="str">
        <f t="shared" si="78"/>
        <v>1+517.993531443223i</v>
      </c>
      <c r="AN110" s="31">
        <f t="shared" si="98"/>
        <v>517.99449670534273</v>
      </c>
      <c r="AO110" s="31">
        <f t="shared" si="99"/>
        <v>1.5688658031551392</v>
      </c>
      <c r="AP110" s="31" t="str">
        <f t="shared" si="79"/>
        <v>1+0.607066785198747i</v>
      </c>
      <c r="AQ110" s="31">
        <f t="shared" si="100"/>
        <v>1.1698419045715287</v>
      </c>
      <c r="AR110" s="31">
        <f t="shared" si="101"/>
        <v>0.54559946979553064</v>
      </c>
      <c r="AS110" s="58" t="str">
        <f t="shared" si="102"/>
        <v>-9.5776092143514+0.678104513323855i</v>
      </c>
      <c r="AT110" s="49">
        <f t="shared" si="103"/>
        <v>19.64685812348343</v>
      </c>
      <c r="AU110" s="61">
        <f t="shared" si="104"/>
        <v>175.95015827097481</v>
      </c>
      <c r="AV110" s="58" t="str">
        <f t="shared" si="80"/>
        <v>-4746.89197940809+17989.1902677886i</v>
      </c>
      <c r="AW110" s="64">
        <f t="shared" si="105"/>
        <v>85.392567452377108</v>
      </c>
      <c r="AX110" s="61">
        <f t="shared" si="106"/>
        <v>104.78196539078235</v>
      </c>
    </row>
    <row r="111" spans="14:50" x14ac:dyDescent="0.4">
      <c r="N111" s="10">
        <v>93</v>
      </c>
      <c r="O111" s="50">
        <f t="shared" si="81"/>
        <v>85.113803820237734</v>
      </c>
      <c r="P111" s="48" t="str">
        <f t="shared" si="71"/>
        <v>5120.19230769231</v>
      </c>
      <c r="Q111" s="17" t="str">
        <f t="shared" si="72"/>
        <v>1+2.49909518825309i</v>
      </c>
      <c r="R111" s="17">
        <f t="shared" si="82"/>
        <v>2.6917423279262356</v>
      </c>
      <c r="S111" s="17">
        <f t="shared" si="83"/>
        <v>1.190165109112153</v>
      </c>
      <c r="T111" s="17" t="str">
        <f t="shared" si="73"/>
        <v>1+5.34251015799883E-06i</v>
      </c>
      <c r="U111" s="17">
        <f t="shared" si="84"/>
        <v>1.0000000000142713</v>
      </c>
      <c r="V111" s="17">
        <f t="shared" si="85"/>
        <v>5.3425101579480005E-6</v>
      </c>
      <c r="W111" s="31" t="str">
        <f t="shared" si="74"/>
        <v>1-0.00866352998594404i</v>
      </c>
      <c r="X111" s="17">
        <f t="shared" si="86"/>
        <v>1.0000375276717455</v>
      </c>
      <c r="Y111" s="17">
        <f t="shared" si="87"/>
        <v>-8.6633132435647367E-3</v>
      </c>
      <c r="Z111" s="31" t="str">
        <f t="shared" si="75"/>
        <v>0.99999710225616+0.0527476567140892i</v>
      </c>
      <c r="AA111" s="17">
        <f t="shared" si="88"/>
        <v>1.0013872976074465</v>
      </c>
      <c r="AB111" s="17">
        <f t="shared" si="89"/>
        <v>5.2698970440630898E-2</v>
      </c>
      <c r="AC111" s="66" t="str">
        <f t="shared" si="90"/>
        <v>596.248535530686-1803.62091382256i</v>
      </c>
      <c r="AD111" s="64">
        <f t="shared" si="91"/>
        <v>65.5733401704492</v>
      </c>
      <c r="AE111" s="61">
        <f t="shared" si="92"/>
        <v>-71.706931448958258</v>
      </c>
      <c r="AF111" s="31" t="str">
        <f t="shared" si="76"/>
        <v>-10.0808080808081</v>
      </c>
      <c r="AG111" s="31" t="str">
        <f t="shared" si="93"/>
        <v>534.785801601484i</v>
      </c>
      <c r="AH111" s="31">
        <f t="shared" si="94"/>
        <v>534.78580160148397</v>
      </c>
      <c r="AI111" s="31">
        <f t="shared" si="95"/>
        <v>1.5707963267948966</v>
      </c>
      <c r="AJ111" s="31" t="str">
        <f t="shared" si="77"/>
        <v>0.994529452093522+0.718076682884971i</v>
      </c>
      <c r="AK111" s="31">
        <f t="shared" si="96"/>
        <v>1.2266714937523102</v>
      </c>
      <c r="AL111" s="31">
        <f t="shared" si="97"/>
        <v>0.62535644141805602</v>
      </c>
      <c r="AM111" s="31" t="str">
        <f t="shared" si="78"/>
        <v>1+530.059150772611i</v>
      </c>
      <c r="AN111" s="31">
        <f t="shared" si="98"/>
        <v>530.06009406272199</v>
      </c>
      <c r="AO111" s="31">
        <f t="shared" si="99"/>
        <v>1.5689097471327063</v>
      </c>
      <c r="AP111" s="31" t="str">
        <f t="shared" si="79"/>
        <v>1+0.621207187140284i</v>
      </c>
      <c r="AQ111" s="31">
        <f t="shared" si="100"/>
        <v>1.1772418482855356</v>
      </c>
      <c r="AR111" s="31">
        <f t="shared" si="101"/>
        <v>0.55586724896458406</v>
      </c>
      <c r="AS111" s="58" t="str">
        <f t="shared" si="102"/>
        <v>-9.56468802792341+0.68384867686326i</v>
      </c>
      <c r="AT111" s="49">
        <f t="shared" si="103"/>
        <v>19.635560131335751</v>
      </c>
      <c r="AU111" s="61">
        <f t="shared" si="104"/>
        <v>175.91046949828498</v>
      </c>
      <c r="AV111" s="58" t="str">
        <f t="shared" si="80"/>
        <v>-4469.52745397676+17658.8151334552i</v>
      </c>
      <c r="AW111" s="64">
        <f t="shared" si="105"/>
        <v>85.208900301784936</v>
      </c>
      <c r="AX111" s="61">
        <f t="shared" si="106"/>
        <v>104.20353804932677</v>
      </c>
    </row>
    <row r="112" spans="14:50" x14ac:dyDescent="0.4">
      <c r="N112" s="10">
        <v>94</v>
      </c>
      <c r="O112" s="50">
        <f t="shared" si="81"/>
        <v>87.096358995608071</v>
      </c>
      <c r="P112" s="48" t="str">
        <f t="shared" si="71"/>
        <v>5120.19230769231</v>
      </c>
      <c r="Q112" s="17" t="str">
        <f t="shared" si="72"/>
        <v>1+2.55730659318193i</v>
      </c>
      <c r="R112" s="17">
        <f t="shared" si="82"/>
        <v>2.7458727231122291</v>
      </c>
      <c r="S112" s="17">
        <f t="shared" si="83"/>
        <v>1.1980409817436786</v>
      </c>
      <c r="T112" s="17" t="str">
        <f t="shared" si="73"/>
        <v>1+5.46695320586894E-06i</v>
      </c>
      <c r="U112" s="17">
        <f t="shared" si="84"/>
        <v>1.0000000000149438</v>
      </c>
      <c r="V112" s="17">
        <f t="shared" si="85"/>
        <v>5.4669532058144746E-6</v>
      </c>
      <c r="W112" s="31" t="str">
        <f t="shared" si="74"/>
        <v>1-0.0088653295230307i</v>
      </c>
      <c r="X112" s="17">
        <f t="shared" si="86"/>
        <v>1.0000392962616778</v>
      </c>
      <c r="Y112" s="17">
        <f t="shared" si="87"/>
        <v>-8.8650972798798942E-3</v>
      </c>
      <c r="Z112" s="31" t="str">
        <f t="shared" si="75"/>
        <v>0.9999969656897+0.0539763074747582i</v>
      </c>
      <c r="AA112" s="17">
        <f t="shared" si="88"/>
        <v>1.0014526315094572</v>
      </c>
      <c r="AB112" s="17">
        <f t="shared" si="89"/>
        <v>5.3924143278899418E-2</v>
      </c>
      <c r="AC112" s="66" t="str">
        <f t="shared" si="90"/>
        <v>567.985571526144-1773.31371049199i</v>
      </c>
      <c r="AD112" s="64">
        <f t="shared" si="91"/>
        <v>65.399850472657789</v>
      </c>
      <c r="AE112" s="61">
        <f t="shared" si="92"/>
        <v>-72.239937187126685</v>
      </c>
      <c r="AF112" s="31" t="str">
        <f t="shared" si="76"/>
        <v>-10.0808080808081</v>
      </c>
      <c r="AG112" s="31" t="str">
        <f t="shared" si="93"/>
        <v>547.242563150043i</v>
      </c>
      <c r="AH112" s="31">
        <f t="shared" si="94"/>
        <v>547.242563150043</v>
      </c>
      <c r="AI112" s="31">
        <f t="shared" si="95"/>
        <v>1.5707963267948966</v>
      </c>
      <c r="AJ112" s="31" t="str">
        <f t="shared" si="77"/>
        <v>0.994271633113647+0.7348028375164i</v>
      </c>
      <c r="AK112" s="31">
        <f t="shared" si="96"/>
        <v>1.2363297660562216</v>
      </c>
      <c r="AL112" s="31">
        <f t="shared" si="97"/>
        <v>0.63644734173831152</v>
      </c>
      <c r="AM112" s="31" t="str">
        <f t="shared" si="78"/>
        <v>1+542.4058144799i</v>
      </c>
      <c r="AN112" s="31">
        <f t="shared" si="98"/>
        <v>542.40673629814341</v>
      </c>
      <c r="AO112" s="31">
        <f t="shared" si="99"/>
        <v>1.5689526908302625</v>
      </c>
      <c r="AP112" s="31" t="str">
        <f t="shared" si="79"/>
        <v>1+0.63567696135509i</v>
      </c>
      <c r="AQ112" s="31">
        <f t="shared" si="100"/>
        <v>1.1849410108514435</v>
      </c>
      <c r="AR112" s="31">
        <f t="shared" si="101"/>
        <v>0.56624031446666878</v>
      </c>
      <c r="AS112" s="58" t="str">
        <f t="shared" si="102"/>
        <v>-9.55156873452344+0.689390218706436i</v>
      </c>
      <c r="AT112" s="49">
        <f t="shared" si="103"/>
        <v>19.624059160464302</v>
      </c>
      <c r="AU112" s="61">
        <f t="shared" si="104"/>
        <v>175.87180108544288</v>
      </c>
      <c r="AV112" s="58" t="str">
        <f t="shared" si="80"/>
        <v>-4202.64809993835+17329.4914910135i</v>
      </c>
      <c r="AW112" s="64">
        <f t="shared" si="105"/>
        <v>85.023909633122059</v>
      </c>
      <c r="AX112" s="61">
        <f t="shared" si="106"/>
        <v>103.63186389831623</v>
      </c>
    </row>
    <row r="113" spans="14:50" x14ac:dyDescent="0.4">
      <c r="N113" s="10">
        <v>95</v>
      </c>
      <c r="O113" s="50">
        <f t="shared" si="81"/>
        <v>89.125093813374562</v>
      </c>
      <c r="P113" s="48" t="str">
        <f t="shared" si="71"/>
        <v>5120.19230769231</v>
      </c>
      <c r="Q113" s="17" t="str">
        <f t="shared" si="72"/>
        <v>1+2.61687391591644i</v>
      </c>
      <c r="R113" s="17">
        <f t="shared" si="82"/>
        <v>2.801433399494595</v>
      </c>
      <c r="S113" s="17">
        <f t="shared" si="83"/>
        <v>1.2057847387474085</v>
      </c>
      <c r="T113" s="17" t="str">
        <f t="shared" si="73"/>
        <v>1+5.59429490469248E-06i</v>
      </c>
      <c r="U113" s="17">
        <f t="shared" si="84"/>
        <v>1.0000000000156479</v>
      </c>
      <c r="V113" s="17">
        <f t="shared" si="85"/>
        <v>5.5942949046341203E-6</v>
      </c>
      <c r="W113" s="31" t="str">
        <f t="shared" si="74"/>
        <v>1-0.00907182957517699i</v>
      </c>
      <c r="X113" s="17">
        <f t="shared" si="86"/>
        <v>1.0000411481993334</v>
      </c>
      <c r="Y113" s="17">
        <f t="shared" si="87"/>
        <v>-9.0715807227104081E-3</v>
      </c>
      <c r="Z113" s="31" t="str">
        <f t="shared" si="75"/>
        <v>0.999996822687061+0.0552335771881113i</v>
      </c>
      <c r="AA113" s="17">
        <f t="shared" si="88"/>
        <v>1.0015210399353638</v>
      </c>
      <c r="AB113" s="17">
        <f t="shared" si="89"/>
        <v>5.5177686828957198E-2</v>
      </c>
      <c r="AC113" s="66" t="str">
        <f t="shared" si="90"/>
        <v>540.664182765349-1743.07801397552i</v>
      </c>
      <c r="AD113" s="64">
        <f t="shared" si="91"/>
        <v>65.225275267644051</v>
      </c>
      <c r="AE113" s="61">
        <f t="shared" si="92"/>
        <v>-72.767267869541101</v>
      </c>
      <c r="AF113" s="31" t="str">
        <f t="shared" si="76"/>
        <v>-10.0808080808081</v>
      </c>
      <c r="AG113" s="31" t="str">
        <f t="shared" si="93"/>
        <v>559.989479949197i</v>
      </c>
      <c r="AH113" s="31">
        <f t="shared" si="94"/>
        <v>559.98947994919695</v>
      </c>
      <c r="AI113" s="31">
        <f t="shared" si="95"/>
        <v>1.5707963267948966</v>
      </c>
      <c r="AJ113" s="31" t="str">
        <f t="shared" si="77"/>
        <v>0.99400166349959+0.751918594338545i</v>
      </c>
      <c r="AK113" s="31">
        <f t="shared" si="96"/>
        <v>1.2463630608903673</v>
      </c>
      <c r="AL113" s="31">
        <f t="shared" si="97"/>
        <v>0.64762020703193679</v>
      </c>
      <c r="AM113" s="31" t="str">
        <f t="shared" si="78"/>
        <v>1+555.040068929616i</v>
      </c>
      <c r="AN113" s="31">
        <f t="shared" si="98"/>
        <v>555.04096976474898</v>
      </c>
      <c r="AO113" s="31">
        <f t="shared" si="99"/>
        <v>1.5689946570164901</v>
      </c>
      <c r="AP113" s="31" t="str">
        <f t="shared" si="79"/>
        <v>1+0.650483779908988i</v>
      </c>
      <c r="AQ113" s="31">
        <f t="shared" si="100"/>
        <v>1.1929497675613525</v>
      </c>
      <c r="AR113" s="31">
        <f t="shared" si="101"/>
        <v>0.5767152367387457</v>
      </c>
      <c r="AS113" s="58" t="str">
        <f t="shared" si="102"/>
        <v>-9.53826092901911+0.694719490817719i</v>
      </c>
      <c r="AT113" s="49">
        <f t="shared" si="103"/>
        <v>19.612362148167708</v>
      </c>
      <c r="AU113" s="61">
        <f t="shared" si="104"/>
        <v>175.83421638132074</v>
      </c>
      <c r="AV113" s="58" t="str">
        <f t="shared" si="80"/>
        <v>-3946.04577986614+17001.542862689i</v>
      </c>
      <c r="AW113" s="64">
        <f t="shared" si="105"/>
        <v>84.837637415811727</v>
      </c>
      <c r="AX113" s="61">
        <f t="shared" si="106"/>
        <v>103.06694851177967</v>
      </c>
    </row>
    <row r="114" spans="14:50" x14ac:dyDescent="0.4">
      <c r="N114" s="10">
        <v>96</v>
      </c>
      <c r="O114" s="50">
        <f t="shared" si="81"/>
        <v>91.201083935590972</v>
      </c>
      <c r="P114" s="48" t="str">
        <f t="shared" si="71"/>
        <v>5120.19230769231</v>
      </c>
      <c r="Q114" s="17" t="str">
        <f t="shared" si="72"/>
        <v>1+2.67782873983959i</v>
      </c>
      <c r="R114" s="17">
        <f t="shared" si="82"/>
        <v>2.858455310112594</v>
      </c>
      <c r="S114" s="17">
        <f t="shared" si="83"/>
        <v>1.2133967700631223</v>
      </c>
      <c r="T114" s="17" t="str">
        <f t="shared" si="73"/>
        <v>1+5.72460277272375E-06i</v>
      </c>
      <c r="U114" s="17">
        <f t="shared" si="84"/>
        <v>1.0000000000163856</v>
      </c>
      <c r="V114" s="17">
        <f t="shared" si="85"/>
        <v>5.7246027726612165E-6</v>
      </c>
      <c r="W114" s="31" t="str">
        <f t="shared" si="74"/>
        <v>1-0.0092831396314439i</v>
      </c>
      <c r="X114" s="17">
        <f t="shared" si="86"/>
        <v>1.000043087412446</v>
      </c>
      <c r="Y114" s="17">
        <f t="shared" si="87"/>
        <v>-9.2828729818422943E-3</v>
      </c>
      <c r="Z114" s="31" t="str">
        <f t="shared" si="75"/>
        <v>0.999996672944916+0.0565201324751925i</v>
      </c>
      <c r="AA114" s="17">
        <f t="shared" si="88"/>
        <v>1.001592667343324</v>
      </c>
      <c r="AB114" s="17">
        <f t="shared" si="89"/>
        <v>5.6460250018407619E-2</v>
      </c>
      <c r="AC114" s="66" t="str">
        <f t="shared" si="90"/>
        <v>514.265785609941-1712.94108645237i</v>
      </c>
      <c r="AD114" s="64">
        <f t="shared" si="91"/>
        <v>65.049648838192383</v>
      </c>
      <c r="AE114" s="61">
        <f t="shared" si="92"/>
        <v>-73.28898928376843</v>
      </c>
      <c r="AF114" s="31" t="str">
        <f t="shared" si="76"/>
        <v>-10.0808080808081</v>
      </c>
      <c r="AG114" s="31" t="str">
        <f t="shared" si="93"/>
        <v>573.033310582957i</v>
      </c>
      <c r="AH114" s="31">
        <f t="shared" si="94"/>
        <v>573.03331058295703</v>
      </c>
      <c r="AI114" s="31">
        <f t="shared" si="95"/>
        <v>1.5707963267948966</v>
      </c>
      <c r="AJ114" s="31" t="str">
        <f t="shared" si="77"/>
        <v>0.993718970609605+0.769433028352228i</v>
      </c>
      <c r="AK114" s="31">
        <f t="shared" si="96"/>
        <v>1.2567834251249075</v>
      </c>
      <c r="AL114" s="31">
        <f t="shared" si="97"/>
        <v>0.65887034454444093</v>
      </c>
      <c r="AM114" s="31" t="str">
        <f t="shared" si="78"/>
        <v>1+567.968612970703i</v>
      </c>
      <c r="AN114" s="31">
        <f t="shared" si="98"/>
        <v>567.96949330035693</v>
      </c>
      <c r="AO114" s="31">
        <f t="shared" si="99"/>
        <v>1.5690356679418258</v>
      </c>
      <c r="AP114" s="31" t="str">
        <f t="shared" si="79"/>
        <v>1+0.665635493573163i</v>
      </c>
      <c r="AQ114" s="31">
        <f t="shared" si="100"/>
        <v>1.2012787396372202</v>
      </c>
      <c r="AR114" s="31">
        <f t="shared" si="101"/>
        <v>0.58728837468410777</v>
      </c>
      <c r="AS114" s="58" t="str">
        <f t="shared" si="102"/>
        <v>-9.52477488445053+0.699827301437992i</v>
      </c>
      <c r="AT114" s="49">
        <f t="shared" si="103"/>
        <v>19.600476688068028</v>
      </c>
      <c r="AU114" s="61">
        <f t="shared" si="104"/>
        <v>175.79777691632697</v>
      </c>
      <c r="AV114" s="58" t="str">
        <f t="shared" si="80"/>
        <v>-3699.50290065556+16675.2754757502i</v>
      </c>
      <c r="AW114" s="64">
        <f t="shared" si="105"/>
        <v>84.650125526260382</v>
      </c>
      <c r="AX114" s="61">
        <f t="shared" si="106"/>
        <v>102.50878763255855</v>
      </c>
    </row>
    <row r="115" spans="14:50" x14ac:dyDescent="0.4">
      <c r="N115" s="10">
        <v>97</v>
      </c>
      <c r="O115" s="50">
        <f t="shared" si="81"/>
        <v>93.325430079699174</v>
      </c>
      <c r="P115" s="48" t="str">
        <f t="shared" si="71"/>
        <v>5120.19230769231</v>
      </c>
      <c r="Q115" s="17" t="str">
        <f t="shared" si="72"/>
        <v>1+2.74020338400586i</v>
      </c>
      <c r="R115" s="17">
        <f t="shared" si="82"/>
        <v>2.9169701036721589</v>
      </c>
      <c r="S115" s="17">
        <f t="shared" si="83"/>
        <v>1.2208775821736204</v>
      </c>
      <c r="T115" s="17" t="str">
        <f t="shared" si="73"/>
        <v>1+0.0000058579459009192i</v>
      </c>
      <c r="U115" s="17">
        <f t="shared" si="84"/>
        <v>1.0000000000171578</v>
      </c>
      <c r="V115" s="17">
        <f t="shared" si="85"/>
        <v>5.8579459008521934E-6</v>
      </c>
      <c r="W115" s="31" t="str">
        <f t="shared" si="74"/>
        <v>1-0.00949937173122031i</v>
      </c>
      <c r="X115" s="17">
        <f t="shared" si="86"/>
        <v>1.0000451180138263</v>
      </c>
      <c r="Y115" s="17">
        <f t="shared" si="87"/>
        <v>-9.499086011720656E-3</v>
      </c>
      <c r="Z115" s="31" t="str">
        <f t="shared" si="75"/>
        <v>0.99999651614564+0.0578366554846444i</v>
      </c>
      <c r="AA115" s="17">
        <f t="shared" si="88"/>
        <v>1.0016676649573284</v>
      </c>
      <c r="AB115" s="17">
        <f t="shared" si="89"/>
        <v>5.7772496044395008E-2</v>
      </c>
      <c r="AC115" s="66" t="str">
        <f t="shared" si="90"/>
        <v>488.77114359142-1682.9286409854i</v>
      </c>
      <c r="AD115" s="64">
        <f t="shared" si="91"/>
        <v>64.873004688333992</v>
      </c>
      <c r="AE115" s="61">
        <f t="shared" si="92"/>
        <v>-73.805174858091505</v>
      </c>
      <c r="AF115" s="31" t="str">
        <f t="shared" si="76"/>
        <v>-10.0808080808081</v>
      </c>
      <c r="AG115" s="31" t="str">
        <f t="shared" si="93"/>
        <v>586.380971062982i</v>
      </c>
      <c r="AH115" s="31">
        <f t="shared" si="94"/>
        <v>586.38097106298198</v>
      </c>
      <c r="AI115" s="31">
        <f t="shared" si="95"/>
        <v>1.5707963267948966</v>
      </c>
      <c r="AJ115" s="31" t="str">
        <f t="shared" si="77"/>
        <v>0.993422954814171+0.787355425942195i</v>
      </c>
      <c r="AK115" s="31">
        <f t="shared" si="96"/>
        <v>1.2676031452754974</v>
      </c>
      <c r="AL115" s="31">
        <f t="shared" si="97"/>
        <v>0.67019288960011725</v>
      </c>
      <c r="AM115" s="31" t="str">
        <f t="shared" si="78"/>
        <v>1+581.198301488341i</v>
      </c>
      <c r="AN115" s="31">
        <f t="shared" si="98"/>
        <v>581.19916177927553</v>
      </c>
      <c r="AO115" s="31">
        <f t="shared" si="99"/>
        <v>1.5690757453502524</v>
      </c>
      <c r="AP115" s="31" t="str">
        <f t="shared" si="79"/>
        <v>1+0.68114013598676i</v>
      </c>
      <c r="AQ115" s="31">
        <f t="shared" si="100"/>
        <v>1.2099387938454003</v>
      </c>
      <c r="AR115" s="31">
        <f t="shared" si="101"/>
        <v>0.59795587830085717</v>
      </c>
      <c r="AS115" s="58" t="str">
        <f t="shared" si="102"/>
        <v>-9.51112152845307+0.704704968886067i</v>
      </c>
      <c r="AT115" s="49">
        <f t="shared" si="103"/>
        <v>19.58841102130673</v>
      </c>
      <c r="AU115" s="61">
        <f t="shared" si="104"/>
        <v>175.7625420728269</v>
      </c>
      <c r="AV115" s="58" t="str">
        <f t="shared" si="80"/>
        <v>-3462.79357071589+16350.9782816635i</v>
      </c>
      <c r="AW115" s="64">
        <f t="shared" si="105"/>
        <v>84.461415709640718</v>
      </c>
      <c r="AX115" s="61">
        <f t="shared" si="106"/>
        <v>101.9573672147354</v>
      </c>
    </row>
    <row r="116" spans="14:50" x14ac:dyDescent="0.4">
      <c r="N116" s="10">
        <v>98</v>
      </c>
      <c r="O116" s="50">
        <f t="shared" si="81"/>
        <v>95.499258602143655</v>
      </c>
      <c r="P116" s="48" t="str">
        <f t="shared" si="71"/>
        <v>5120.19230769231</v>
      </c>
      <c r="Q116" s="17" t="str">
        <f t="shared" si="72"/>
        <v>1+2.8040309202772i</v>
      </c>
      <c r="R116" s="17">
        <f t="shared" si="82"/>
        <v>2.9770101447376023</v>
      </c>
      <c r="S116" s="17">
        <f t="shared" si="83"/>
        <v>1.2282277913555564</v>
      </c>
      <c r="T116" s="17" t="str">
        <f t="shared" si="73"/>
        <v>1+5.99439498957038E-06i</v>
      </c>
      <c r="U116" s="17">
        <f t="shared" si="84"/>
        <v>1.0000000000179665</v>
      </c>
      <c r="V116" s="17">
        <f t="shared" si="85"/>
        <v>5.9943949894985815E-6</v>
      </c>
      <c r="W116" s="31" t="str">
        <f t="shared" si="74"/>
        <v>1-0.00972064052362763i</v>
      </c>
      <c r="X116" s="17">
        <f t="shared" si="86"/>
        <v>1.0000472443100823</v>
      </c>
      <c r="Y116" s="17">
        <f t="shared" si="87"/>
        <v>-9.7203343704490124E-3</v>
      </c>
      <c r="Z116" s="31" t="str">
        <f t="shared" si="75"/>
        <v>0.999996351956643+0.0591838442543929i</v>
      </c>
      <c r="AA116" s="17">
        <f t="shared" si="88"/>
        <v>1.0017461910820138</v>
      </c>
      <c r="AB116" s="17">
        <f t="shared" si="89"/>
        <v>5.9115102646207465E-2</v>
      </c>
      <c r="AC116" s="66" t="str">
        <f t="shared" si="90"/>
        <v>464.16046788584-1653.06486072991i</v>
      </c>
      <c r="AD116" s="64">
        <f t="shared" si="91"/>
        <v>64.695375517746768</v>
      </c>
      <c r="AE116" s="61">
        <f t="shared" si="92"/>
        <v>-74.315905293807447</v>
      </c>
      <c r="AF116" s="31" t="str">
        <f t="shared" si="76"/>
        <v>-10.0808080808081</v>
      </c>
      <c r="AG116" s="31" t="str">
        <f t="shared" si="93"/>
        <v>600.039538495533i</v>
      </c>
      <c r="AH116" s="31">
        <f t="shared" si="94"/>
        <v>600.03953849553295</v>
      </c>
      <c r="AI116" s="31">
        <f t="shared" si="95"/>
        <v>1.5707963267948966</v>
      </c>
      <c r="AJ116" s="31" t="str">
        <f t="shared" si="77"/>
        <v>0.993112988224098+0.805695289800876i</v>
      </c>
      <c r="AK116" s="31">
        <f t="shared" si="96"/>
        <v>1.2788347459256473</v>
      </c>
      <c r="AL116" s="31">
        <f t="shared" si="97"/>
        <v>0.6815828149567198</v>
      </c>
      <c r="AM116" s="31" t="str">
        <f t="shared" si="78"/>
        <v>1+594.736149038496i</v>
      </c>
      <c r="AN116" s="31">
        <f t="shared" si="98"/>
        <v>594.73698974684612</v>
      </c>
      <c r="AO116" s="31">
        <f t="shared" si="99"/>
        <v>1.5691149104908271</v>
      </c>
      <c r="AP116" s="31" t="str">
        <f t="shared" si="79"/>
        <v>1+0.697005927916411i</v>
      </c>
      <c r="AQ116" s="31">
        <f t="shared" si="100"/>
        <v>1.2189410418681526</v>
      </c>
      <c r="AR116" s="31">
        <f t="shared" si="101"/>
        <v>0.60871369226585137</v>
      </c>
      <c r="AS116" s="58" t="str">
        <f t="shared" si="102"/>
        <v>-9.49731241477295+0.709344374027118i</v>
      </c>
      <c r="AT116" s="49">
        <f t="shared" si="103"/>
        <v>19.576174023395822</v>
      </c>
      <c r="AU116" s="61">
        <f t="shared" si="104"/>
        <v>175.72856875516459</v>
      </c>
      <c r="AV116" s="58" t="str">
        <f t="shared" si="80"/>
        <v>-3235.68471523833+16028.9230407757i</v>
      </c>
      <c r="AW116" s="64">
        <f t="shared" si="105"/>
        <v>84.271549541142576</v>
      </c>
      <c r="AX116" s="61">
        <f t="shared" si="106"/>
        <v>101.41266346135717</v>
      </c>
    </row>
    <row r="117" spans="14:50" x14ac:dyDescent="0.4">
      <c r="N117" s="10">
        <v>99</v>
      </c>
      <c r="O117" s="50">
        <f t="shared" si="81"/>
        <v>97.723722095581124</v>
      </c>
      <c r="P117" s="48" t="str">
        <f t="shared" si="71"/>
        <v>5120.19230769231</v>
      </c>
      <c r="Q117" s="17" t="str">
        <f t="shared" si="72"/>
        <v>1+2.86934519085821i</v>
      </c>
      <c r="R117" s="17">
        <f t="shared" si="82"/>
        <v>3.0386085342309466</v>
      </c>
      <c r="S117" s="17">
        <f t="shared" si="83"/>
        <v>1.2354481170265188</v>
      </c>
      <c r="T117" s="17" t="str">
        <f t="shared" si="73"/>
        <v>1+6.13402238579023E-06i</v>
      </c>
      <c r="U117" s="17">
        <f t="shared" si="84"/>
        <v>1.000000000018813</v>
      </c>
      <c r="V117" s="17">
        <f t="shared" si="85"/>
        <v>6.1340223857132969E-6</v>
      </c>
      <c r="W117" s="31" t="str">
        <f t="shared" si="74"/>
        <v>1-0.00994706332830847i</v>
      </c>
      <c r="X117" s="17">
        <f t="shared" si="86"/>
        <v>1.0000494708107481</v>
      </c>
      <c r="Y117" s="17">
        <f t="shared" si="87"/>
        <v>-9.9467352801436738E-3</v>
      </c>
      <c r="Z117" s="31" t="str">
        <f t="shared" si="75"/>
        <v>0.999996180029656+0.0605624130817557i</v>
      </c>
      <c r="AA117" s="17">
        <f t="shared" si="88"/>
        <v>1.0018284114319125</v>
      </c>
      <c r="AB117" s="17">
        <f t="shared" si="89"/>
        <v>6.0488762380041659E-2</v>
      </c>
      <c r="AC117" s="66" t="str">
        <f t="shared" si="90"/>
        <v>440.413512562639-1623.37242347087i</v>
      </c>
      <c r="AD117" s="64">
        <f t="shared" si="91"/>
        <v>64.516793199765459</v>
      </c>
      <c r="AE117" s="61">
        <f t="shared" si="92"/>
        <v>-74.821268203242198</v>
      </c>
      <c r="AF117" s="31" t="str">
        <f t="shared" si="76"/>
        <v>-10.0808080808081</v>
      </c>
      <c r="AG117" s="31" t="str">
        <f t="shared" si="93"/>
        <v>614.016254833856i</v>
      </c>
      <c r="AH117" s="31">
        <f t="shared" si="94"/>
        <v>614.01625483385601</v>
      </c>
      <c r="AI117" s="31">
        <f t="shared" si="95"/>
        <v>1.5707963267948966</v>
      </c>
      <c r="AJ117" s="31" t="str">
        <f t="shared" si="77"/>
        <v>0.99278841335869+0.824462343966848i</v>
      </c>
      <c r="AK117" s="31">
        <f t="shared" si="96"/>
        <v>1.2904909880811157</v>
      </c>
      <c r="AL117" s="31">
        <f t="shared" si="97"/>
        <v>0.69303494109320329</v>
      </c>
      <c r="AM117" s="31" t="str">
        <f t="shared" si="78"/>
        <v>1+608.589333567135i</v>
      </c>
      <c r="AN117" s="31">
        <f t="shared" si="98"/>
        <v>608.59015513865279</v>
      </c>
      <c r="AO117" s="31">
        <f t="shared" si="99"/>
        <v>1.569153184128945</v>
      </c>
      <c r="AP117" s="31" t="str">
        <f t="shared" si="79"/>
        <v>1+0.713241281615008i</v>
      </c>
      <c r="AQ117" s="31">
        <f t="shared" si="100"/>
        <v>1.2282968394487626</v>
      </c>
      <c r="AR117" s="31">
        <f t="shared" si="101"/>
        <v>0.61955756049453914</v>
      </c>
      <c r="AS117" s="58" t="str">
        <f t="shared" si="102"/>
        <v>-9.48335968994685+0.713738010895691i</v>
      </c>
      <c r="AT117" s="49">
        <f t="shared" si="103"/>
        <v>19.563775186645639</v>
      </c>
      <c r="AU117" s="61">
        <f t="shared" si="104"/>
        <v>175.69591106212323</v>
      </c>
      <c r="AV117" s="58" t="str">
        <f t="shared" si="80"/>
        <v>-3017.93714747342+15709.364466943i</v>
      </c>
      <c r="AW117" s="64">
        <f t="shared" si="105"/>
        <v>84.080568386411073</v>
      </c>
      <c r="AX117" s="61">
        <f t="shared" si="106"/>
        <v>100.87464285888107</v>
      </c>
    </row>
    <row r="118" spans="14:50" x14ac:dyDescent="0.4">
      <c r="N118" s="10">
        <v>100</v>
      </c>
      <c r="O118" s="50">
        <f t="shared" si="81"/>
        <v>100</v>
      </c>
      <c r="P118" s="48" t="str">
        <f t="shared" si="71"/>
        <v>5120.19230769231</v>
      </c>
      <c r="Q118" s="17" t="str">
        <f t="shared" si="72"/>
        <v>1+2.93618082623969i</v>
      </c>
      <c r="R118" s="17">
        <f t="shared" si="82"/>
        <v>3.1017991302432186</v>
      </c>
      <c r="S118" s="17">
        <f t="shared" si="83"/>
        <v>1.2425393752103417</v>
      </c>
      <c r="T118" s="17" t="str">
        <f t="shared" si="73"/>
        <v>1+6.27690212187242E-06i</v>
      </c>
      <c r="U118" s="17">
        <f t="shared" si="84"/>
        <v>1.0000000000196998</v>
      </c>
      <c r="V118" s="17">
        <f t="shared" si="85"/>
        <v>6.276902121789984E-6</v>
      </c>
      <c r="W118" s="31" t="str">
        <f t="shared" si="74"/>
        <v>1-0.0101787601976309i</v>
      </c>
      <c r="X118" s="17">
        <f t="shared" si="86"/>
        <v>1.0000518022378446</v>
      </c>
      <c r="Y118" s="17">
        <f t="shared" si="87"/>
        <v>-1.0178408688672662E-2</v>
      </c>
      <c r="Z118" s="31" t="str">
        <f t="shared" si="75"/>
        <v>0.999996+0.0619730929021729i</v>
      </c>
      <c r="AA118" s="17">
        <f t="shared" si="88"/>
        <v>1.0019144994758091</v>
      </c>
      <c r="AB118" s="17">
        <f t="shared" si="89"/>
        <v>6.1894182895691242E-2</v>
      </c>
      <c r="AC118" s="66" t="str">
        <f t="shared" si="90"/>
        <v>417.509664486745-1593.87253086813i</v>
      </c>
      <c r="AD118" s="64">
        <f t="shared" si="91"/>
        <v>64.337288762797101</v>
      </c>
      <c r="AE118" s="61">
        <f t="shared" si="92"/>
        <v>-75.321357754728922</v>
      </c>
      <c r="AF118" s="31" t="str">
        <f t="shared" si="76"/>
        <v>-10.0808080808081</v>
      </c>
      <c r="AG118" s="31" t="str">
        <f t="shared" si="93"/>
        <v>628.318530717959i</v>
      </c>
      <c r="AH118" s="31">
        <f t="shared" si="94"/>
        <v>628.31853071795899</v>
      </c>
      <c r="AI118" s="31">
        <f t="shared" si="95"/>
        <v>1.5707963267948966</v>
      </c>
      <c r="AJ118" s="31" t="str">
        <f t="shared" si="77"/>
        <v>0.992448541751142+0.84366653898064i</v>
      </c>
      <c r="AK118" s="31">
        <f t="shared" si="96"/>
        <v>1.3025848674921492</v>
      </c>
      <c r="AL118" s="31">
        <f t="shared" si="97"/>
        <v>0.7045439473920927</v>
      </c>
      <c r="AM118" s="31" t="str">
        <f t="shared" si="78"/>
        <v>1+622.765200216064i</v>
      </c>
      <c r="AN118" s="31">
        <f t="shared" si="98"/>
        <v>622.76600308635534</v>
      </c>
      <c r="AO118" s="31">
        <f t="shared" si="99"/>
        <v>1.569190586557347</v>
      </c>
      <c r="AP118" s="31" t="str">
        <f t="shared" si="79"/>
        <v>1+0.729854805281982i</v>
      </c>
      <c r="AQ118" s="31">
        <f t="shared" si="100"/>
        <v>1.2380177853299199</v>
      </c>
      <c r="AR118" s="31">
        <f t="shared" si="101"/>
        <v>0.63048303168962638</v>
      </c>
      <c r="AS118" s="58" t="str">
        <f t="shared" si="102"/>
        <v>-9.46927605527785+0.717879034962868i</v>
      </c>
      <c r="AT118" s="49">
        <f t="shared" si="103"/>
        <v>19.551224598138976</v>
      </c>
      <c r="AU118" s="61">
        <f t="shared" si="104"/>
        <v>175.6646199647686</v>
      </c>
      <c r="AV118" s="58" t="str">
        <f t="shared" si="80"/>
        <v>-2809.30659445799+15392.5404267441i</v>
      </c>
      <c r="AW118" s="64">
        <f t="shared" si="105"/>
        <v>83.888513360936088</v>
      </c>
      <c r="AX118" s="61">
        <f t="shared" si="106"/>
        <v>100.3432622100397</v>
      </c>
    </row>
    <row r="119" spans="14:50" x14ac:dyDescent="0.4">
      <c r="N119" s="10">
        <v>1</v>
      </c>
      <c r="O119" s="50">
        <f>10^(2+(N119/100))</f>
        <v>102.32929922807544</v>
      </c>
      <c r="P119" s="48" t="str">
        <f t="shared" si="71"/>
        <v>5120.19230769231</v>
      </c>
      <c r="Q119" s="17" t="str">
        <f t="shared" si="72"/>
        <v>1+3.00457326356019i</v>
      </c>
      <c r="R119" s="17">
        <f t="shared" si="82"/>
        <v>3.1666165691634864</v>
      </c>
      <c r="S119" s="17">
        <f t="shared" si="83"/>
        <v>1.2495024721399919</v>
      </c>
      <c r="T119" s="17" t="str">
        <f t="shared" si="73"/>
        <v>1+6.42310995454424E-06i</v>
      </c>
      <c r="U119" s="17">
        <f t="shared" si="84"/>
        <v>1.0000000000206282</v>
      </c>
      <c r="V119" s="17">
        <f t="shared" si="85"/>
        <v>6.4231099544559086E-6</v>
      </c>
      <c r="W119" s="31" t="str">
        <f t="shared" si="74"/>
        <v>1-0.010415853980342i</v>
      </c>
      <c r="X119" s="17">
        <f t="shared" si="86"/>
        <v>1.0000542435358892</v>
      </c>
      <c r="Y119" s="17">
        <f t="shared" si="87"/>
        <v>-1.0415477332810659E-2</v>
      </c>
      <c r="Z119" s="31" t="str">
        <f t="shared" si="75"/>
        <v>0.999995811485808+0.0634166316767577i</v>
      </c>
      <c r="AA119" s="17">
        <f t="shared" si="88"/>
        <v>1.0020046367968489</v>
      </c>
      <c r="AB119" s="17">
        <f t="shared" si="89"/>
        <v>6.3332087214893987E-2</v>
      </c>
      <c r="AC119" s="66" t="str">
        <f t="shared" si="90"/>
        <v>395.428027808444-1564.58494181342i</v>
      </c>
      <c r="AD119" s="64">
        <f t="shared" si="91"/>
        <v>64.156892374930564</v>
      </c>
      <c r="AE119" s="61">
        <f t="shared" si="92"/>
        <v>-75.816274325644613</v>
      </c>
      <c r="AF119" s="31" t="str">
        <f t="shared" si="76"/>
        <v>-10.0808080808081</v>
      </c>
      <c r="AG119" s="31" t="str">
        <f t="shared" si="93"/>
        <v>642.953949403827i</v>
      </c>
      <c r="AH119" s="31">
        <f t="shared" si="94"/>
        <v>642.95394940382698</v>
      </c>
      <c r="AI119" s="31">
        <f t="shared" si="95"/>
        <v>1.5707963267948966</v>
      </c>
      <c r="AJ119" s="31" t="str">
        <f t="shared" si="77"/>
        <v>0.992092652488206+0.863318057160646i</v>
      </c>
      <c r="AK119" s="31">
        <f t="shared" si="96"/>
        <v>1.3151296129814418</v>
      </c>
      <c r="AL119" s="31">
        <f t="shared" si="97"/>
        <v>0.716104384168881</v>
      </c>
      <c r="AM119" s="31" t="str">
        <f t="shared" si="78"/>
        <v>1+637.271265217418i</v>
      </c>
      <c r="AN119" s="31">
        <f t="shared" si="98"/>
        <v>637.27204981217301</v>
      </c>
      <c r="AO119" s="31">
        <f t="shared" si="99"/>
        <v>1.5692271376068767</v>
      </c>
      <c r="AP119" s="31" t="str">
        <f t="shared" si="79"/>
        <v>1+0.746855307627486i</v>
      </c>
      <c r="AQ119" s="31">
        <f t="shared" si="100"/>
        <v>1.2481157200081034</v>
      </c>
      <c r="AR119" s="31">
        <f t="shared" si="101"/>
        <v>0.64148546588358413</v>
      </c>
      <c r="AS119" s="58" t="str">
        <f t="shared" si="102"/>
        <v>-9.45507472430027+0.721761308546546i</v>
      </c>
      <c r="AT119" s="49">
        <f t="shared" si="103"/>
        <v>19.538532913271613</v>
      </c>
      <c r="AU119" s="61">
        <f t="shared" si="104"/>
        <v>175.63474299268981</v>
      </c>
      <c r="AV119" s="58" t="str">
        <f t="shared" si="80"/>
        <v>-2609.54467607605+15078.6721881479i</v>
      </c>
      <c r="AW119" s="64">
        <f t="shared" si="105"/>
        <v>83.695425288202188</v>
      </c>
      <c r="AX119" s="61">
        <f t="shared" si="106"/>
        <v>99.818468667045181</v>
      </c>
    </row>
    <row r="120" spans="14:50" x14ac:dyDescent="0.4">
      <c r="N120" s="10">
        <v>2</v>
      </c>
      <c r="O120" s="50">
        <f t="shared" ref="O120:O183" si="107">10^(2+(N120/100))</f>
        <v>104.71285480508998</v>
      </c>
      <c r="P120" s="48" t="str">
        <f t="shared" si="71"/>
        <v>5120.19230769231</v>
      </c>
      <c r="Q120" s="17" t="str">
        <f t="shared" si="72"/>
        <v>1+3.07455876539526i</v>
      </c>
      <c r="R120" s="17">
        <f t="shared" si="82"/>
        <v>3.2330962871323252</v>
      </c>
      <c r="S120" s="17">
        <f t="shared" si="83"/>
        <v>1.2563383980148</v>
      </c>
      <c r="T120" s="17" t="str">
        <f t="shared" si="73"/>
        <v>1+6.57272340513387E-06i</v>
      </c>
      <c r="U120" s="17">
        <f t="shared" si="84"/>
        <v>1.0000000000216005</v>
      </c>
      <c r="V120" s="17">
        <f t="shared" si="85"/>
        <v>6.5727234050392209E-6</v>
      </c>
      <c r="W120" s="31" t="str">
        <f t="shared" si="74"/>
        <v>1-0.0106584703867036i</v>
      </c>
      <c r="X120" s="17">
        <f t="shared" si="86"/>
        <v>1.0000567998823788</v>
      </c>
      <c r="Y120" s="17">
        <f t="shared" si="87"/>
        <v>-1.0658066802840494E-2</v>
      </c>
      <c r="Z120" s="31" t="str">
        <f t="shared" si="75"/>
        <v>0.999995614087215+0.0648937947888759i</v>
      </c>
      <c r="AA120" s="17">
        <f t="shared" si="88"/>
        <v>1.0020990134691117</v>
      </c>
      <c r="AB120" s="17">
        <f t="shared" si="89"/>
        <v>6.4803214011049728E-2</v>
      </c>
      <c r="AC120" s="66" t="str">
        <f t="shared" si="90"/>
        <v>374.147503025399-1535.52800933117i</v>
      </c>
      <c r="AD120" s="64">
        <f t="shared" si="91"/>
        <v>63.975633331528201</v>
      </c>
      <c r="AE120" s="61">
        <f t="shared" si="92"/>
        <v>-76.306124164451518</v>
      </c>
      <c r="AF120" s="31" t="str">
        <f t="shared" si="76"/>
        <v>-10.0808080808081</v>
      </c>
      <c r="AG120" s="31" t="str">
        <f t="shared" si="93"/>
        <v>657.930270784171i</v>
      </c>
      <c r="AH120" s="31">
        <f t="shared" si="94"/>
        <v>657.93027078417094</v>
      </c>
      <c r="AI120" s="31">
        <f t="shared" si="95"/>
        <v>1.5707963267948966</v>
      </c>
      <c r="AJ120" s="31" t="str">
        <f t="shared" si="77"/>
        <v>0.991719990681041+0.883427318001925i</v>
      </c>
      <c r="AK120" s="31">
        <f t="shared" si="96"/>
        <v>1.3281386848173946</v>
      </c>
      <c r="AL120" s="31">
        <f t="shared" si="97"/>
        <v>0.72771068549184059</v>
      </c>
      <c r="AM120" s="31" t="str">
        <f t="shared" si="78"/>
        <v>1+652.115219878874i</v>
      </c>
      <c r="AN120" s="31">
        <f t="shared" si="98"/>
        <v>652.11598661409323</v>
      </c>
      <c r="AO120" s="31">
        <f t="shared" si="99"/>
        <v>1.5692628566569935</v>
      </c>
      <c r="AP120" s="31" t="str">
        <f t="shared" si="79"/>
        <v>1+0.764251802542893i</v>
      </c>
      <c r="AQ120" s="31">
        <f t="shared" si="100"/>
        <v>1.2586027243296676</v>
      </c>
      <c r="AR120" s="31">
        <f t="shared" si="101"/>
        <v>0.65256004197151729</v>
      </c>
      <c r="AS120" s="58" t="str">
        <f t="shared" si="102"/>
        <v>-9.44076937598665+0.725379442880947i</v>
      </c>
      <c r="AT120" s="49">
        <f t="shared" si="103"/>
        <v>19.52571132493215</v>
      </c>
      <c r="AU120" s="61">
        <f t="shared" si="104"/>
        <v>175.60632393168214</v>
      </c>
      <c r="AV120" s="58" t="str">
        <f t="shared" si="80"/>
        <v>-2418.39983672733+14767.9647137633i</v>
      </c>
      <c r="AW120" s="64">
        <f t="shared" si="105"/>
        <v>83.501344656460347</v>
      </c>
      <c r="AX120" s="61">
        <f t="shared" si="106"/>
        <v>99.300199767230666</v>
      </c>
    </row>
    <row r="121" spans="14:50" x14ac:dyDescent="0.4">
      <c r="N121" s="10">
        <v>3</v>
      </c>
      <c r="O121" s="50">
        <f t="shared" si="107"/>
        <v>107.15193052376065</v>
      </c>
      <c r="P121" s="48" t="str">
        <f t="shared" si="71"/>
        <v>5120.19230769231</v>
      </c>
      <c r="Q121" s="17" t="str">
        <f t="shared" si="72"/>
        <v>1+3.14617443898434i</v>
      </c>
      <c r="R121" s="17">
        <f t="shared" si="82"/>
        <v>3.3012745418275085</v>
      </c>
      <c r="S121" s="17">
        <f t="shared" si="83"/>
        <v>1.2630482209263834</v>
      </c>
      <c r="T121" s="17" t="str">
        <f t="shared" si="73"/>
        <v>1+6.72582180067319E-06i</v>
      </c>
      <c r="U121" s="17">
        <f t="shared" si="84"/>
        <v>1.0000000000226184</v>
      </c>
      <c r="V121" s="17">
        <f t="shared" si="85"/>
        <v>6.7258218005717722E-6</v>
      </c>
      <c r="W121" s="31" t="str">
        <f t="shared" si="74"/>
        <v>1-0.0109067380551457i</v>
      </c>
      <c r="X121" s="17">
        <f t="shared" si="86"/>
        <v>1.0000594766987629</v>
      </c>
      <c r="Y121" s="17">
        <f t="shared" si="87"/>
        <v>-1.0906305608634145E-2</v>
      </c>
      <c r="Z121" s="31" t="str">
        <f t="shared" si="75"/>
        <v>0.999995407385514+0.066405365449962i</v>
      </c>
      <c r="AA121" s="17">
        <f t="shared" si="88"/>
        <v>1.0021978284513806</v>
      </c>
      <c r="AB121" s="17">
        <f t="shared" si="89"/>
        <v>6.6308317889987659E-2</v>
      </c>
      <c r="AC121" s="66" t="str">
        <f t="shared" si="90"/>
        <v>353.646860645576-1506.71872048574i</v>
      </c>
      <c r="AD121" s="64">
        <f t="shared" si="91"/>
        <v>63.793540045588728</v>
      </c>
      <c r="AE121" s="61">
        <f t="shared" si="92"/>
        <v>-76.791019062548742</v>
      </c>
      <c r="AF121" s="31" t="str">
        <f t="shared" si="76"/>
        <v>-10.0808080808081</v>
      </c>
      <c r="AG121" s="31" t="str">
        <f t="shared" si="93"/>
        <v>673.255435502821i</v>
      </c>
      <c r="AH121" s="31">
        <f t="shared" si="94"/>
        <v>673.255435502821</v>
      </c>
      <c r="AI121" s="31">
        <f t="shared" si="95"/>
        <v>1.5707963267948966</v>
      </c>
      <c r="AJ121" s="31" t="str">
        <f t="shared" si="77"/>
        <v>0.991329765863991+0.904004983700751i</v>
      </c>
      <c r="AK121" s="31">
        <f t="shared" si="96"/>
        <v>1.3416257731736336</v>
      </c>
      <c r="AL121" s="31">
        <f t="shared" si="97"/>
        <v>0.73935718272708473</v>
      </c>
      <c r="AM121" s="31" t="str">
        <f t="shared" si="78"/>
        <v>1+667.304934661675i</v>
      </c>
      <c r="AN121" s="31">
        <f t="shared" si="98"/>
        <v>667.30568394388968</v>
      </c>
      <c r="AO121" s="31">
        <f t="shared" si="99"/>
        <v>1.569297762646046</v>
      </c>
      <c r="AP121" s="31" t="str">
        <f t="shared" si="79"/>
        <v>1+0.782053513880077i</v>
      </c>
      <c r="AQ121" s="31">
        <f t="shared" si="100"/>
        <v>1.2694911179571819</v>
      </c>
      <c r="AR121" s="31">
        <f t="shared" si="101"/>
        <v>0.66370176622205068</v>
      </c>
      <c r="AS121" s="58" t="str">
        <f t="shared" si="102"/>
        <v>-9.42637410400801+0.728728836387482i</v>
      </c>
      <c r="AT121" s="49">
        <f t="shared" si="103"/>
        <v>19.512771528447828</v>
      </c>
      <c r="AU121" s="61">
        <f t="shared" si="104"/>
        <v>175.5794025358984</v>
      </c>
      <c r="AV121" s="58" t="str">
        <f t="shared" si="80"/>
        <v>-2235.61822921038+14460.6069940612i</v>
      </c>
      <c r="AW121" s="64">
        <f t="shared" si="105"/>
        <v>83.306311574036556</v>
      </c>
      <c r="AX121" s="61">
        <f t="shared" si="106"/>
        <v>98.788383473349683</v>
      </c>
    </row>
    <row r="122" spans="14:50" x14ac:dyDescent="0.4">
      <c r="N122" s="10">
        <v>4</v>
      </c>
      <c r="O122" s="50">
        <f t="shared" si="107"/>
        <v>109.64781961431861</v>
      </c>
      <c r="P122" s="48" t="str">
        <f t="shared" si="71"/>
        <v>5120.19230769231</v>
      </c>
      <c r="Q122" s="17" t="str">
        <f t="shared" si="72"/>
        <v>1+3.21945825590551i</v>
      </c>
      <c r="R122" s="17">
        <f t="shared" si="82"/>
        <v>3.3711884345907079</v>
      </c>
      <c r="S122" s="17">
        <f t="shared" si="83"/>
        <v>1.2696330809653218</v>
      </c>
      <c r="T122" s="17" t="str">
        <f t="shared" si="73"/>
        <v>1+0.000006882486315958i</v>
      </c>
      <c r="U122" s="17">
        <f t="shared" si="84"/>
        <v>1.0000000000236842</v>
      </c>
      <c r="V122" s="17">
        <f t="shared" si="85"/>
        <v>6.8824863158493294E-6</v>
      </c>
      <c r="W122" s="31" t="str">
        <f t="shared" si="74"/>
        <v>1-0.0111607886204724i</v>
      </c>
      <c r="X122" s="17">
        <f t="shared" si="86"/>
        <v>1.0000622796619372</v>
      </c>
      <c r="Y122" s="17">
        <f t="shared" si="87"/>
        <v>-1.1160325247245308E-2</v>
      </c>
      <c r="Z122" s="31" t="str">
        <f t="shared" si="75"/>
        <v>0.999995190942262+0.0679521451147886i</v>
      </c>
      <c r="AA122" s="17">
        <f t="shared" si="88"/>
        <v>1.0023012899988468</v>
      </c>
      <c r="AB122" s="17">
        <f t="shared" si="89"/>
        <v>6.7848169671435171E-2</v>
      </c>
      <c r="AC122" s="66" t="str">
        <f t="shared" si="90"/>
        <v>333.904809518682-1478.17273878981i</v>
      </c>
      <c r="AD122" s="64">
        <f t="shared" si="91"/>
        <v>63.610640040670063</v>
      </c>
      <c r="AE122" s="61">
        <f t="shared" si="92"/>
        <v>-77.271076036607255</v>
      </c>
      <c r="AF122" s="31" t="str">
        <f t="shared" si="76"/>
        <v>-10.0808080808081</v>
      </c>
      <c r="AG122" s="31" t="str">
        <f t="shared" si="93"/>
        <v>688.937569164964i</v>
      </c>
      <c r="AH122" s="31">
        <f t="shared" si="94"/>
        <v>688.93756916496397</v>
      </c>
      <c r="AI122" s="31">
        <f t="shared" si="95"/>
        <v>1.5707963267948966</v>
      </c>
      <c r="AJ122" s="31" t="str">
        <f t="shared" si="77"/>
        <v>0.9909211503179+0.925061964807857i</v>
      </c>
      <c r="AK122" s="31">
        <f t="shared" si="96"/>
        <v>1.3556047967167728</v>
      </c>
      <c r="AL122" s="31">
        <f t="shared" si="97"/>
        <v>0.75103811873566895</v>
      </c>
      <c r="AM122" s="31" t="str">
        <f t="shared" si="78"/>
        <v>1+682.848463353659i</v>
      </c>
      <c r="AN122" s="31">
        <f t="shared" si="98"/>
        <v>682.84919558014656</v>
      </c>
      <c r="AO122" s="31">
        <f t="shared" si="99"/>
        <v>1.5693318740813111</v>
      </c>
      <c r="AP122" s="31" t="str">
        <f t="shared" si="79"/>
        <v>1+0.800269880342023i</v>
      </c>
      <c r="AQ122" s="31">
        <f t="shared" si="100"/>
        <v>1.280793457737287</v>
      </c>
      <c r="AR122" s="31">
        <f t="shared" si="101"/>
        <v>0.67490548174477316</v>
      </c>
      <c r="AS122" s="58" t="str">
        <f t="shared" si="102"/>
        <v>-9.41190336241532+0.731805708721902i</v>
      </c>
      <c r="AT122" s="49">
        <f t="shared" si="103"/>
        <v>19.499725682478417</v>
      </c>
      <c r="AU122" s="61">
        <f t="shared" si="104"/>
        <v>175.5540142574352</v>
      </c>
      <c r="AV122" s="58" t="str">
        <f t="shared" si="80"/>
        <v>-2060.94455071206+14156.7724162219i</v>
      </c>
      <c r="AW122" s="64">
        <f t="shared" si="105"/>
        <v>83.110365723148448</v>
      </c>
      <c r="AX122" s="61">
        <f t="shared" si="106"/>
        <v>98.282938220827987</v>
      </c>
    </row>
    <row r="123" spans="14:50" x14ac:dyDescent="0.4">
      <c r="N123" s="10">
        <v>5</v>
      </c>
      <c r="O123" s="50">
        <f t="shared" si="107"/>
        <v>112.20184543019634</v>
      </c>
      <c r="P123" s="48" t="str">
        <f t="shared" si="71"/>
        <v>5120.19230769231</v>
      </c>
      <c r="Q123" s="17" t="str">
        <f t="shared" si="72"/>
        <v>1+3.29444907220852i</v>
      </c>
      <c r="R123" s="17">
        <f t="shared" si="82"/>
        <v>3.4428759329048697</v>
      </c>
      <c r="S123" s="17">
        <f t="shared" si="83"/>
        <v>1.2760941845185014</v>
      </c>
      <c r="T123" s="17" t="str">
        <f t="shared" si="73"/>
        <v>1+0.000007042800016588i</v>
      </c>
      <c r="U123" s="17">
        <f t="shared" si="84"/>
        <v>1.0000000000248006</v>
      </c>
      <c r="V123" s="17">
        <f t="shared" si="85"/>
        <v>7.0428000164715566E-6</v>
      </c>
      <c r="W123" s="31" t="str">
        <f t="shared" si="74"/>
        <v>1-0.0114207567836562i</v>
      </c>
      <c r="X123" s="17">
        <f t="shared" si="86"/>
        <v>1.0000652147162761</v>
      </c>
      <c r="Y123" s="17">
        <f t="shared" si="87"/>
        <v>-1.1420260272046517E-2</v>
      </c>
      <c r="Z123" s="31" t="str">
        <f t="shared" si="75"/>
        <v>0.999994964298353+0.0695349539064081i</v>
      </c>
      <c r="AA123" s="17">
        <f t="shared" si="88"/>
        <v>1.0024096160935563</v>
      </c>
      <c r="AB123" s="17">
        <f t="shared" si="89"/>
        <v>6.9423556670803882E-2</v>
      </c>
      <c r="AC123" s="66" t="str">
        <f t="shared" si="90"/>
        <v>314.900059937543-1449.90444864237i</v>
      </c>
      <c r="AD123" s="64">
        <f t="shared" si="91"/>
        <v>63.426959946165262</v>
      </c>
      <c r="AE123" s="61">
        <f t="shared" si="92"/>
        <v>-77.746417021935329</v>
      </c>
      <c r="AF123" s="31" t="str">
        <f t="shared" si="76"/>
        <v>-10.0808080808081</v>
      </c>
      <c r="AG123" s="31" t="str">
        <f t="shared" si="93"/>
        <v>704.984986645445i</v>
      </c>
      <c r="AH123" s="31">
        <f t="shared" si="94"/>
        <v>704.98498664544502</v>
      </c>
      <c r="AI123" s="31">
        <f t="shared" si="95"/>
        <v>1.5707963267948966</v>
      </c>
      <c r="AJ123" s="31" t="str">
        <f t="shared" si="77"/>
        <v>0.99049327731441+0.946609426013345i</v>
      </c>
      <c r="AK123" s="31">
        <f t="shared" si="96"/>
        <v>1.3700899013649999</v>
      </c>
      <c r="AL123" s="31">
        <f t="shared" si="97"/>
        <v>0.762747662642139</v>
      </c>
      <c r="AM123" s="31" t="str">
        <f t="shared" si="78"/>
        <v>1+698.75404733948i</v>
      </c>
      <c r="AN123" s="31">
        <f t="shared" si="98"/>
        <v>698.75476289847529</v>
      </c>
      <c r="AO123" s="31">
        <f t="shared" si="99"/>
        <v>1.5693652090488055</v>
      </c>
      <c r="AP123" s="31" t="str">
        <f t="shared" si="79"/>
        <v>1+0.818910560487349i</v>
      </c>
      <c r="AQ123" s="31">
        <f t="shared" si="100"/>
        <v>1.2925225360038037</v>
      </c>
      <c r="AR123" s="31">
        <f t="shared" si="101"/>
        <v>0.68616587888347247</v>
      </c>
      <c r="AS123" s="58" t="str">
        <f t="shared" si="102"/>
        <v>-9.39737190816014+0.734607130214315i</v>
      </c>
      <c r="AT123" s="49">
        <f t="shared" si="103"/>
        <v>19.486586366092734</v>
      </c>
      <c r="AU123" s="61">
        <f t="shared" si="104"/>
        <v>175.53018999620758</v>
      </c>
      <c r="AV123" s="58" t="str">
        <f t="shared" si="80"/>
        <v>-1894.12283103287+13856.6191645233i</v>
      </c>
      <c r="AW123" s="64">
        <f t="shared" si="105"/>
        <v>82.913546312258006</v>
      </c>
      <c r="AX123" s="61">
        <f t="shared" si="106"/>
        <v>97.78377297427221</v>
      </c>
    </row>
    <row r="124" spans="14:50" x14ac:dyDescent="0.4">
      <c r="N124" s="10">
        <v>6</v>
      </c>
      <c r="O124" s="50">
        <f t="shared" si="107"/>
        <v>114.81536214968835</v>
      </c>
      <c r="P124" s="48" t="str">
        <f t="shared" si="71"/>
        <v>5120.19230769231</v>
      </c>
      <c r="Q124" s="17" t="str">
        <f t="shared" si="72"/>
        <v>1+3.37118664901681i</v>
      </c>
      <c r="R124" s="17">
        <f t="shared" si="82"/>
        <v>3.5163758932328593</v>
      </c>
      <c r="S124" s="17">
        <f t="shared" si="83"/>
        <v>1.2824327987650548</v>
      </c>
      <c r="T124" s="17" t="str">
        <f t="shared" si="73"/>
        <v>1+7.20684790300928E-06i</v>
      </c>
      <c r="U124" s="17">
        <f t="shared" si="84"/>
        <v>1.0000000000259694</v>
      </c>
      <c r="V124" s="17">
        <f t="shared" si="85"/>
        <v>7.2068479028845087E-6</v>
      </c>
      <c r="W124" s="31" t="str">
        <f t="shared" si="74"/>
        <v>1-0.0116867803832583i</v>
      </c>
      <c r="X124" s="17">
        <f t="shared" si="86"/>
        <v>1.0000682880862319</v>
      </c>
      <c r="Y124" s="17">
        <f t="shared" si="87"/>
        <v>-1.1686248363445279E-2</v>
      </c>
      <c r="Z124" s="31" t="str">
        <f t="shared" si="75"/>
        <v>0.999994726973046+0.0711546310509926i</v>
      </c>
      <c r="AA124" s="17">
        <f t="shared" si="88"/>
        <v>1.0025230348944107</v>
      </c>
      <c r="AB124" s="17">
        <f t="shared" si="89"/>
        <v>7.1035282980875386E-2</v>
      </c>
      <c r="AC124" s="66" t="str">
        <f t="shared" si="90"/>
        <v>296.611381639625-1421.92700135906i</v>
      </c>
      <c r="AD124" s="64">
        <f t="shared" si="91"/>
        <v>63.242525494729158</v>
      </c>
      <c r="AE124" s="61">
        <f t="shared" si="92"/>
        <v>-78.217168577307959</v>
      </c>
      <c r="AF124" s="31" t="str">
        <f t="shared" si="76"/>
        <v>-10.0808080808081</v>
      </c>
      <c r="AG124" s="31" t="str">
        <f t="shared" si="93"/>
        <v>721.406196497425i</v>
      </c>
      <c r="AH124" s="31">
        <f t="shared" si="94"/>
        <v>721.40619649742496</v>
      </c>
      <c r="AI124" s="31">
        <f t="shared" si="95"/>
        <v>1.5707963267948966</v>
      </c>
      <c r="AJ124" s="31" t="str">
        <f t="shared" si="77"/>
        <v>0.990045239277515+0.968658792066363i</v>
      </c>
      <c r="AK124" s="31">
        <f t="shared" si="96"/>
        <v>1.3850954592603131</v>
      </c>
      <c r="AL124" s="31">
        <f t="shared" si="97"/>
        <v>0.77447992508740926</v>
      </c>
      <c r="AM124" s="31" t="str">
        <f t="shared" si="78"/>
        <v>1+715.030119970305i</v>
      </c>
      <c r="AN124" s="31">
        <f t="shared" si="98"/>
        <v>715.03081924120499</v>
      </c>
      <c r="AO124" s="31">
        <f t="shared" si="99"/>
        <v>1.5693977852228735</v>
      </c>
      <c r="AP124" s="31" t="str">
        <f t="shared" si="79"/>
        <v>1+0.837985437851409i</v>
      </c>
      <c r="AQ124" s="31">
        <f t="shared" si="100"/>
        <v>1.3046913788521091</v>
      </c>
      <c r="AR124" s="31">
        <f t="shared" si="101"/>
        <v>0.69747750649511064</v>
      </c>
      <c r="AS124" s="58" t="str">
        <f t="shared" si="102"/>
        <v>-9.38279474092017+0.737131046365767i</v>
      </c>
      <c r="AT124" s="49">
        <f t="shared" si="103"/>
        <v>19.473366532315971</v>
      </c>
      <c r="AU124" s="61">
        <f t="shared" si="104"/>
        <v>175.50795587281107</v>
      </c>
      <c r="AV124" s="58" t="str">
        <f t="shared" si="80"/>
        <v>-1734.8971733778+13560.2906484362i</v>
      </c>
      <c r="AW124" s="64">
        <f t="shared" si="105"/>
        <v>82.715892027045129</v>
      </c>
      <c r="AX124" s="61">
        <f t="shared" si="106"/>
        <v>97.290787295503108</v>
      </c>
    </row>
    <row r="125" spans="14:50" x14ac:dyDescent="0.4">
      <c r="N125" s="10">
        <v>7</v>
      </c>
      <c r="O125" s="50">
        <f t="shared" si="107"/>
        <v>117.48975549395293</v>
      </c>
      <c r="P125" s="48" t="str">
        <f t="shared" si="71"/>
        <v>5120.19230769231</v>
      </c>
      <c r="Q125" s="17" t="str">
        <f t="shared" si="72"/>
        <v>1+3.44971167360934i</v>
      </c>
      <c r="R125" s="17">
        <f t="shared" si="82"/>
        <v>3.5917280842286146</v>
      </c>
      <c r="S125" s="17">
        <f t="shared" si="83"/>
        <v>1.2886502463769614</v>
      </c>
      <c r="T125" s="17" t="str">
        <f t="shared" si="73"/>
        <v>1+7.37471695558264E-06i</v>
      </c>
      <c r="U125" s="17">
        <f t="shared" si="84"/>
        <v>1.0000000000271934</v>
      </c>
      <c r="V125" s="17">
        <f t="shared" si="85"/>
        <v>7.3747169554489449E-6</v>
      </c>
      <c r="W125" s="31" t="str">
        <f t="shared" si="74"/>
        <v>1-0.0119590004685124i</v>
      </c>
      <c r="X125" s="17">
        <f t="shared" si="86"/>
        <v>1.0000715062895282</v>
      </c>
      <c r="Y125" s="17">
        <f t="shared" si="87"/>
        <v>-1.1958430401213395E-2</v>
      </c>
      <c r="Z125" s="31" t="str">
        <f t="shared" si="75"/>
        <v>0.999994478462942+0.0728120353228032i</v>
      </c>
      <c r="AA125" s="17">
        <f t="shared" si="88"/>
        <v>1.0026417852075689</v>
      </c>
      <c r="AB125" s="17">
        <f t="shared" si="89"/>
        <v>7.2684169752932362E-2</v>
      </c>
      <c r="AC125" s="66" t="str">
        <f t="shared" si="90"/>
        <v>279.017656863138-1394.25236239183i</v>
      </c>
      <c r="AD125" s="64">
        <f t="shared" si="91"/>
        <v>63.057361521657931</v>
      </c>
      <c r="AE125" s="61">
        <f t="shared" si="92"/>
        <v>-78.683461601582891</v>
      </c>
      <c r="AF125" s="31" t="str">
        <f t="shared" si="76"/>
        <v>-10.0808080808081</v>
      </c>
      <c r="AG125" s="31" t="str">
        <f t="shared" si="93"/>
        <v>738.209905463727i</v>
      </c>
      <c r="AH125" s="31">
        <f t="shared" si="94"/>
        <v>738.20990546372695</v>
      </c>
      <c r="AI125" s="31">
        <f t="shared" si="95"/>
        <v>1.5707963267948966</v>
      </c>
      <c r="AJ125" s="31" t="str">
        <f t="shared" si="77"/>
        <v>0.989576085858471+0.991221753832649i</v>
      </c>
      <c r="AK125" s="31">
        <f t="shared" si="96"/>
        <v>1.4006360679969814</v>
      </c>
      <c r="AL125" s="31">
        <f t="shared" si="97"/>
        <v>0.78622897387318869</v>
      </c>
      <c r="AM125" s="31" t="str">
        <f t="shared" si="78"/>
        <v>1+731.685311035279i</v>
      </c>
      <c r="AN125" s="31">
        <f t="shared" si="98"/>
        <v>731.68599438884507</v>
      </c>
      <c r="AO125" s="31">
        <f t="shared" si="99"/>
        <v>1.5694296198755575</v>
      </c>
      <c r="AP125" s="31" t="str">
        <f t="shared" si="79"/>
        <v>1+0.857504626186666i</v>
      </c>
      <c r="AQ125" s="31">
        <f t="shared" si="100"/>
        <v>1.317313244422728</v>
      </c>
      <c r="AR125" s="31">
        <f t="shared" si="101"/>
        <v>0.70883478406528011</v>
      </c>
      <c r="AS125" s="58" t="str">
        <f t="shared" si="102"/>
        <v>-9.36818704073425+0.739376297119955i</v>
      </c>
      <c r="AT125" s="49">
        <f t="shared" si="103"/>
        <v>19.46007945848406</v>
      </c>
      <c r="AU125" s="61">
        <f t="shared" si="104"/>
        <v>175.48733302686301</v>
      </c>
      <c r="AV125" s="58" t="str">
        <f t="shared" si="80"/>
        <v>-1583.01244820526+13267.9159548348i</v>
      </c>
      <c r="AW125" s="64">
        <f t="shared" si="105"/>
        <v>82.517440980141984</v>
      </c>
      <c r="AX125" s="61">
        <f t="shared" si="106"/>
        <v>96.803871425280079</v>
      </c>
    </row>
    <row r="126" spans="14:50" x14ac:dyDescent="0.4">
      <c r="N126" s="10">
        <v>8</v>
      </c>
      <c r="O126" s="50">
        <f t="shared" si="107"/>
        <v>120.22644346174135</v>
      </c>
      <c r="P126" s="48" t="str">
        <f t="shared" si="71"/>
        <v>5120.19230769231</v>
      </c>
      <c r="Q126" s="17" t="str">
        <f t="shared" si="72"/>
        <v>1+3.53006578099356i</v>
      </c>
      <c r="R126" s="17">
        <f t="shared" si="82"/>
        <v>3.6689732103330588</v>
      </c>
      <c r="S126" s="17">
        <f t="shared" si="83"/>
        <v>1.2947479004287079</v>
      </c>
      <c r="T126" s="17" t="str">
        <f t="shared" si="73"/>
        <v>1+7.54649618070179E-06i</v>
      </c>
      <c r="U126" s="17">
        <f t="shared" si="84"/>
        <v>1.0000000000284748</v>
      </c>
      <c r="V126" s="17">
        <f t="shared" si="85"/>
        <v>7.5464961805585333E-6</v>
      </c>
      <c r="W126" s="31" t="str">
        <f t="shared" si="74"/>
        <v>1-0.012237561374111i</v>
      </c>
      <c r="X126" s="17">
        <f t="shared" si="86"/>
        <v>1.0000748761509735</v>
      </c>
      <c r="Y126" s="17">
        <f t="shared" si="87"/>
        <v>-1.2236950538464835E-2</v>
      </c>
      <c r="Z126" s="31" t="str">
        <f t="shared" si="75"/>
        <v>0.999994218240917+0.0745080454995234i</v>
      </c>
      <c r="AA126" s="17">
        <f t="shared" si="88"/>
        <v>1.0027661169781426</v>
      </c>
      <c r="AB126" s="17">
        <f t="shared" si="89"/>
        <v>7.4371055476837325E-2</v>
      </c>
      <c r="AC126" s="66" t="str">
        <f t="shared" si="90"/>
        <v>262.097928631975-1366.8913593689i</v>
      </c>
      <c r="AD126" s="64">
        <f t="shared" si="91"/>
        <v>62.871491966029112</v>
      </c>
      <c r="AE126" s="61">
        <f t="shared" si="92"/>
        <v>-79.145431062328726</v>
      </c>
      <c r="AF126" s="31" t="str">
        <f t="shared" si="76"/>
        <v>-10.0808080808081</v>
      </c>
      <c r="AG126" s="31" t="str">
        <f t="shared" si="93"/>
        <v>755.405023093271i</v>
      </c>
      <c r="AH126" s="31">
        <f t="shared" si="94"/>
        <v>755.40502309327098</v>
      </c>
      <c r="AI126" s="31">
        <f t="shared" si="95"/>
        <v>1.5707963267948966</v>
      </c>
      <c r="AJ126" s="31" t="str">
        <f t="shared" si="77"/>
        <v>0.989084821919973+1.01431027449319i</v>
      </c>
      <c r="AK126" s="31">
        <f t="shared" si="96"/>
        <v>1.4167265501482336</v>
      </c>
      <c r="AL126" s="31">
        <f t="shared" si="97"/>
        <v>0.79798884990061636</v>
      </c>
      <c r="AM126" s="31" t="str">
        <f t="shared" si="78"/>
        <v>1+748.728451337166i</v>
      </c>
      <c r="AN126" s="31">
        <f t="shared" si="98"/>
        <v>748.72911913571988</v>
      </c>
      <c r="AO126" s="31">
        <f t="shared" si="99"/>
        <v>1.5694607298857532</v>
      </c>
      <c r="AP126" s="31" t="str">
        <f t="shared" si="79"/>
        <v>1+0.877478474825144i</v>
      </c>
      <c r="AQ126" s="31">
        <f t="shared" si="100"/>
        <v>1.3304016212337764</v>
      </c>
      <c r="AR126" s="31">
        <f t="shared" si="101"/>
        <v>0.72023201460200248</v>
      </c>
      <c r="AS126" s="58" t="str">
        <f t="shared" si="102"/>
        <v>-9.35356410398543+0.741342630687264i</v>
      </c>
      <c r="AT126" s="49">
        <f t="shared" si="103"/>
        <v>19.446738693788063</v>
      </c>
      <c r="AU126" s="61">
        <f t="shared" si="104"/>
        <v>175.46833744307096</v>
      </c>
      <c r="AV126" s="58" t="str">
        <f t="shared" si="80"/>
        <v>-1438.21494076275+12979.6103209505i</v>
      </c>
      <c r="AW126" s="64">
        <f t="shared" si="105"/>
        <v>82.318230659817175</v>
      </c>
      <c r="AX126" s="61">
        <f t="shared" si="106"/>
        <v>96.322906380742239</v>
      </c>
    </row>
    <row r="127" spans="14:50" x14ac:dyDescent="0.4">
      <c r="N127" s="10">
        <v>9</v>
      </c>
      <c r="O127" s="50">
        <f t="shared" si="107"/>
        <v>123.02687708123821</v>
      </c>
      <c r="P127" s="48" t="str">
        <f t="shared" si="71"/>
        <v>5120.19230769231</v>
      </c>
      <c r="Q127" s="17" t="str">
        <f t="shared" si="72"/>
        <v>1+3.61229157598079i</v>
      </c>
      <c r="R127" s="17">
        <f t="shared" si="82"/>
        <v>3.7481529357674002</v>
      </c>
      <c r="S127" s="17">
        <f t="shared" si="83"/>
        <v>1.3007271795188329</v>
      </c>
      <c r="T127" s="17" t="str">
        <f t="shared" si="73"/>
        <v>1+7.72227665798561E-06i</v>
      </c>
      <c r="U127" s="17">
        <f t="shared" si="84"/>
        <v>1.0000000000298168</v>
      </c>
      <c r="V127" s="17">
        <f t="shared" si="85"/>
        <v>7.7222766578321075E-6</v>
      </c>
      <c r="W127" s="31" t="str">
        <f t="shared" si="74"/>
        <v>1-0.0125226107967334i</v>
      </c>
      <c r="X127" s="17">
        <f t="shared" si="86"/>
        <v>1.0000784048169256</v>
      </c>
      <c r="Y127" s="17">
        <f t="shared" si="87"/>
        <v>-1.2521956277317569E-2</v>
      </c>
      <c r="Z127" s="31" t="str">
        <f t="shared" si="75"/>
        <v>0.999993945755006+0.0762435608281978i</v>
      </c>
      <c r="AA127" s="17">
        <f t="shared" si="88"/>
        <v>1.0028962918041073</v>
      </c>
      <c r="AB127" s="17">
        <f t="shared" si="89"/>
        <v>7.6096796259519942E-2</v>
      </c>
      <c r="AC127" s="66" t="str">
        <f t="shared" si="90"/>
        <v>245.831444459733-1339.85373061988i</v>
      </c>
      <c r="AD127" s="64">
        <f t="shared" si="91"/>
        <v>62.684939873419161</v>
      </c>
      <c r="AE127" s="61">
        <f t="shared" si="92"/>
        <v>-79.603215736598813</v>
      </c>
      <c r="AF127" s="31" t="str">
        <f t="shared" si="76"/>
        <v>-10.0808080808081</v>
      </c>
      <c r="AG127" s="31" t="str">
        <f t="shared" si="93"/>
        <v>773.000666465025i</v>
      </c>
      <c r="AH127" s="31">
        <f t="shared" si="94"/>
        <v>773.00066646502501</v>
      </c>
      <c r="AI127" s="31">
        <f t="shared" si="95"/>
        <v>1.5707963267948966</v>
      </c>
      <c r="AJ127" s="31" t="str">
        <f t="shared" si="77"/>
        <v>0.988570405425344+1.03793659588725i</v>
      </c>
      <c r="AK127" s="31">
        <f t="shared" si="96"/>
        <v>1.4333819531321166</v>
      </c>
      <c r="AL127" s="31">
        <f t="shared" si="97"/>
        <v>0.80975358330224412</v>
      </c>
      <c r="AM127" s="31" t="str">
        <f t="shared" si="78"/>
        <v>1+766.168577374543i</v>
      </c>
      <c r="AN127" s="31">
        <f t="shared" si="98"/>
        <v>766.16922997215897</v>
      </c>
      <c r="AO127" s="31">
        <f t="shared" si="99"/>
        <v>1.569491131748159</v>
      </c>
      <c r="AP127" s="31" t="str">
        <f t="shared" si="79"/>
        <v>1+0.897917574165774i</v>
      </c>
      <c r="AQ127" s="31">
        <f t="shared" si="100"/>
        <v>1.3439702266031597</v>
      </c>
      <c r="AR127" s="31">
        <f t="shared" si="101"/>
        <v>0.73166339824120497</v>
      </c>
      <c r="AS127" s="58" t="str">
        <f t="shared" si="102"/>
        <v>-9.33894127829467+0.743030711762205i</v>
      </c>
      <c r="AT127" s="49">
        <f t="shared" si="103"/>
        <v>19.433358004431437</v>
      </c>
      <c r="AU127" s="61">
        <f t="shared" si="104"/>
        <v>175.45097980698745</v>
      </c>
      <c r="AV127" s="58" t="str">
        <f t="shared" si="80"/>
        <v>-1300.25295304807+12695.4756249136i</v>
      </c>
      <c r="AW127" s="64">
        <f t="shared" si="105"/>
        <v>82.118297877850637</v>
      </c>
      <c r="AX127" s="61">
        <f t="shared" si="106"/>
        <v>95.847764070388607</v>
      </c>
    </row>
    <row r="128" spans="14:50" x14ac:dyDescent="0.4">
      <c r="N128" s="10">
        <v>10</v>
      </c>
      <c r="O128" s="50">
        <f t="shared" si="107"/>
        <v>125.89254117941677</v>
      </c>
      <c r="P128" s="48" t="str">
        <f t="shared" si="71"/>
        <v>5120.19230769231</v>
      </c>
      <c r="Q128" s="17" t="str">
        <f t="shared" si="72"/>
        <v>1+3.69643265577594i</v>
      </c>
      <c r="R128" s="17">
        <f t="shared" si="82"/>
        <v>3.8293099089374789</v>
      </c>
      <c r="S128" s="17">
        <f t="shared" si="83"/>
        <v>1.306589543104808</v>
      </c>
      <c r="T128" s="17" t="str">
        <f t="shared" si="73"/>
        <v>1+7.90215158856991E-06i</v>
      </c>
      <c r="U128" s="17">
        <f t="shared" si="84"/>
        <v>1.0000000000312221</v>
      </c>
      <c r="V128" s="17">
        <f t="shared" si="85"/>
        <v>7.9021515884054294E-6</v>
      </c>
      <c r="W128" s="31" t="str">
        <f t="shared" si="74"/>
        <v>1-0.0128142998733566i</v>
      </c>
      <c r="X128" s="17">
        <f t="shared" si="86"/>
        <v>1.0000820997704361</v>
      </c>
      <c r="Y128" s="17">
        <f t="shared" si="87"/>
        <v>-1.2813598546276372E-2</v>
      </c>
      <c r="Z128" s="31" t="str">
        <f t="shared" si="75"/>
        <v>0.99999366042723+0.0780195015020262i</v>
      </c>
      <c r="AA128" s="17">
        <f t="shared" si="88"/>
        <v>1.003032583473376</v>
      </c>
      <c r="AB128" s="17">
        <f t="shared" si="89"/>
        <v>7.7862266101291766E-2</v>
      </c>
      <c r="AC128" s="66" t="str">
        <f t="shared" si="90"/>
        <v>230.197695675212-1313.14817388289i</v>
      </c>
      <c r="AD128" s="64">
        <f t="shared" si="91"/>
        <v>62.497727400019308</v>
      </c>
      <c r="AE128" s="61">
        <f t="shared" si="92"/>
        <v>-80.05695796390215</v>
      </c>
      <c r="AF128" s="31" t="str">
        <f t="shared" si="76"/>
        <v>-10.0808080808081</v>
      </c>
      <c r="AG128" s="31" t="str">
        <f t="shared" si="93"/>
        <v>791.006165022012i</v>
      </c>
      <c r="AH128" s="31">
        <f t="shared" si="94"/>
        <v>791.00616502201206</v>
      </c>
      <c r="AI128" s="31">
        <f t="shared" si="95"/>
        <v>1.5707963267948966</v>
      </c>
      <c r="AJ128" s="31" t="str">
        <f t="shared" si="77"/>
        <v>0.98803174522823+1.06211324500316i</v>
      </c>
      <c r="AK128" s="31">
        <f t="shared" si="96"/>
        <v>1.4506175494560531</v>
      </c>
      <c r="AL128" s="31">
        <f t="shared" si="97"/>
        <v>0.82151720966427011</v>
      </c>
      <c r="AM128" s="31" t="str">
        <f t="shared" si="78"/>
        <v>1+784.014936133084i</v>
      </c>
      <c r="AN128" s="31">
        <f t="shared" si="98"/>
        <v>784.01557387577691</v>
      </c>
      <c r="AO128" s="31">
        <f t="shared" si="99"/>
        <v>1.5695208415820197</v>
      </c>
      <c r="AP128" s="31" t="str">
        <f t="shared" si="79"/>
        <v>1+0.91883276128957i</v>
      </c>
      <c r="AQ128" s="31">
        <f t="shared" si="100"/>
        <v>1.3580330052023832</v>
      </c>
      <c r="AR128" s="31">
        <f t="shared" si="101"/>
        <v>0.74312304648930327</v>
      </c>
      <c r="AS128" s="58" t="str">
        <f t="shared" si="102"/>
        <v>-9.32433389690522+0.744442124042077i</v>
      </c>
      <c r="AT128" s="49">
        <f t="shared" si="103"/>
        <v>19.419951316858977</v>
      </c>
      <c r="AU128" s="61">
        <f t="shared" si="104"/>
        <v>175.43526539208531</v>
      </c>
      <c r="AV128" s="58" t="str">
        <f t="shared" si="80"/>
        <v>-1168.8773610265+12415.6008909135i</v>
      </c>
      <c r="AW128" s="64">
        <f t="shared" si="105"/>
        <v>81.917678716878299</v>
      </c>
      <c r="AX128" s="61">
        <f t="shared" si="106"/>
        <v>95.378307428183163</v>
      </c>
    </row>
    <row r="129" spans="14:50" x14ac:dyDescent="0.4">
      <c r="N129" s="10">
        <v>11</v>
      </c>
      <c r="O129" s="50">
        <f t="shared" si="107"/>
        <v>128.82495516931343</v>
      </c>
      <c r="P129" s="48" t="str">
        <f t="shared" si="71"/>
        <v>5120.19230769231</v>
      </c>
      <c r="Q129" s="17" t="str">
        <f t="shared" si="72"/>
        <v>1+3.78253363309326i</v>
      </c>
      <c r="R129" s="17">
        <f t="shared" si="82"/>
        <v>3.9124877872629451</v>
      </c>
      <c r="S129" s="17">
        <f t="shared" si="83"/>
        <v>1.3123364870514151</v>
      </c>
      <c r="T129" s="17" t="str">
        <f t="shared" si="73"/>
        <v>1+8.08621634452382E-06i</v>
      </c>
      <c r="U129" s="17">
        <f t="shared" si="84"/>
        <v>1.0000000000326934</v>
      </c>
      <c r="V129" s="17">
        <f t="shared" si="85"/>
        <v>8.0862163443475763E-6</v>
      </c>
      <c r="W129" s="31" t="str">
        <f t="shared" si="74"/>
        <v>1-0.01311278326139i</v>
      </c>
      <c r="X129" s="17">
        <f t="shared" si="86"/>
        <v>1.0000859688471089</v>
      </c>
      <c r="Y129" s="17">
        <f t="shared" si="87"/>
        <v>-1.3112031779373114E-2</v>
      </c>
      <c r="Z129" s="31" t="str">
        <f t="shared" si="75"/>
        <v>0.99999336165237+0.0798368091482612i</v>
      </c>
      <c r="AA129" s="17">
        <f t="shared" si="88"/>
        <v>1.0031752785250359</v>
      </c>
      <c r="AB129" s="17">
        <f t="shared" si="89"/>
        <v>7.9668357169349419E-2</v>
      </c>
      <c r="AC129" s="66" t="str">
        <f t="shared" si="90"/>
        <v>215.176452580857-1286.78239492234i</v>
      </c>
      <c r="AD129" s="64">
        <f t="shared" si="91"/>
        <v>62.309875817981137</v>
      </c>
      <c r="AE129" s="61">
        <f t="shared" si="92"/>
        <v>-80.506803411346127</v>
      </c>
      <c r="AF129" s="31" t="str">
        <f t="shared" si="76"/>
        <v>-10.0808080808081</v>
      </c>
      <c r="AG129" s="31" t="str">
        <f t="shared" si="93"/>
        <v>809.431065517899i</v>
      </c>
      <c r="AH129" s="31">
        <f t="shared" si="94"/>
        <v>809.43106551789901</v>
      </c>
      <c r="AI129" s="31">
        <f t="shared" si="95"/>
        <v>1.5707963267948966</v>
      </c>
      <c r="AJ129" s="31" t="str">
        <f t="shared" si="77"/>
        <v>0.987467698758134+1.08685304062031i</v>
      </c>
      <c r="AK129" s="31">
        <f t="shared" si="96"/>
        <v>1.4684488373778293</v>
      </c>
      <c r="AL129" s="31">
        <f t="shared" si="97"/>
        <v>0.83327378623481851</v>
      </c>
      <c r="AM129" s="31" t="str">
        <f t="shared" si="78"/>
        <v>1+802.276989988428i</v>
      </c>
      <c r="AN129" s="31">
        <f t="shared" si="98"/>
        <v>802.27761321433627</v>
      </c>
      <c r="AO129" s="31">
        <f t="shared" si="99"/>
        <v>1.5695498751396724</v>
      </c>
      <c r="AP129" s="31" t="str">
        <f t="shared" si="79"/>
        <v>1+0.940235125705592i</v>
      </c>
      <c r="AQ129" s="31">
        <f t="shared" si="100"/>
        <v>1.3726041277843406</v>
      </c>
      <c r="AR129" s="31">
        <f t="shared" si="101"/>
        <v>0.75460499702106409</v>
      </c>
      <c r="AS129" s="58" t="str">
        <f t="shared" si="102"/>
        <v>-9.30975721314465+0.745579367022804i</v>
      </c>
      <c r="AT129" s="49">
        <f t="shared" si="103"/>
        <v>19.406532659544403</v>
      </c>
      <c r="AU129" s="61">
        <f t="shared" si="104"/>
        <v>175.42119397943614</v>
      </c>
      <c r="AV129" s="58" t="str">
        <f t="shared" si="80"/>
        <v>-1043.84212801122+12140.0628061893i</v>
      </c>
      <c r="AW129" s="64">
        <f t="shared" si="105"/>
        <v>81.716408477525576</v>
      </c>
      <c r="AX129" s="61">
        <f t="shared" si="106"/>
        <v>94.914390568089928</v>
      </c>
    </row>
    <row r="130" spans="14:50" x14ac:dyDescent="0.4">
      <c r="N130" s="10">
        <v>12</v>
      </c>
      <c r="O130" s="50">
        <f t="shared" si="107"/>
        <v>131.82567385564084</v>
      </c>
      <c r="P130" s="48" t="str">
        <f t="shared" si="71"/>
        <v>5120.19230769231</v>
      </c>
      <c r="Q130" s="17" t="str">
        <f t="shared" si="72"/>
        <v>1+3.8706401598106i</v>
      </c>
      <c r="R130" s="17">
        <f t="shared" si="82"/>
        <v>3.9977312624460679</v>
      </c>
      <c r="S130" s="17">
        <f t="shared" si="83"/>
        <v>1.3179695393916819</v>
      </c>
      <c r="T130" s="17" t="str">
        <f t="shared" si="73"/>
        <v>1+8.27456851941733E-06i</v>
      </c>
      <c r="U130" s="17">
        <f t="shared" si="84"/>
        <v>1.0000000000342344</v>
      </c>
      <c r="V130" s="17">
        <f t="shared" si="85"/>
        <v>8.2745685192284806E-6</v>
      </c>
      <c r="W130" s="31" t="str">
        <f t="shared" si="74"/>
        <v>1-0.0134182192206767i</v>
      </c>
      <c r="X130" s="17">
        <f t="shared" si="86"/>
        <v>1.0000900202517042</v>
      </c>
      <c r="Y130" s="17">
        <f t="shared" si="87"/>
        <v>-1.3417413997102596E-2</v>
      </c>
      <c r="Z130" s="31" t="str">
        <f t="shared" si="75"/>
        <v>0.999993048796685+0.0816964473274718i</v>
      </c>
      <c r="AA130" s="17">
        <f t="shared" si="88"/>
        <v>1.0033246768357786</v>
      </c>
      <c r="AB130" s="17">
        <f t="shared" si="89"/>
        <v>8.1515980067784294E-2</v>
      </c>
      <c r="AC130" s="66" t="str">
        <f t="shared" si="90"/>
        <v>200.747795661528-1260.76315581583i</v>
      </c>
      <c r="AD130" s="64">
        <f t="shared" si="91"/>
        <v>62.121405521829928</v>
      </c>
      <c r="AE130" s="61">
        <f t="shared" si="92"/>
        <v>-80.95290085086134</v>
      </c>
      <c r="AF130" s="31" t="str">
        <f t="shared" si="76"/>
        <v>-10.0808080808081</v>
      </c>
      <c r="AG130" s="31" t="str">
        <f t="shared" si="93"/>
        <v>828.285137078811i</v>
      </c>
      <c r="AH130" s="31">
        <f t="shared" si="94"/>
        <v>828.28513707881098</v>
      </c>
      <c r="AI130" s="31">
        <f t="shared" si="95"/>
        <v>1.5707963267948966</v>
      </c>
      <c r="AJ130" s="31" t="str">
        <f t="shared" si="77"/>
        <v>0.986877069596868+1.11216910010579i</v>
      </c>
      <c r="AK130" s="31">
        <f t="shared" si="96"/>
        <v>1.486891542018524</v>
      </c>
      <c r="AL130" s="31">
        <f t="shared" si="97"/>
        <v>0.84501740801423897</v>
      </c>
      <c r="AM130" s="31" t="str">
        <f t="shared" si="78"/>
        <v>1+820.964421723256i</v>
      </c>
      <c r="AN130" s="31">
        <f t="shared" si="98"/>
        <v>820.96503076282136</v>
      </c>
      <c r="AO130" s="31">
        <f t="shared" si="99"/>
        <v>1.5695782478148981</v>
      </c>
      <c r="AP130" s="31" t="str">
        <f t="shared" si="79"/>
        <v>1+0.962136015230747i</v>
      </c>
      <c r="AQ130" s="31">
        <f t="shared" si="100"/>
        <v>1.387697990127571</v>
      </c>
      <c r="AR130" s="31">
        <f t="shared" si="101"/>
        <v>0.76610322894452942</v>
      </c>
      <c r="AS130" s="58" t="str">
        <f t="shared" si="102"/>
        <v>-9.29522633555097+0.746445847116447i</v>
      </c>
      <c r="AT130" s="49">
        <f t="shared" si="103"/>
        <v>19.393116103845887</v>
      </c>
      <c r="AU130" s="61">
        <f t="shared" si="104"/>
        <v>175.40875981089852</v>
      </c>
      <c r="AV130" s="58" t="str">
        <f t="shared" si="80"/>
        <v>-924.904775180687+11868.926247221i</v>
      </c>
      <c r="AW130" s="64">
        <f t="shared" si="105"/>
        <v>81.514521625675826</v>
      </c>
      <c r="AX130" s="61">
        <f t="shared" si="106"/>
        <v>94.455858960037162</v>
      </c>
    </row>
    <row r="131" spans="14:50" x14ac:dyDescent="0.4">
      <c r="N131" s="10">
        <v>13</v>
      </c>
      <c r="O131" s="50">
        <f t="shared" si="107"/>
        <v>134.89628825916537</v>
      </c>
      <c r="P131" s="48" t="str">
        <f t="shared" si="71"/>
        <v>5120.19230769231</v>
      </c>
      <c r="Q131" s="17" t="str">
        <f t="shared" si="72"/>
        <v>1+3.96079895117464i</v>
      </c>
      <c r="R131" s="17">
        <f t="shared" si="82"/>
        <v>4.0850860861952629</v>
      </c>
      <c r="S131" s="17">
        <f t="shared" si="83"/>
        <v>1.3234902562984252</v>
      </c>
      <c r="T131" s="17" t="str">
        <f t="shared" si="73"/>
        <v>1+8.46730798006668E-06i</v>
      </c>
      <c r="U131" s="17">
        <f t="shared" si="84"/>
        <v>1.0000000000358478</v>
      </c>
      <c r="V131" s="17">
        <f t="shared" si="85"/>
        <v>8.4673079798643239E-6</v>
      </c>
      <c r="W131" s="31" t="str">
        <f t="shared" si="74"/>
        <v>1-0.0137307696974054i</v>
      </c>
      <c r="X131" s="17">
        <f t="shared" si="86"/>
        <v>1.0000942625755249</v>
      </c>
      <c r="Y131" s="17">
        <f t="shared" si="87"/>
        <v>-1.3729906889192834E-2</v>
      </c>
      <c r="Z131" s="31" t="str">
        <f t="shared" si="75"/>
        <v>0.999992721196566+0.0835994020444355i</v>
      </c>
      <c r="AA131" s="17">
        <f t="shared" si="88"/>
        <v>1.0034810922325841</v>
      </c>
      <c r="AB131" s="17">
        <f t="shared" si="89"/>
        <v>8.3406064103355923E-2</v>
      </c>
      <c r="AC131" s="66" t="str">
        <f t="shared" si="90"/>
        <v>186.892143064416-1235.09632269712i</v>
      </c>
      <c r="AD131" s="64">
        <f t="shared" si="91"/>
        <v>61.932336035792133</v>
      </c>
      <c r="AE131" s="61">
        <f t="shared" si="92"/>
        <v>-81.395401948354532</v>
      </c>
      <c r="AF131" s="31" t="str">
        <f t="shared" si="76"/>
        <v>-10.0808080808081</v>
      </c>
      <c r="AG131" s="31" t="str">
        <f t="shared" si="93"/>
        <v>847.57837638305i</v>
      </c>
      <c r="AH131" s="31">
        <f t="shared" si="94"/>
        <v>847.57837638305</v>
      </c>
      <c r="AI131" s="31">
        <f t="shared" si="95"/>
        <v>1.5707963267948966</v>
      </c>
      <c r="AJ131" s="31" t="str">
        <f t="shared" si="77"/>
        <v>0.986258604940795+1.13807484636945i</v>
      </c>
      <c r="AK131" s="31">
        <f t="shared" si="96"/>
        <v>1.5059616169606085</v>
      </c>
      <c r="AL131" s="31">
        <f t="shared" si="97"/>
        <v>0.85674222362492247</v>
      </c>
      <c r="AM131" s="31" t="str">
        <f t="shared" si="78"/>
        <v>1+840.087139661229i</v>
      </c>
      <c r="AN131" s="31">
        <f t="shared" si="98"/>
        <v>840.08773483737127</v>
      </c>
      <c r="AO131" s="31">
        <f t="shared" si="99"/>
        <v>1.5696059746510815</v>
      </c>
      <c r="AP131" s="31" t="str">
        <f t="shared" si="79"/>
        <v>1+0.984547042006551i</v>
      </c>
      <c r="AQ131" s="31">
        <f t="shared" si="100"/>
        <v>1.4033292122391843</v>
      </c>
      <c r="AR131" s="31">
        <f t="shared" si="101"/>
        <v>0.77761167843932899</v>
      </c>
      <c r="AS131" s="58" t="str">
        <f t="shared" si="102"/>
        <v>-9.28075616423757+0.747045863203942i</v>
      </c>
      <c r="AT131" s="49">
        <f t="shared" si="103"/>
        <v>19.379715704451666</v>
      </c>
      <c r="AU131" s="61">
        <f t="shared" si="104"/>
        <v>175.39795157632125</v>
      </c>
      <c r="AV131" s="58" t="str">
        <f t="shared" si="80"/>
        <v>-811.826810263364+11602.24481264i</v>
      </c>
      <c r="AW131" s="64">
        <f t="shared" si="105"/>
        <v>81.31205174024376</v>
      </c>
      <c r="AX131" s="61">
        <f t="shared" si="106"/>
        <v>94.002549627966744</v>
      </c>
    </row>
    <row r="132" spans="14:50" x14ac:dyDescent="0.4">
      <c r="N132" s="10">
        <v>14</v>
      </c>
      <c r="O132" s="50">
        <f t="shared" si="107"/>
        <v>138.0384264602886</v>
      </c>
      <c r="P132" s="48" t="str">
        <f t="shared" si="71"/>
        <v>5120.19230769231</v>
      </c>
      <c r="Q132" s="17" t="str">
        <f t="shared" si="72"/>
        <v>1+4.05305781056997i</v>
      </c>
      <c r="R132" s="17">
        <f t="shared" si="82"/>
        <v>4.174599096418989</v>
      </c>
      <c r="S132" s="17">
        <f t="shared" si="83"/>
        <v>1.3289002182635827</v>
      </c>
      <c r="T132" s="17" t="str">
        <f t="shared" si="73"/>
        <v>1+8.66453691948515E-06i</v>
      </c>
      <c r="U132" s="17">
        <f t="shared" si="84"/>
        <v>1.0000000000375371</v>
      </c>
      <c r="V132" s="17">
        <f t="shared" si="85"/>
        <v>8.6645369192683235E-6</v>
      </c>
      <c r="W132" s="31" t="str">
        <f t="shared" si="74"/>
        <v>1-0.0140506004099759i</v>
      </c>
      <c r="X132" s="17">
        <f t="shared" si="86"/>
        <v>1.0000987048146202</v>
      </c>
      <c r="Y132" s="17">
        <f t="shared" si="87"/>
        <v>-1.4049675899247398E-2</v>
      </c>
      <c r="Z132" s="31" t="str">
        <f t="shared" si="75"/>
        <v>0.999992378157128+0.0855466822709323i</v>
      </c>
      <c r="AA132" s="17">
        <f t="shared" si="88"/>
        <v>1.0036448531327764</v>
      </c>
      <c r="AB132" s="17">
        <f t="shared" si="89"/>
        <v>8.5339557546230363E-2</v>
      </c>
      <c r="AC132" s="66" t="str">
        <f t="shared" si="90"/>
        <v>173.590274571921-1209.78691276907i</v>
      </c>
      <c r="AD132" s="64">
        <f t="shared" si="91"/>
        <v>61.742686021891949</v>
      </c>
      <c r="AE132" s="61">
        <f t="shared" si="92"/>
        <v>-81.834461064586662</v>
      </c>
      <c r="AF132" s="31" t="str">
        <f t="shared" si="76"/>
        <v>-10.0808080808081</v>
      </c>
      <c r="AG132" s="31" t="str">
        <f t="shared" si="93"/>
        <v>867.321012961475i</v>
      </c>
      <c r="AH132" s="31">
        <f t="shared" si="94"/>
        <v>867.32101296147505</v>
      </c>
      <c r="AI132" s="31">
        <f t="shared" si="95"/>
        <v>1.5707963267948966</v>
      </c>
      <c r="AJ132" s="31" t="str">
        <f t="shared" si="77"/>
        <v>0.985610992943461+1.16458401498085i</v>
      </c>
      <c r="AK132" s="31">
        <f t="shared" si="96"/>
        <v>1.5256752463613976</v>
      </c>
      <c r="AL132" s="31">
        <f t="shared" si="97"/>
        <v>0.86844245086062521</v>
      </c>
      <c r="AM132" s="31" t="str">
        <f t="shared" si="78"/>
        <v>1+859.655282920519i</v>
      </c>
      <c r="AN132" s="31">
        <f t="shared" si="98"/>
        <v>859.65586454880747</v>
      </c>
      <c r="AO132" s="31">
        <f t="shared" si="99"/>
        <v>1.5696330703491881</v>
      </c>
      <c r="AP132" s="31" t="str">
        <f t="shared" si="79"/>
        <v>1+1.00748008865605i</v>
      </c>
      <c r="AQ132" s="31">
        <f t="shared" si="100"/>
        <v>1.4195126378579384</v>
      </c>
      <c r="AR132" s="31">
        <f t="shared" si="101"/>
        <v>0.78912425467030534</v>
      </c>
      <c r="AS132" s="58" t="str">
        <f t="shared" si="102"/>
        <v>-9.26636132905447+0.747384586800661i</v>
      </c>
      <c r="AT132" s="49">
        <f t="shared" si="103"/>
        <v>19.366345439945825</v>
      </c>
      <c r="AU132" s="61">
        <f t="shared" si="104"/>
        <v>175.3887524348736</v>
      </c>
      <c r="AV132" s="58" t="str">
        <f t="shared" si="80"/>
        <v>-704.374115476437+11340.0613605131i</v>
      </c>
      <c r="AW132" s="64">
        <f t="shared" si="105"/>
        <v>81.109031461837816</v>
      </c>
      <c r="AX132" s="61">
        <f t="shared" si="106"/>
        <v>93.554291370286919</v>
      </c>
    </row>
    <row r="133" spans="14:50" x14ac:dyDescent="0.4">
      <c r="N133" s="10">
        <v>15</v>
      </c>
      <c r="O133" s="50">
        <f t="shared" si="107"/>
        <v>141.25375446227542</v>
      </c>
      <c r="P133" s="48" t="str">
        <f t="shared" si="71"/>
        <v>5120.19230769231</v>
      </c>
      <c r="Q133" s="17" t="str">
        <f t="shared" si="72"/>
        <v>1+4.14746565486503i</v>
      </c>
      <c r="R133" s="17">
        <f t="shared" si="82"/>
        <v>4.2663182439059817</v>
      </c>
      <c r="S133" s="17">
        <f t="shared" si="83"/>
        <v>1.3342010264817368</v>
      </c>
      <c r="T133" s="17" t="str">
        <f t="shared" si="73"/>
        <v>1+8.86635991106702E-06i</v>
      </c>
      <c r="U133" s="17">
        <f t="shared" si="84"/>
        <v>1.0000000000393061</v>
      </c>
      <c r="V133" s="17">
        <f t="shared" si="85"/>
        <v>8.8663599108346857E-6</v>
      </c>
      <c r="W133" s="31" t="str">
        <f t="shared" si="74"/>
        <v>1-0.0143778809368654i</v>
      </c>
      <c r="X133" s="17">
        <f t="shared" si="86"/>
        <v>1.0001033563888457</v>
      </c>
      <c r="Y133" s="17">
        <f t="shared" si="87"/>
        <v>-1.437689031130112E-2</v>
      </c>
      <c r="Z133" s="31" t="str">
        <f t="shared" si="75"/>
        <v>0.99999201895074+0.0875393204807132i</v>
      </c>
      <c r="AA133" s="17">
        <f t="shared" si="88"/>
        <v>1.0038163032125957</v>
      </c>
      <c r="AB133" s="17">
        <f t="shared" si="89"/>
        <v>8.7317427884816001E-2</v>
      </c>
      <c r="AC133" s="66" t="str">
        <f t="shared" si="90"/>
        <v>160.823352288423-1184.83914042559i</v>
      </c>
      <c r="AD133" s="64">
        <f t="shared" si="91"/>
        <v>61.552473288679991</v>
      </c>
      <c r="AE133" s="61">
        <f t="shared" si="92"/>
        <v>-82.270235067521142</v>
      </c>
      <c r="AF133" s="31" t="str">
        <f t="shared" si="76"/>
        <v>-10.0808080808081</v>
      </c>
      <c r="AG133" s="31" t="str">
        <f t="shared" si="93"/>
        <v>887.523514621322i</v>
      </c>
      <c r="AH133" s="31">
        <f t="shared" si="94"/>
        <v>887.52351462132197</v>
      </c>
      <c r="AI133" s="31">
        <f t="shared" si="95"/>
        <v>1.5707963267948966</v>
      </c>
      <c r="AJ133" s="31" t="str">
        <f t="shared" si="77"/>
        <v>0.984932859932993+1.19171066145209i</v>
      </c>
      <c r="AK133" s="31">
        <f t="shared" si="96"/>
        <v>1.546048847609403</v>
      </c>
      <c r="AL133" s="31">
        <f t="shared" si="97"/>
        <v>0.88011239181929468</v>
      </c>
      <c r="AM133" s="31" t="str">
        <f t="shared" si="78"/>
        <v>1+879.679226789696i</v>
      </c>
      <c r="AN133" s="31">
        <f t="shared" si="98"/>
        <v>879.679795178517</v>
      </c>
      <c r="AO133" s="31">
        <f t="shared" si="99"/>
        <v>1.5696595492755558</v>
      </c>
      <c r="AP133" s="31" t="str">
        <f t="shared" si="79"/>
        <v>1+1.03094731458413i</v>
      </c>
      <c r="AQ133" s="31">
        <f t="shared" si="100"/>
        <v>1.4362633342977982</v>
      </c>
      <c r="AR133" s="31">
        <f t="shared" si="101"/>
        <v>0.80063485587507488</v>
      </c>
      <c r="AS133" s="58" t="str">
        <f t="shared" si="102"/>
        <v>-9.25205613007355+0.747468037077125i</v>
      </c>
      <c r="AT133" s="49">
        <f t="shared" si="103"/>
        <v>19.353019154020302</v>
      </c>
      <c r="AU133" s="61">
        <f t="shared" si="104"/>
        <v>175.38114007019331</v>
      </c>
      <c r="AV133" s="58" t="str">
        <f t="shared" si="80"/>
        <v>-602.317295853018+11082.4085477768i</v>
      </c>
      <c r="AW133" s="64">
        <f t="shared" si="105"/>
        <v>80.90549244270025</v>
      </c>
      <c r="AX133" s="61">
        <f t="shared" si="106"/>
        <v>93.110905002672169</v>
      </c>
    </row>
    <row r="134" spans="14:50" x14ac:dyDescent="0.4">
      <c r="N134" s="10">
        <v>16</v>
      </c>
      <c r="O134" s="50">
        <f t="shared" si="107"/>
        <v>144.54397707459285</v>
      </c>
      <c r="P134" s="48" t="str">
        <f t="shared" si="71"/>
        <v>5120.19230769231</v>
      </c>
      <c r="Q134" s="17" t="str">
        <f t="shared" si="72"/>
        <v>1+4.24407254034849i</v>
      </c>
      <c r="R134" s="17">
        <f t="shared" si="82"/>
        <v>4.360292619508475</v>
      </c>
      <c r="S134" s="17">
        <f t="shared" si="83"/>
        <v>1.3393942994335994</v>
      </c>
      <c r="T134" s="17" t="str">
        <f t="shared" si="73"/>
        <v>1+0.0000090728839640339i</v>
      </c>
      <c r="U134" s="17">
        <f t="shared" si="84"/>
        <v>1.0000000000411586</v>
      </c>
      <c r="V134" s="17">
        <f t="shared" si="85"/>
        <v>9.0728839637849492E-6</v>
      </c>
      <c r="W134" s="31" t="str">
        <f t="shared" si="74"/>
        <v>1-0.0147127848065414i</v>
      </c>
      <c r="X134" s="17">
        <f t="shared" si="86"/>
        <v>1.0001082271618225</v>
      </c>
      <c r="Y134" s="17">
        <f t="shared" si="87"/>
        <v>-1.4711723338328804E-2</v>
      </c>
      <c r="Z134" s="31" t="str">
        <f t="shared" si="75"/>
        <v>0.999991642815477+0.089578373196933i</v>
      </c>
      <c r="AA134" s="17">
        <f t="shared" si="88"/>
        <v>1.0039958021054698</v>
      </c>
      <c r="AB134" s="17">
        <f t="shared" si="89"/>
        <v>8.9340662073774044E-2</v>
      </c>
      <c r="AC134" s="66" t="str">
        <f t="shared" si="90"/>
        <v>148.572938259109-1160.25646234518i</v>
      </c>
      <c r="AD134" s="64">
        <f t="shared" si="91"/>
        <v>61.361714800465705</v>
      </c>
      <c r="AE134" s="61">
        <f t="shared" si="92"/>
        <v>-82.702883155849861</v>
      </c>
      <c r="AF134" s="31" t="str">
        <f t="shared" si="76"/>
        <v>-10.0808080808081</v>
      </c>
      <c r="AG134" s="31" t="str">
        <f t="shared" si="93"/>
        <v>908.196592996385i</v>
      </c>
      <c r="AH134" s="31">
        <f t="shared" si="94"/>
        <v>908.19659299638499</v>
      </c>
      <c r="AI134" s="31">
        <f t="shared" si="95"/>
        <v>1.5707963267948966</v>
      </c>
      <c r="AJ134" s="31" t="str">
        <f t="shared" si="77"/>
        <v>0.984222767498355+1.21946916869019i</v>
      </c>
      <c r="AK134" s="31">
        <f t="shared" si="96"/>
        <v>1.5670990745476381</v>
      </c>
      <c r="AL134" s="31">
        <f t="shared" si="97"/>
        <v>0.89174644752812537</v>
      </c>
      <c r="AM134" s="31" t="str">
        <f t="shared" si="78"/>
        <v>1+900.169588228849i</v>
      </c>
      <c r="AN134" s="31">
        <f t="shared" si="98"/>
        <v>900.1701436795687</v>
      </c>
      <c r="AO134" s="31">
        <f t="shared" si="99"/>
        <v>1.5696854254695138</v>
      </c>
      <c r="AP134" s="31" t="str">
        <f t="shared" si="79"/>
        <v>1+1.0549611624246i</v>
      </c>
      <c r="AQ134" s="31">
        <f t="shared" si="100"/>
        <v>1.4535965926708356</v>
      </c>
      <c r="AR134" s="31">
        <f t="shared" si="101"/>
        <v>0.8121373855221159</v>
      </c>
      <c r="AS134" s="58" t="str">
        <f t="shared" si="102"/>
        <v>-9.23785448089279+0.747303051032306i</v>
      </c>
      <c r="AT134" s="49">
        <f t="shared" si="103"/>
        <v>19.339750497851419</v>
      </c>
      <c r="AU134" s="61">
        <f t="shared" si="104"/>
        <v>175.37508677866057</v>
      </c>
      <c r="AV134" s="58" t="str">
        <f t="shared" si="80"/>
        <v>-505.431989145815+10829.3093697221i</v>
      </c>
      <c r="AW134" s="64">
        <f t="shared" si="105"/>
        <v>80.701465298317117</v>
      </c>
      <c r="AX134" s="61">
        <f t="shared" si="106"/>
        <v>92.672203622810713</v>
      </c>
    </row>
    <row r="135" spans="14:50" x14ac:dyDescent="0.4">
      <c r="N135" s="10">
        <v>17</v>
      </c>
      <c r="O135" s="50">
        <f t="shared" si="107"/>
        <v>147.91083881682084</v>
      </c>
      <c r="P135" s="48" t="str">
        <f t="shared" si="71"/>
        <v>5120.19230769231</v>
      </c>
      <c r="Q135" s="17" t="str">
        <f t="shared" si="72"/>
        <v>1+4.34292968926979i</v>
      </c>
      <c r="R135" s="17">
        <f t="shared" si="82"/>
        <v>4.4565724818453241</v>
      </c>
      <c r="S135" s="17">
        <f t="shared" si="83"/>
        <v>1.3444816696646593</v>
      </c>
      <c r="T135" s="17" t="str">
        <f t="shared" si="73"/>
        <v>1+9.28421858017231E-06i</v>
      </c>
      <c r="U135" s="17">
        <f t="shared" si="84"/>
        <v>1.0000000000430984</v>
      </c>
      <c r="V135" s="17">
        <f t="shared" si="85"/>
        <v>9.2842185799055533E-6</v>
      </c>
      <c r="W135" s="31" t="str">
        <f t="shared" si="74"/>
        <v>1-0.0150554895894686i</v>
      </c>
      <c r="X135" s="17">
        <f t="shared" si="86"/>
        <v>1.0001133274618326</v>
      </c>
      <c r="Y135" s="17">
        <f t="shared" si="87"/>
        <v>-1.5054352212747578E-2</v>
      </c>
      <c r="Z135" s="31" t="str">
        <f t="shared" si="75"/>
        <v>0.999991248953504+0.0916649215523316i</v>
      </c>
      <c r="AA135" s="17">
        <f t="shared" si="88"/>
        <v>1.0041837261312214</v>
      </c>
      <c r="AB135" s="17">
        <f t="shared" si="89"/>
        <v>9.1410266774195933E-2</v>
      </c>
      <c r="AC135" s="66" t="str">
        <f t="shared" si="90"/>
        <v>136.821009234879-1136.04162144023i</v>
      </c>
      <c r="AD135" s="64">
        <f t="shared" si="91"/>
        <v>61.17042668693243</v>
      </c>
      <c r="AE135" s="61">
        <f t="shared" si="92"/>
        <v>-83.132566693366584</v>
      </c>
      <c r="AF135" s="31" t="str">
        <f t="shared" si="76"/>
        <v>-10.0808080808081</v>
      </c>
      <c r="AG135" s="31" t="str">
        <f t="shared" si="93"/>
        <v>929.351209226457i</v>
      </c>
      <c r="AH135" s="31">
        <f t="shared" si="94"/>
        <v>929.35120922645694</v>
      </c>
      <c r="AI135" s="31">
        <f t="shared" si="95"/>
        <v>1.5707963267948966</v>
      </c>
      <c r="AJ135" s="31" t="str">
        <f t="shared" si="77"/>
        <v>0.983479209438291+1.2478742546231i</v>
      </c>
      <c r="AK135" s="31">
        <f t="shared" si="96"/>
        <v>1.5888428212848884</v>
      </c>
      <c r="AL135" s="31">
        <f t="shared" si="97"/>
        <v>0.90333913197563254</v>
      </c>
      <c r="AM135" s="31" t="str">
        <f t="shared" si="78"/>
        <v>1+921.137231498833i</v>
      </c>
      <c r="AN135" s="31">
        <f t="shared" si="98"/>
        <v>921.13777430595826</v>
      </c>
      <c r="AO135" s="31">
        <f t="shared" si="99"/>
        <v>1.5697107126508236</v>
      </c>
      <c r="AP135" s="31" t="str">
        <f t="shared" si="79"/>
        <v>1+1.07953436463745i</v>
      </c>
      <c r="AQ135" s="31">
        <f t="shared" si="100"/>
        <v>1.4715279285263949</v>
      </c>
      <c r="AR135" s="31">
        <f t="shared" si="101"/>
        <v>0.82362576843508939</v>
      </c>
      <c r="AS135" s="58" t="str">
        <f t="shared" si="102"/>
        <v>-9.22376985521002+0.746897249172111i</v>
      </c>
      <c r="AT135" s="49">
        <f t="shared" si="103"/>
        <v>19.326552874139512</v>
      </c>
      <c r="AU135" s="61">
        <f t="shared" si="104"/>
        <v>175.37055958969995</v>
      </c>
      <c r="AV135" s="58" t="str">
        <f t="shared" si="80"/>
        <v>-413.499138541356+10580.7776975308i</v>
      </c>
      <c r="AW135" s="64">
        <f t="shared" si="105"/>
        <v>80.496979561071953</v>
      </c>
      <c r="AX135" s="61">
        <f t="shared" si="106"/>
        <v>92.237992896333367</v>
      </c>
    </row>
    <row r="136" spans="14:50" x14ac:dyDescent="0.4">
      <c r="N136" s="10">
        <v>18</v>
      </c>
      <c r="O136" s="50">
        <f t="shared" si="107"/>
        <v>151.3561248436209</v>
      </c>
      <c r="P136" s="48" t="str">
        <f t="shared" si="71"/>
        <v>5120.19230769231</v>
      </c>
      <c r="Q136" s="17" t="str">
        <f t="shared" si="72"/>
        <v>1+4.44408951699781i</v>
      </c>
      <c r="R136" s="17">
        <f t="shared" si="82"/>
        <v>4.555209285542194</v>
      </c>
      <c r="S136" s="17">
        <f t="shared" si="83"/>
        <v>1.3494647807537206</v>
      </c>
      <c r="T136" s="17" t="str">
        <f t="shared" si="73"/>
        <v>1+0.0000095004758118931i</v>
      </c>
      <c r="U136" s="17">
        <f t="shared" si="84"/>
        <v>1.0000000000451297</v>
      </c>
      <c r="V136" s="17">
        <f t="shared" si="85"/>
        <v>9.5004758116072646E-6</v>
      </c>
      <c r="W136" s="31" t="str">
        <f t="shared" si="74"/>
        <v>1-0.0154061769922591i</v>
      </c>
      <c r="X136" s="17">
        <f t="shared" si="86"/>
        <v>1.0001186681036989</v>
      </c>
      <c r="Y136" s="17">
        <f t="shared" si="87"/>
        <v>-1.5404958278955079E-2</v>
      </c>
      <c r="Z136" s="31" t="str">
        <f t="shared" si="75"/>
        <v>0.999990836529389+0.093800071862466i</v>
      </c>
      <c r="AA136" s="17">
        <f t="shared" si="88"/>
        <v>1.0043804690574938</v>
      </c>
      <c r="AB136" s="17">
        <f t="shared" si="89"/>
        <v>9.3527268584876963E-2</v>
      </c>
      <c r="AC136" s="66" t="str">
        <f t="shared" si="90"/>
        <v>125.549968791971-1112.19668956657i</v>
      </c>
      <c r="AD136" s="64">
        <f t="shared" si="91"/>
        <v>60.978624253023533</v>
      </c>
      <c r="AE136" s="61">
        <f t="shared" si="92"/>
        <v>-83.559449053826938</v>
      </c>
      <c r="AF136" s="31" t="str">
        <f t="shared" si="76"/>
        <v>-10.0808080808081</v>
      </c>
      <c r="AG136" s="31" t="str">
        <f t="shared" si="93"/>
        <v>950.998579769078i</v>
      </c>
      <c r="AH136" s="31">
        <f t="shared" si="94"/>
        <v>950.99857976907799</v>
      </c>
      <c r="AI136" s="31">
        <f t="shared" si="95"/>
        <v>1.5707963267948966</v>
      </c>
      <c r="AJ136" s="31" t="str">
        <f t="shared" si="77"/>
        <v>0.982700608566465+1.27694098000339i</v>
      </c>
      <c r="AK136" s="31">
        <f t="shared" si="96"/>
        <v>1.6112972266124332</v>
      </c>
      <c r="AL136" s="31">
        <f t="shared" si="97"/>
        <v>0.91488508547229108</v>
      </c>
      <c r="AM136" s="31" t="str">
        <f t="shared" si="78"/>
        <v>1+942.59327392165i</v>
      </c>
      <c r="AN136" s="31">
        <f t="shared" si="98"/>
        <v>942.59380437298364</v>
      </c>
      <c r="AO136" s="31">
        <f t="shared" si="99"/>
        <v>1.5697354242269543</v>
      </c>
      <c r="AP136" s="31" t="str">
        <f t="shared" si="79"/>
        <v>1+1.10467995025976i</v>
      </c>
      <c r="AQ136" s="31">
        <f t="shared" si="100"/>
        <v>1.4900730829412046</v>
      </c>
      <c r="AR136" s="31">
        <f t="shared" si="101"/>
        <v>0.83509396677950998</v>
      </c>
      <c r="AS136" s="58" t="str">
        <f t="shared" si="102"/>
        <v>-9.20981523707028+0.746258997089425i</v>
      </c>
      <c r="AT136" s="49">
        <f t="shared" si="103"/>
        <v>19.313439383286386</v>
      </c>
      <c r="AU136" s="61">
        <f t="shared" si="104"/>
        <v>175.36752041665841</v>
      </c>
      <c r="AV136" s="58" t="str">
        <f t="shared" si="80"/>
        <v>-326.305229471866+10336.8188119846i</v>
      </c>
      <c r="AW136" s="64">
        <f t="shared" si="105"/>
        <v>80.292063636309891</v>
      </c>
      <c r="AX136" s="61">
        <f t="shared" si="106"/>
        <v>91.808071362831484</v>
      </c>
    </row>
    <row r="137" spans="14:50" x14ac:dyDescent="0.4">
      <c r="N137" s="10">
        <v>19</v>
      </c>
      <c r="O137" s="50">
        <f t="shared" si="107"/>
        <v>154.8816618912482</v>
      </c>
      <c r="P137" s="48" t="str">
        <f t="shared" si="71"/>
        <v>5120.19230769231</v>
      </c>
      <c r="Q137" s="17" t="str">
        <f t="shared" si="72"/>
        <v>1+4.54760565981222i</v>
      </c>
      <c r="R137" s="17">
        <f t="shared" si="82"/>
        <v>4.6562557100266879</v>
      </c>
      <c r="S137" s="17">
        <f t="shared" si="83"/>
        <v>1.3543452844657002</v>
      </c>
      <c r="T137" s="17" t="str">
        <f t="shared" si="73"/>
        <v>1+9.72177032164301E-06i</v>
      </c>
      <c r="U137" s="17">
        <f t="shared" si="84"/>
        <v>1.0000000000472564</v>
      </c>
      <c r="V137" s="17">
        <f t="shared" si="85"/>
        <v>9.7217703213367329E-6</v>
      </c>
      <c r="W137" s="31" t="str">
        <f t="shared" si="74"/>
        <v>1-0.0157650329540157i</v>
      </c>
      <c r="X137" s="17">
        <f t="shared" si="86"/>
        <v>1.0001242604116956</v>
      </c>
      <c r="Y137" s="17">
        <f t="shared" si="87"/>
        <v>-1.576372708794559E-2</v>
      </c>
      <c r="Z137" s="31" t="str">
        <f t="shared" si="75"/>
        <v>0.999990404668324+0.0959849562122926i</v>
      </c>
      <c r="AA137" s="17">
        <f t="shared" si="88"/>
        <v>1.004586442894684</v>
      </c>
      <c r="AB137" s="17">
        <f t="shared" si="89"/>
        <v>9.5692714263528128E-2</v>
      </c>
      <c r="AC137" s="66" t="str">
        <f t="shared" si="90"/>
        <v>114.742657008478-1088.72310891565i</v>
      </c>
      <c r="AD137" s="64">
        <f t="shared" si="91"/>
        <v>60.786321988993315</v>
      </c>
      <c r="AE137" s="61">
        <f t="shared" si="92"/>
        <v>-83.983695475907496</v>
      </c>
      <c r="AF137" s="31" t="str">
        <f t="shared" si="76"/>
        <v>-10.0808080808081</v>
      </c>
      <c r="AG137" s="31" t="str">
        <f t="shared" si="93"/>
        <v>973.150182346647i</v>
      </c>
      <c r="AH137" s="31">
        <f t="shared" si="94"/>
        <v>973.15018234664694</v>
      </c>
      <c r="AI137" s="31">
        <f t="shared" si="95"/>
        <v>1.5707963267948966</v>
      </c>
      <c r="AJ137" s="31" t="str">
        <f t="shared" si="77"/>
        <v>0.981885313366038+1.30668475639359i</v>
      </c>
      <c r="AK137" s="31">
        <f t="shared" si="96"/>
        <v>1.6344796790401825</v>
      </c>
      <c r="AL137" s="31">
        <f t="shared" si="97"/>
        <v>0.92637908726879359</v>
      </c>
      <c r="AM137" s="31" t="str">
        <f t="shared" si="78"/>
        <v>1+964.549091774998i</v>
      </c>
      <c r="AN137" s="31">
        <f t="shared" si="98"/>
        <v>964.54961015179197</v>
      </c>
      <c r="AO137" s="31">
        <f t="shared" si="99"/>
        <v>1.5697595733001897</v>
      </c>
      <c r="AP137" s="31" t="str">
        <f t="shared" si="79"/>
        <v>1+1.13041125181387i</v>
      </c>
      <c r="AQ137" s="31">
        <f t="shared" si="100"/>
        <v>1.5092480240925945</v>
      </c>
      <c r="AR137" s="31">
        <f t="shared" si="101"/>
        <v>0.84653599580955174</v>
      </c>
      <c r="AS137" s="58" t="str">
        <f t="shared" si="102"/>
        <v>-9.19600307513824+0.745397363381241i</v>
      </c>
      <c r="AT137" s="49">
        <f t="shared" si="103"/>
        <v>19.300422772153819</v>
      </c>
      <c r="AU137" s="61">
        <f t="shared" si="104"/>
        <v>175.36592623646627</v>
      </c>
      <c r="AV137" s="58" t="str">
        <f t="shared" si="80"/>
        <v>-243.642491861543+10097.4299315639i</v>
      </c>
      <c r="AW137" s="64">
        <f t="shared" si="105"/>
        <v>80.086744761147173</v>
      </c>
      <c r="AX137" s="61">
        <f t="shared" si="106"/>
        <v>91.382230760558741</v>
      </c>
    </row>
    <row r="138" spans="14:50" x14ac:dyDescent="0.4">
      <c r="N138" s="10">
        <v>20</v>
      </c>
      <c r="O138" s="50">
        <f t="shared" si="107"/>
        <v>158.48931924611153</v>
      </c>
      <c r="P138" s="48" t="str">
        <f t="shared" si="71"/>
        <v>5120.19230769231</v>
      </c>
      <c r="Q138" s="17" t="str">
        <f t="shared" si="72"/>
        <v>1+4.65353300334214i</v>
      </c>
      <c r="R138" s="17">
        <f t="shared" si="82"/>
        <v>4.7597656888963051</v>
      </c>
      <c r="S138" s="17">
        <f t="shared" si="83"/>
        <v>1.3591248380827285</v>
      </c>
      <c r="T138" s="17" t="str">
        <f t="shared" si="73"/>
        <v>1+9.94821944270032E-06i</v>
      </c>
      <c r="U138" s="17">
        <f t="shared" si="84"/>
        <v>1.0000000000494835</v>
      </c>
      <c r="V138" s="17">
        <f t="shared" si="85"/>
        <v>9.9482194423721396E-6</v>
      </c>
      <c r="W138" s="31" t="str">
        <f t="shared" si="74"/>
        <v>1-0.0161322477449194i</v>
      </c>
      <c r="X138" s="17">
        <f t="shared" si="86"/>
        <v>1.0001301162435332</v>
      </c>
      <c r="Y138" s="17">
        <f t="shared" si="87"/>
        <v>-1.6130848494046966E-2</v>
      </c>
      <c r="Z138" s="31" t="str">
        <f t="shared" si="75"/>
        <v>0.999989952454274+0.0982207330564141i</v>
      </c>
      <c r="AA138" s="17">
        <f t="shared" si="88"/>
        <v>1.0048020787257761</v>
      </c>
      <c r="AB138" s="17">
        <f t="shared" si="89"/>
        <v>9.7907670936687896E-2</v>
      </c>
      <c r="AC138" s="66" t="str">
        <f t="shared" si="90"/>
        <v>104.382357892744-1065.621732029i</v>
      </c>
      <c r="AD138" s="64">
        <f t="shared" si="91"/>
        <v>60.593533580527279</v>
      </c>
      <c r="AE138" s="61">
        <f t="shared" si="92"/>
        <v>-84.405472927855797</v>
      </c>
      <c r="AF138" s="31" t="str">
        <f t="shared" si="76"/>
        <v>-10.0808080808081</v>
      </c>
      <c r="AG138" s="31" t="str">
        <f t="shared" si="93"/>
        <v>995.817762032063i</v>
      </c>
      <c r="AH138" s="31">
        <f t="shared" si="94"/>
        <v>995.817762032063</v>
      </c>
      <c r="AI138" s="31">
        <f t="shared" si="95"/>
        <v>1.5707963267948966</v>
      </c>
      <c r="AJ138" s="31" t="str">
        <f t="shared" si="77"/>
        <v>0.981031594486582+1.33712135433765i</v>
      </c>
      <c r="AK138" s="31">
        <f t="shared" si="96"/>
        <v>1.6584078224630503</v>
      </c>
      <c r="AL138" s="31">
        <f t="shared" si="97"/>
        <v>0.93781606736936285</v>
      </c>
      <c r="AM138" s="31" t="str">
        <f t="shared" si="78"/>
        <v>1+987.016326324122i</v>
      </c>
      <c r="AN138" s="31">
        <f t="shared" si="98"/>
        <v>987.01683290122537</v>
      </c>
      <c r="AO138" s="31">
        <f t="shared" si="99"/>
        <v>1.5697831726745755</v>
      </c>
      <c r="AP138" s="31" t="str">
        <f t="shared" si="79"/>
        <v>1+1.15674191237645i</v>
      </c>
      <c r="AQ138" s="31">
        <f t="shared" si="100"/>
        <v>1.5290689493441187</v>
      </c>
      <c r="AR138" s="31">
        <f t="shared" si="101"/>
        <v>0.85794593927560825</v>
      </c>
      <c r="AS138" s="58" t="str">
        <f t="shared" si="102"/>
        <v>-9.18234524128767+0.744322074371234i</v>
      </c>
      <c r="AT138" s="49">
        <f t="shared" si="103"/>
        <v>19.287515385805804</v>
      </c>
      <c r="AU138" s="61">
        <f t="shared" si="104"/>
        <v>175.36572929596781</v>
      </c>
      <c r="AV138" s="58" t="str">
        <f t="shared" si="80"/>
        <v>-165.309069191932+9862.6007332637i</v>
      </c>
      <c r="AW138" s="64">
        <f t="shared" si="105"/>
        <v>79.881048966333083</v>
      </c>
      <c r="AX138" s="61">
        <f t="shared" si="106"/>
        <v>90.960256368112013</v>
      </c>
    </row>
    <row r="139" spans="14:50" x14ac:dyDescent="0.4">
      <c r="N139" s="10">
        <v>21</v>
      </c>
      <c r="O139" s="50">
        <f t="shared" si="107"/>
        <v>162.18100973589304</v>
      </c>
      <c r="P139" s="48" t="str">
        <f t="shared" si="71"/>
        <v>5120.19230769231</v>
      </c>
      <c r="Q139" s="17" t="str">
        <f t="shared" si="72"/>
        <v>1+4.76192771166721i</v>
      </c>
      <c r="R139" s="17">
        <f t="shared" si="82"/>
        <v>4.865794439877634</v>
      </c>
      <c r="S139" s="17">
        <f t="shared" si="83"/>
        <v>1.3638051019073736</v>
      </c>
      <c r="T139" s="17" t="str">
        <f t="shared" si="73"/>
        <v>1+0.0000101799432413863i</v>
      </c>
      <c r="U139" s="17">
        <f t="shared" si="84"/>
        <v>1.0000000000518157</v>
      </c>
      <c r="V139" s="17">
        <f t="shared" si="85"/>
        <v>1.0179943241034646E-5</v>
      </c>
      <c r="W139" s="31" t="str">
        <f t="shared" si="74"/>
        <v>1-0.016508016067113i</v>
      </c>
      <c r="X139" s="17">
        <f t="shared" si="86"/>
        <v>1.0001362480154752</v>
      </c>
      <c r="Y139" s="17">
        <f t="shared" si="87"/>
        <v>-1.6506516753821528E-2</v>
      </c>
      <c r="Z139" s="31" t="str">
        <f t="shared" si="75"/>
        <v>0.999989478928032+0.100508587833307i</v>
      </c>
      <c r="AA139" s="17">
        <f t="shared" si="88"/>
        <v>1.0050278275724522</v>
      </c>
      <c r="AB139" s="17">
        <f t="shared" si="89"/>
        <v>0.10017322629700433</v>
      </c>
      <c r="AC139" s="66" t="str">
        <f t="shared" si="90"/>
        <v>94.4528047507413-1042.89286038914i</v>
      </c>
      <c r="AD139" s="64">
        <f t="shared" si="91"/>
        <v>60.400271918839692</v>
      </c>
      <c r="AE139" s="61">
        <f t="shared" si="92"/>
        <v>-84.824949981401474</v>
      </c>
      <c r="AF139" s="31" t="str">
        <f t="shared" si="76"/>
        <v>-10.0808080808081</v>
      </c>
      <c r="AG139" s="31" t="str">
        <f t="shared" si="93"/>
        <v>1019.01333747611i</v>
      </c>
      <c r="AH139" s="31">
        <f t="shared" si="94"/>
        <v>1019.01333747611</v>
      </c>
      <c r="AI139" s="31">
        <f t="shared" si="95"/>
        <v>1.5707963267948966</v>
      </c>
      <c r="AJ139" s="31" t="str">
        <f t="shared" si="77"/>
        <v>0.980137641075894+1.36826691172266i</v>
      </c>
      <c r="AK139" s="31">
        <f t="shared" si="96"/>
        <v>1.6830995624647058</v>
      </c>
      <c r="AL139" s="31">
        <f t="shared" si="97"/>
        <v>0.94919111748609875</v>
      </c>
      <c r="AM139" s="31" t="str">
        <f t="shared" si="78"/>
        <v>1+1010.00688999416i</v>
      </c>
      <c r="AN139" s="31">
        <f t="shared" si="98"/>
        <v>1010.0073850401667</v>
      </c>
      <c r="AO139" s="31">
        <f t="shared" si="99"/>
        <v>1.5698062348627069</v>
      </c>
      <c r="AP139" s="31" t="str">
        <f t="shared" si="79"/>
        <v>1+1.18368589281225i</v>
      </c>
      <c r="AQ139" s="31">
        <f t="shared" si="100"/>
        <v>1.5495522878698651</v>
      </c>
      <c r="AR139" s="31">
        <f t="shared" si="101"/>
        <v>0.86931796439726938</v>
      </c>
      <c r="AS139" s="58" t="str">
        <f t="shared" si="102"/>
        <v>-9.16885299374571+0.743043466125897i</v>
      </c>
      <c r="AT139" s="49">
        <f t="shared" si="103"/>
        <v>19.274729122598313</v>
      </c>
      <c r="AU139" s="61">
        <f t="shared" si="104"/>
        <v>175.36687734256338</v>
      </c>
      <c r="AV139" s="58" t="str">
        <f t="shared" si="80"/>
        <v>-91.1091558250157+9632.3138645623i</v>
      </c>
      <c r="AW139" s="64">
        <f t="shared" si="105"/>
        <v>79.675001041438009</v>
      </c>
      <c r="AX139" s="61">
        <f t="shared" si="106"/>
        <v>90.541927361161882</v>
      </c>
    </row>
    <row r="140" spans="14:50" x14ac:dyDescent="0.4">
      <c r="N140" s="10">
        <v>22</v>
      </c>
      <c r="O140" s="50">
        <f t="shared" si="107"/>
        <v>165.95869074375622</v>
      </c>
      <c r="P140" s="48" t="str">
        <f t="shared" si="71"/>
        <v>5120.19230769231</v>
      </c>
      <c r="Q140" s="17" t="str">
        <f t="shared" si="72"/>
        <v>1+4.8728472570966i</v>
      </c>
      <c r="R140" s="17">
        <f t="shared" si="82"/>
        <v>4.9743984953955849</v>
      </c>
      <c r="S140" s="17">
        <f t="shared" si="83"/>
        <v>1.3683877369316371</v>
      </c>
      <c r="T140" s="17" t="str">
        <f t="shared" si="73"/>
        <v>1+0.0000104170645807265i</v>
      </c>
      <c r="U140" s="17">
        <f t="shared" si="84"/>
        <v>1.0000000000542575</v>
      </c>
      <c r="V140" s="17">
        <f t="shared" si="85"/>
        <v>1.0417064580349698E-5</v>
      </c>
      <c r="W140" s="31" t="str">
        <f t="shared" si="74"/>
        <v>1-0.0168925371579349i</v>
      </c>
      <c r="X140" s="17">
        <f t="shared" si="86"/>
        <v>1.000142668728633</v>
      </c>
      <c r="Y140" s="17">
        <f t="shared" si="87"/>
        <v>-1.6890930627175491E-2</v>
      </c>
      <c r="Z140" s="31" t="str">
        <f t="shared" si="75"/>
        <v>0.999988983085187+0.102849733593858i</v>
      </c>
      <c r="AA140" s="17">
        <f t="shared" si="88"/>
        <v>1.0052641612989464</v>
      </c>
      <c r="AB140" s="17">
        <f t="shared" si="89"/>
        <v>0.10249048878646651</v>
      </c>
      <c r="AC140" s="66" t="str">
        <f t="shared" si="90"/>
        <v>84.9381836711911-1020.5362815553i</v>
      </c>
      <c r="AD140" s="64">
        <f t="shared" si="91"/>
        <v>60.206549110667204</v>
      </c>
      <c r="AE140" s="61">
        <f t="shared" si="92"/>
        <v>-85.242296694488246</v>
      </c>
      <c r="AF140" s="31" t="str">
        <f t="shared" si="76"/>
        <v>-10.0808080808081</v>
      </c>
      <c r="AG140" s="31" t="str">
        <f t="shared" si="93"/>
        <v>1042.74920727993i</v>
      </c>
      <c r="AH140" s="31">
        <f t="shared" si="94"/>
        <v>1042.74920727993</v>
      </c>
      <c r="AI140" s="31">
        <f t="shared" si="95"/>
        <v>1.5707963267948966</v>
      </c>
      <c r="AJ140" s="31" t="str">
        <f t="shared" si="77"/>
        <v>0.979201556938935+1.40013794233543i</v>
      </c>
      <c r="AK140" s="31">
        <f t="shared" si="96"/>
        <v>1.7085730732628692</v>
      </c>
      <c r="AL140" s="31">
        <f t="shared" si="97"/>
        <v>0.96049950108953064</v>
      </c>
      <c r="AM140" s="31" t="str">
        <f t="shared" si="78"/>
        <v>1+1033.53297268631i</v>
      </c>
      <c r="AN140" s="31">
        <f t="shared" si="98"/>
        <v>1033.5334564636989</v>
      </c>
      <c r="AO140" s="31">
        <f t="shared" si="99"/>
        <v>1.5698287720923632</v>
      </c>
      <c r="AP140" s="31" t="str">
        <f t="shared" si="79"/>
        <v>1+1.21125747917637i</v>
      </c>
      <c r="AQ140" s="31">
        <f t="shared" si="100"/>
        <v>1.5707147038404823</v>
      </c>
      <c r="AR140" s="31">
        <f t="shared" si="101"/>
        <v>0.88064633631145406</v>
      </c>
      <c r="AS140" s="58" t="str">
        <f t="shared" si="102"/>
        <v>-9.15553694496347+0.74157243427123i</v>
      </c>
      <c r="AT140" s="49">
        <f t="shared" si="103"/>
        <v>19.262075392928075</v>
      </c>
      <c r="AU140" s="61">
        <f t="shared" si="104"/>
        <v>175.36931387655039</v>
      </c>
      <c r="AV140" s="58" t="str">
        <f t="shared" si="80"/>
        <v>-20.85310406461+9406.54544508281i</v>
      </c>
      <c r="AW140" s="64">
        <f t="shared" si="105"/>
        <v>79.468624503595279</v>
      </c>
      <c r="AX140" s="61">
        <f t="shared" si="106"/>
        <v>90.127017182062147</v>
      </c>
    </row>
    <row r="141" spans="14:50" x14ac:dyDescent="0.4">
      <c r="N141" s="10">
        <v>23</v>
      </c>
      <c r="O141" s="50">
        <f t="shared" si="107"/>
        <v>169.82436524617444</v>
      </c>
      <c r="P141" s="48" t="str">
        <f t="shared" si="71"/>
        <v>5120.19230769231</v>
      </c>
      <c r="Q141" s="17" t="str">
        <f t="shared" si="72"/>
        <v>1+4.98635045064143i</v>
      </c>
      <c r="R141" s="17">
        <f t="shared" si="82"/>
        <v>5.0856357337713431</v>
      </c>
      <c r="S141" s="17">
        <f t="shared" si="83"/>
        <v>1.3728744026652435</v>
      </c>
      <c r="T141" s="17" t="str">
        <f t="shared" si="73"/>
        <v>1+0.0000106597091855935i</v>
      </c>
      <c r="U141" s="17">
        <f t="shared" si="84"/>
        <v>1.0000000000568146</v>
      </c>
      <c r="V141" s="17">
        <f t="shared" si="85"/>
        <v>1.0659709185189748E-5</v>
      </c>
      <c r="W141" s="31" t="str">
        <f t="shared" si="74"/>
        <v>1-0.0172860148955569i</v>
      </c>
      <c r="X141" s="17">
        <f t="shared" si="86"/>
        <v>1.0001493919965003</v>
      </c>
      <c r="Y141" s="17">
        <f t="shared" si="87"/>
        <v>-1.7284293480720695E-2</v>
      </c>
      <c r="Z141" s="31" t="str">
        <f t="shared" si="75"/>
        <v>0.999988463873988+0.105245411644537i</v>
      </c>
      <c r="AA141" s="17">
        <f t="shared" si="88"/>
        <v>1.0055115735551163</v>
      </c>
      <c r="AB141" s="17">
        <f t="shared" si="89"/>
        <v>0.10486058776405903</v>
      </c>
      <c r="AC141" s="66" t="str">
        <f t="shared" si="90"/>
        <v>75.8231352985756-998.551304824059i</v>
      </c>
      <c r="AD141" s="64">
        <f t="shared" si="91"/>
        <v>60.012376488080996</v>
      </c>
      <c r="AE141" s="61">
        <f t="shared" si="92"/>
        <v>-85.657684502367772</v>
      </c>
      <c r="AF141" s="31" t="str">
        <f t="shared" si="76"/>
        <v>-10.0808080808081</v>
      </c>
      <c r="AG141" s="31" t="str">
        <f t="shared" si="93"/>
        <v>1067.03795651586i</v>
      </c>
      <c r="AH141" s="31">
        <f t="shared" si="94"/>
        <v>1067.0379565158601</v>
      </c>
      <c r="AI141" s="31">
        <f t="shared" si="95"/>
        <v>1.5707963267948966</v>
      </c>
      <c r="AJ141" s="31" t="str">
        <f t="shared" si="77"/>
        <v>0.978221356515748+1.43275134461824i</v>
      </c>
      <c r="AK141" s="31">
        <f t="shared" si="96"/>
        <v>1.734846805296907</v>
      </c>
      <c r="AL141" s="31">
        <f t="shared" si="97"/>
        <v>0.97173666251966129</v>
      </c>
      <c r="AM141" s="31" t="str">
        <f t="shared" si="78"/>
        <v>1+1057.60704824099i</v>
      </c>
      <c r="AN141" s="31">
        <f t="shared" si="98"/>
        <v>1057.6075210062661</v>
      </c>
      <c r="AO141" s="31">
        <f t="shared" si="99"/>
        <v>1.5698507963129904</v>
      </c>
      <c r="AP141" s="31" t="str">
        <f t="shared" si="79"/>
        <v>1+1.23947129028882i</v>
      </c>
      <c r="AQ141" s="31">
        <f t="shared" si="100"/>
        <v>1.5925731001904537</v>
      </c>
      <c r="AR141" s="31">
        <f t="shared" si="101"/>
        <v>0.89192543191146212</v>
      </c>
      <c r="AS141" s="58" t="str">
        <f t="shared" si="102"/>
        <v>-9.14240703432761+0.739920382120928i</v>
      </c>
      <c r="AT141" s="49">
        <f t="shared" si="103"/>
        <v>19.249565081904233</v>
      </c>
      <c r="AU141" s="61">
        <f t="shared" si="104"/>
        <v>175.37297842239087</v>
      </c>
      <c r="AV141" s="58" t="str">
        <f t="shared" si="80"/>
        <v>45.6424975142975+9185.26555660422i</v>
      </c>
      <c r="AW141" s="64">
        <f t="shared" si="105"/>
        <v>79.261941569985225</v>
      </c>
      <c r="AX141" s="61">
        <f t="shared" si="106"/>
        <v>89.715293920023086</v>
      </c>
    </row>
    <row r="142" spans="14:50" x14ac:dyDescent="0.4">
      <c r="N142" s="10">
        <v>24</v>
      </c>
      <c r="O142" s="50">
        <f t="shared" si="107"/>
        <v>173.78008287493768</v>
      </c>
      <c r="P142" s="48" t="str">
        <f t="shared" si="71"/>
        <v>5120.19230769231</v>
      </c>
      <c r="Q142" s="17" t="str">
        <f t="shared" si="72"/>
        <v>1+5.10249747319737i</v>
      </c>
      <c r="R142" s="17">
        <f t="shared" si="82"/>
        <v>5.199565411069039</v>
      </c>
      <c r="S142" s="17">
        <f t="shared" si="83"/>
        <v>1.3772667551167093</v>
      </c>
      <c r="T142" s="17" t="str">
        <f t="shared" si="73"/>
        <v>1+0.0000109080057093686i</v>
      </c>
      <c r="U142" s="17">
        <f t="shared" si="84"/>
        <v>1.0000000000594924</v>
      </c>
      <c r="V142" s="17">
        <f t="shared" si="85"/>
        <v>1.0908005708935972E-5</v>
      </c>
      <c r="W142" s="31" t="str">
        <f t="shared" si="74"/>
        <v>1-0.0176886579070842i</v>
      </c>
      <c r="X142" s="17">
        <f t="shared" si="86"/>
        <v>1.0001564320737801</v>
      </c>
      <c r="Y142" s="17">
        <f t="shared" si="87"/>
        <v>-1.7686813393436009E-2</v>
      </c>
      <c r="Z142" s="31" t="str">
        <f t="shared" si="75"/>
        <v>0.999987920193118+0.107696892205558i</v>
      </c>
      <c r="AA142" s="17">
        <f t="shared" si="88"/>
        <v>1.005770580760291</v>
      </c>
      <c r="AB142" s="17">
        <f t="shared" si="89"/>
        <v>0.10728467365622031</v>
      </c>
      <c r="AC142" s="66" t="str">
        <f t="shared" si="90"/>
        <v>67.092755055218-976.936795406035i</v>
      </c>
      <c r="AD142" s="64">
        <f t="shared" si="91"/>
        <v>59.817764618047335</v>
      </c>
      <c r="AE142" s="61">
        <f t="shared" si="92"/>
        <v>-86.071286116594422</v>
      </c>
      <c r="AF142" s="31" t="str">
        <f t="shared" si="76"/>
        <v>-10.0808080808081</v>
      </c>
      <c r="AG142" s="31" t="str">
        <f t="shared" si="93"/>
        <v>1091.89246340026i</v>
      </c>
      <c r="AH142" s="31">
        <f t="shared" si="94"/>
        <v>1091.8924634002601</v>
      </c>
      <c r="AI142" s="31">
        <f t="shared" si="95"/>
        <v>1.5707963267948966</v>
      </c>
      <c r="AJ142" s="31" t="str">
        <f t="shared" si="77"/>
        <v>0.977194960669817+1.46612441062867i</v>
      </c>
      <c r="AK142" s="31">
        <f t="shared" si="96"/>
        <v>1.7619394934559331</v>
      </c>
      <c r="AL142" s="31">
        <f t="shared" si="97"/>
        <v>0.98289823513128527</v>
      </c>
      <c r="AM142" s="31" t="str">
        <f t="shared" si="78"/>
        <v>1+1082.24188105175i</v>
      </c>
      <c r="AN142" s="31">
        <f t="shared" si="98"/>
        <v>1082.2423430555791</v>
      </c>
      <c r="AO142" s="31">
        <f t="shared" si="99"/>
        <v>1.5698723192020363</v>
      </c>
      <c r="AP142" s="31" t="str">
        <f t="shared" si="79"/>
        <v>1+1.26834228548574i</v>
      </c>
      <c r="AQ142" s="31">
        <f t="shared" si="100"/>
        <v>1.6151446229830906</v>
      </c>
      <c r="AR142" s="31">
        <f t="shared" si="101"/>
        <v>0.90314975299986655</v>
      </c>
      <c r="AS142" s="58" t="str">
        <f t="shared" si="102"/>
        <v>-9.12947250576751+0.738099167627745i</v>
      </c>
      <c r="AT142" s="49">
        <f t="shared" si="103"/>
        <v>19.237208516153753</v>
      </c>
      <c r="AU142" s="61">
        <f t="shared" si="104"/>
        <v>175.3778068159865</v>
      </c>
      <c r="AV142" s="58" t="str">
        <f t="shared" si="80"/>
        <v>108.554772901304+8968.43872019212i</v>
      </c>
      <c r="AW142" s="64">
        <f t="shared" si="105"/>
        <v>79.054973134201077</v>
      </c>
      <c r="AX142" s="61">
        <f t="shared" si="106"/>
        <v>89.306520699392095</v>
      </c>
    </row>
    <row r="143" spans="14:50" x14ac:dyDescent="0.4">
      <c r="N143" s="10">
        <v>25</v>
      </c>
      <c r="O143" s="50">
        <f t="shared" si="107"/>
        <v>177.82794100389242</v>
      </c>
      <c r="P143" s="48" t="str">
        <f t="shared" si="71"/>
        <v>5120.19230769231</v>
      </c>
      <c r="Q143" s="17" t="str">
        <f t="shared" si="72"/>
        <v>1+5.22134990745314i</v>
      </c>
      <c r="R143" s="17">
        <f t="shared" si="82"/>
        <v>5.3162481936099368</v>
      </c>
      <c r="S143" s="17">
        <f t="shared" si="83"/>
        <v>1.3815664449206075</v>
      </c>
      <c r="T143" s="17" t="str">
        <f t="shared" si="73"/>
        <v>1+0.0000111620858021554i</v>
      </c>
      <c r="U143" s="17">
        <f t="shared" si="84"/>
        <v>1.0000000000622959</v>
      </c>
      <c r="V143" s="17">
        <f t="shared" si="85"/>
        <v>1.1162085801691831E-5</v>
      </c>
      <c r="W143" s="31" t="str">
        <f t="shared" si="74"/>
        <v>1-0.0181006796791709i</v>
      </c>
      <c r="X143" s="17">
        <f t="shared" si="86"/>
        <v>1.0001638038865674</v>
      </c>
      <c r="Y143" s="17">
        <f t="shared" si="87"/>
        <v>-1.8098703264670037E-2</v>
      </c>
      <c r="Z143" s="31" t="str">
        <f t="shared" si="75"/>
        <v>0.999987350889359+0.110205475084364i</v>
      </c>
      <c r="AA143" s="17">
        <f t="shared" si="88"/>
        <v>1.0060417231294576</v>
      </c>
      <c r="AB143" s="17">
        <f t="shared" si="89"/>
        <v>0.10976391808835667</v>
      </c>
      <c r="AC143" s="66" t="str">
        <f t="shared" si="90"/>
        <v>58.7325919647815-955.691207119424i</v>
      </c>
      <c r="AD143" s="64">
        <f t="shared" si="91"/>
        <v>59.622723311673631</v>
      </c>
      <c r="AE143" s="61">
        <f t="shared" si="92"/>
        <v>-86.483275431444866</v>
      </c>
      <c r="AF143" s="31" t="str">
        <f t="shared" si="76"/>
        <v>-10.0808080808081</v>
      </c>
      <c r="AG143" s="31" t="str">
        <f t="shared" si="93"/>
        <v>1117.32590612166i</v>
      </c>
      <c r="AH143" s="31">
        <f t="shared" si="94"/>
        <v>1117.32590612166</v>
      </c>
      <c r="AI143" s="31">
        <f t="shared" si="95"/>
        <v>1.5707963267948966</v>
      </c>
      <c r="AJ143" s="31" t="str">
        <f t="shared" si="77"/>
        <v>0.976120192277941+1.50027483520807i</v>
      </c>
      <c r="AK143" s="31">
        <f t="shared" si="96"/>
        <v>1.7898701659425822</v>
      </c>
      <c r="AL143" s="31">
        <f t="shared" si="97"/>
        <v>0.99398004845642285</v>
      </c>
      <c r="AM143" s="31" t="str">
        <f t="shared" si="78"/>
        <v>1+1107.450532833i</v>
      </c>
      <c r="AN143" s="31">
        <f t="shared" si="98"/>
        <v>1107.4509843203425</v>
      </c>
      <c r="AO143" s="31">
        <f t="shared" si="99"/>
        <v>1.5698933521711416</v>
      </c>
      <c r="AP143" s="31" t="str">
        <f t="shared" si="79"/>
        <v>1+1.29788577255092i</v>
      </c>
      <c r="AQ143" s="31">
        <f t="shared" si="100"/>
        <v>1.6384466663856039</v>
      </c>
      <c r="AR143" s="31">
        <f t="shared" si="101"/>
        <v>0.91431393868553656</v>
      </c>
      <c r="AS143" s="58" t="str">
        <f t="shared" si="102"/>
        <v>-9.11674189024997+0.736121049661572i</v>
      </c>
      <c r="AT143" s="49">
        <f t="shared" si="103"/>
        <v>19.225015434912656</v>
      </c>
      <c r="AU143" s="61">
        <f t="shared" si="104"/>
        <v>175.38373150495389</v>
      </c>
      <c r="AV143" s="58" t="str">
        <f t="shared" si="80"/>
        <v>168.054533048803+8756.02435933567i</v>
      </c>
      <c r="AW143" s="64">
        <f t="shared" si="105"/>
        <v>78.847738746586288</v>
      </c>
      <c r="AX143" s="61">
        <f t="shared" si="106"/>
        <v>88.900456073509048</v>
      </c>
    </row>
    <row r="144" spans="14:50" x14ac:dyDescent="0.4">
      <c r="N144" s="10">
        <v>26</v>
      </c>
      <c r="O144" s="50">
        <f t="shared" si="107"/>
        <v>181.9700858609983</v>
      </c>
      <c r="P144" s="48" t="str">
        <f t="shared" si="71"/>
        <v>5120.19230769231</v>
      </c>
      <c r="Q144" s="17" t="str">
        <f t="shared" si="72"/>
        <v>1+5.34297077054253i</v>
      </c>
      <c r="R144" s="17">
        <f t="shared" si="82"/>
        <v>5.4357461911748448</v>
      </c>
      <c r="S144" s="17">
        <f t="shared" si="83"/>
        <v>1.385775115604521</v>
      </c>
      <c r="T144" s="17" t="str">
        <f t="shared" si="73"/>
        <v>1+0.000011422084180582i</v>
      </c>
      <c r="U144" s="17">
        <f t="shared" si="84"/>
        <v>1.000000000065232</v>
      </c>
      <c r="V144" s="17">
        <f t="shared" si="85"/>
        <v>1.1422084180085276E-5</v>
      </c>
      <c r="W144" s="31" t="str">
        <f t="shared" si="74"/>
        <v>1-0.0185222986712141i</v>
      </c>
      <c r="X144" s="17">
        <f t="shared" si="86"/>
        <v>1.0001715230639521</v>
      </c>
      <c r="Y144" s="17">
        <f t="shared" si="87"/>
        <v>-1.8520180924535921E-2</v>
      </c>
      <c r="Z144" s="31" t="str">
        <f t="shared" si="75"/>
        <v>0.999986754755141+0.1127724903648i</v>
      </c>
      <c r="AA144" s="17">
        <f t="shared" si="88"/>
        <v>1.0063255657434116</v>
      </c>
      <c r="AB144" s="17">
        <f t="shared" si="89"/>
        <v>0.11229951399556559</v>
      </c>
      <c r="AC144" s="66" t="str">
        <f t="shared" si="90"/>
        <v>50.7286462204436-934.812613609379i</v>
      </c>
      <c r="AD144" s="64">
        <f t="shared" si="91"/>
        <v>59.427261633080768</v>
      </c>
      <c r="AE144" s="61">
        <f t="shared" si="92"/>
        <v>-86.893827437286859</v>
      </c>
      <c r="AF144" s="31" t="str">
        <f t="shared" si="76"/>
        <v>-10.0808080808081</v>
      </c>
      <c r="AG144" s="31" t="str">
        <f t="shared" si="93"/>
        <v>1143.35176982803i</v>
      </c>
      <c r="AH144" s="31">
        <f t="shared" si="94"/>
        <v>1143.35176982803</v>
      </c>
      <c r="AI144" s="31">
        <f t="shared" si="95"/>
        <v>1.5707963267948966</v>
      </c>
      <c r="AJ144" s="31" t="str">
        <f t="shared" si="77"/>
        <v>0.974994771612267+1.53522072536358i</v>
      </c>
      <c r="AK144" s="31">
        <f t="shared" si="96"/>
        <v>1.8186581537653339</v>
      </c>
      <c r="AL144" s="31">
        <f t="shared" si="97"/>
        <v>1.0049781343758259</v>
      </c>
      <c r="AM144" s="31" t="str">
        <f t="shared" si="78"/>
        <v>1+1133.24636954559i</v>
      </c>
      <c r="AN144" s="31">
        <f t="shared" si="98"/>
        <v>1133.24681075583</v>
      </c>
      <c r="AO144" s="31">
        <f t="shared" si="99"/>
        <v>1.5699139063721903</v>
      </c>
      <c r="AP144" s="31" t="str">
        <f t="shared" si="79"/>
        <v>1+1.32811741583224i</v>
      </c>
      <c r="AQ144" s="31">
        <f t="shared" si="100"/>
        <v>1.6624968782638079</v>
      </c>
      <c r="AR144" s="31">
        <f t="shared" si="101"/>
        <v>0.92541277696375035</v>
      </c>
      <c r="AS144" s="58" t="str">
        <f t="shared" si="102"/>
        <v>-9.10422299310739+0.733998634101731i</v>
      </c>
      <c r="AT144" s="49">
        <f t="shared" si="103"/>
        <v>19.212994965509139</v>
      </c>
      <c r="AU144" s="61">
        <f t="shared" si="104"/>
        <v>175.39068185886092</v>
      </c>
      <c r="AV144" s="58" t="str">
        <f t="shared" si="80"/>
        <v>224.306274200981+8547.97724810496i</v>
      </c>
      <c r="AW144" s="64">
        <f t="shared" si="105"/>
        <v>78.640256598589914</v>
      </c>
      <c r="AX144" s="61">
        <f t="shared" si="106"/>
        <v>88.496854421574042</v>
      </c>
    </row>
    <row r="145" spans="14:50" x14ac:dyDescent="0.4">
      <c r="N145" s="10">
        <v>27</v>
      </c>
      <c r="O145" s="50">
        <f t="shared" si="107"/>
        <v>186.20871366628685</v>
      </c>
      <c r="P145" s="48" t="str">
        <f t="shared" si="71"/>
        <v>5120.19230769231</v>
      </c>
      <c r="Q145" s="17" t="str">
        <f t="shared" si="72"/>
        <v>1+5.46742454745707i</v>
      </c>
      <c r="R145" s="17">
        <f t="shared" si="82"/>
        <v>5.5581229909148417</v>
      </c>
      <c r="S145" s="17">
        <f t="shared" si="83"/>
        <v>1.3898944019891932</v>
      </c>
      <c r="T145" s="17" t="str">
        <f t="shared" si="73"/>
        <v>1+0.0000116881386992304i</v>
      </c>
      <c r="U145" s="17">
        <f t="shared" si="84"/>
        <v>1.0000000000683062</v>
      </c>
      <c r="V145" s="17">
        <f t="shared" si="85"/>
        <v>1.1688138698698152E-5</v>
      </c>
      <c r="W145" s="31" t="str">
        <f t="shared" si="74"/>
        <v>1-0.0189537384311845i</v>
      </c>
      <c r="X145" s="17">
        <f t="shared" si="86"/>
        <v>1.0001796059711066</v>
      </c>
      <c r="Y145" s="17">
        <f t="shared" si="87"/>
        <v>-1.8951469246742722E-2</v>
      </c>
      <c r="Z145" s="31" t="str">
        <f t="shared" si="75"/>
        <v>0.999986130525982+0.115399299112349i</v>
      </c>
      <c r="AA145" s="17">
        <f t="shared" si="88"/>
        <v>1.0066226996645504</v>
      </c>
      <c r="AB145" s="17">
        <f t="shared" si="89"/>
        <v>0.11489267571060113</v>
      </c>
      <c r="AC145" s="66" t="str">
        <f t="shared" si="90"/>
        <v>43.0673656321714-914.29873810961i</v>
      </c>
      <c r="AD145" s="64">
        <f t="shared" si="91"/>
        <v>59.23138790784904</v>
      </c>
      <c r="AE145" s="61">
        <f t="shared" si="92"/>
        <v>-87.303118140415421</v>
      </c>
      <c r="AF145" s="31" t="str">
        <f t="shared" si="76"/>
        <v>-10.0808080808081</v>
      </c>
      <c r="AG145" s="31" t="str">
        <f t="shared" si="93"/>
        <v>1169.98385377682i</v>
      </c>
      <c r="AH145" s="31">
        <f t="shared" si="94"/>
        <v>1169.9838537768201</v>
      </c>
      <c r="AI145" s="31">
        <f t="shared" si="95"/>
        <v>1.5707963267948966</v>
      </c>
      <c r="AJ145" s="31" t="str">
        <f t="shared" si="77"/>
        <v>0.973816311504672+1.57098060986873i</v>
      </c>
      <c r="AK145" s="31">
        <f t="shared" si="96"/>
        <v>1.84832310085009</v>
      </c>
      <c r="AL145" s="31">
        <f t="shared" si="97"/>
        <v>1.0158887323002026</v>
      </c>
      <c r="AM145" s="31" t="str">
        <f t="shared" si="78"/>
        <v>1+1159.6430684836i</v>
      </c>
      <c r="AN145" s="31">
        <f t="shared" si="98"/>
        <v>1159.6434996506725</v>
      </c>
      <c r="AO145" s="31">
        <f t="shared" si="99"/>
        <v>1.5699339927032228</v>
      </c>
      <c r="AP145" s="31" t="str">
        <f t="shared" si="79"/>
        <v>1+1.35905324454716i</v>
      </c>
      <c r="AQ145" s="31">
        <f t="shared" si="100"/>
        <v>1.6873131664021834</v>
      </c>
      <c r="AR145" s="31">
        <f t="shared" si="101"/>
        <v>0.9364412154269024</v>
      </c>
      <c r="AS145" s="58" t="str">
        <f t="shared" si="102"/>
        <v>-9.09192288608372+0.73174482021043i</v>
      </c>
      <c r="AT145" s="49">
        <f t="shared" si="103"/>
        <v>19.201155603281247</v>
      </c>
      <c r="AU145" s="61">
        <f t="shared" si="104"/>
        <v>175.39858448638199</v>
      </c>
      <c r="AV145" s="58" t="str">
        <f t="shared" si="80"/>
        <v>277.468198502165+8344.24794345768i</v>
      </c>
      <c r="AW145" s="64">
        <f t="shared" si="105"/>
        <v>78.432543511130291</v>
      </c>
      <c r="AX145" s="61">
        <f t="shared" si="106"/>
        <v>88.095466345966599</v>
      </c>
    </row>
    <row r="146" spans="14:50" x14ac:dyDescent="0.4">
      <c r="N146" s="10">
        <v>28</v>
      </c>
      <c r="O146" s="50">
        <f t="shared" si="107"/>
        <v>190.54607179632498</v>
      </c>
      <c r="P146" s="48" t="str">
        <f t="shared" si="71"/>
        <v>5120.19230769231</v>
      </c>
      <c r="Q146" s="17" t="str">
        <f t="shared" si="72"/>
        <v>1+5.59477722523663i</v>
      </c>
      <c r="R146" s="17">
        <f t="shared" si="82"/>
        <v>5.6834436919904894</v>
      </c>
      <c r="S146" s="17">
        <f t="shared" si="83"/>
        <v>1.3939259287154624</v>
      </c>
      <c r="T146" s="17" t="str">
        <f t="shared" si="73"/>
        <v>1+0.0000119603904237281i</v>
      </c>
      <c r="U146" s="17">
        <f t="shared" si="84"/>
        <v>1.0000000000715255</v>
      </c>
      <c r="V146" s="17">
        <f t="shared" si="85"/>
        <v>1.1960390423157785E-5</v>
      </c>
      <c r="W146" s="31" t="str">
        <f t="shared" si="74"/>
        <v>1-0.0193952277141537i</v>
      </c>
      <c r="X146" s="17">
        <f t="shared" si="86"/>
        <v>1.0001880697439276</v>
      </c>
      <c r="Y146" s="17">
        <f t="shared" si="87"/>
        <v>-1.9392796263909422E-2</v>
      </c>
      <c r="Z146" s="31" t="str">
        <f t="shared" si="75"/>
        <v>0.999985476877809+0.118087294095778i</v>
      </c>
      <c r="AA146" s="17">
        <f t="shared" si="88"/>
        <v>1.0069337431000125</v>
      </c>
      <c r="AB146" s="17">
        <f t="shared" si="89"/>
        <v>0.11754463902695193</v>
      </c>
      <c r="AC146" s="66" t="str">
        <f t="shared" si="90"/>
        <v>35.735641078819-894.146981769035i</v>
      </c>
      <c r="AD146" s="64">
        <f t="shared" si="91"/>
        <v>59.035109730991394</v>
      </c>
      <c r="AE146" s="61">
        <f t="shared" si="92"/>
        <v>-87.711324488869238</v>
      </c>
      <c r="AF146" s="31" t="str">
        <f t="shared" si="76"/>
        <v>-10.0808080808081</v>
      </c>
      <c r="AG146" s="31" t="str">
        <f t="shared" si="93"/>
        <v>1197.23627865146i</v>
      </c>
      <c r="AH146" s="31">
        <f t="shared" si="94"/>
        <v>1197.23627865146</v>
      </c>
      <c r="AI146" s="31">
        <f t="shared" si="95"/>
        <v>1.5707963267948966</v>
      </c>
      <c r="AJ146" s="31" t="str">
        <f t="shared" si="77"/>
        <v>0.972582312283269+1.60757344908762i</v>
      </c>
      <c r="AK146" s="31">
        <f t="shared" si="96"/>
        <v>1.8788849747596941</v>
      </c>
      <c r="AL146" s="31">
        <f t="shared" si="97"/>
        <v>1.0267082933699869</v>
      </c>
      <c r="AM146" s="31" t="str">
        <f t="shared" si="78"/>
        <v>1+1186.65462552623i</v>
      </c>
      <c r="AN146" s="31">
        <f t="shared" si="98"/>
        <v>1186.6550468787452</v>
      </c>
      <c r="AO146" s="31">
        <f t="shared" si="99"/>
        <v>1.5699536218142125</v>
      </c>
      <c r="AP146" s="31" t="str">
        <f t="shared" si="79"/>
        <v>1+1.39070966128154i</v>
      </c>
      <c r="AQ146" s="31">
        <f t="shared" si="100"/>
        <v>1.7129137053517365</v>
      </c>
      <c r="AR146" s="31">
        <f t="shared" si="101"/>
        <v>0.9473943710624384</v>
      </c>
      <c r="AS146" s="58" t="str">
        <f t="shared" si="102"/>
        <v>-9.07984790394368+0.729372747727888i</v>
      </c>
      <c r="AT146" s="49">
        <f t="shared" si="103"/>
        <v>19.189505195927573</v>
      </c>
      <c r="AU146" s="61">
        <f t="shared" si="104"/>
        <v>175.40736355638117</v>
      </c>
      <c r="AV146" s="58" t="str">
        <f t="shared" si="80"/>
        <v>327.69225521988+8144.78320095862i</v>
      </c>
      <c r="AW146" s="64">
        <f t="shared" si="105"/>
        <v>78.224614926918974</v>
      </c>
      <c r="AX146" s="61">
        <f t="shared" si="106"/>
        <v>87.696039067511947</v>
      </c>
    </row>
    <row r="147" spans="14:50" x14ac:dyDescent="0.4">
      <c r="N147" s="10">
        <v>29</v>
      </c>
      <c r="O147" s="50">
        <f t="shared" si="107"/>
        <v>194.98445997580458</v>
      </c>
      <c r="P147" s="48" t="str">
        <f t="shared" ref="P147:P210" si="108">COMPLEX(Adc,0)</f>
        <v>5120.19230769231</v>
      </c>
      <c r="Q147" s="17" t="str">
        <f t="shared" ref="Q147:Q210" si="109">IMSUM(COMPLEX(1,0),IMDIV(COMPLEX(0,2*PI()*O147),COMPLEX(wp_lf,0)))</f>
        <v>1+5.72509632795658i</v>
      </c>
      <c r="R147" s="17">
        <f t="shared" si="82"/>
        <v>5.811774940960972</v>
      </c>
      <c r="S147" s="17">
        <f t="shared" si="83"/>
        <v>1.3978713088917087</v>
      </c>
      <c r="T147" s="17" t="str">
        <f t="shared" ref="T147:T210" si="110">IMSUM(COMPLEX(1,0),IMDIV(COMPLEX(0,2*PI()*O147),COMPLEX(wz_esr,0)))</f>
        <v>1+0.0000122389837055427i</v>
      </c>
      <c r="U147" s="17">
        <f t="shared" si="84"/>
        <v>1.0000000000748963</v>
      </c>
      <c r="V147" s="17">
        <f t="shared" si="85"/>
        <v>1.2238983704931596E-5</v>
      </c>
      <c r="W147" s="31" t="str">
        <f t="shared" ref="W147:W210" si="111">IMSUB(COMPLEX(1,0),IMDIV(COMPLEX(0,2*PI()*O147),COMPLEX(wz_rhp,0)))</f>
        <v>1-0.0198470006035828i</v>
      </c>
      <c r="X147" s="17">
        <f t="shared" si="86"/>
        <v>1.0001969323253088</v>
      </c>
      <c r="Y147" s="17">
        <f t="shared" si="87"/>
        <v>-1.9844395285410786E-2</v>
      </c>
      <c r="Z147" s="31" t="str">
        <f t="shared" ref="Z147:Z210" si="112">IMSUM(COMPLEX(1,0),IMDIV(COMPLEX(0,2*PI()*O147),COMPLEX(Q*(wsl/2),0)),IMDIV(IMPOWER(COMPLEX(0,2*PI()*O147),2),IMPOWER(COMPLEX(wsl/2,0),2)))</f>
        <v>0.999984792424147+0.120837900525605i</v>
      </c>
      <c r="AA147" s="17">
        <f t="shared" si="88"/>
        <v>1.0072593426139071</v>
      </c>
      <c r="AB147" s="17">
        <f t="shared" si="89"/>
        <v>0.1202566612348237</v>
      </c>
      <c r="AC147" s="66" t="str">
        <f t="shared" si="90"/>
        <v>28.7208010821122-874.354450571391i</v>
      </c>
      <c r="AD147" s="64">
        <f t="shared" si="91"/>
        <v>58.838433974410059</v>
      </c>
      <c r="AE147" s="61">
        <f t="shared" si="92"/>
        <v>-88.118624303744554</v>
      </c>
      <c r="AF147" s="31" t="str">
        <f t="shared" ref="AF147:AF210" si="113">COMPLEX(Adc_ea_iso,0)</f>
        <v>-10.0808080808081</v>
      </c>
      <c r="AG147" s="31" t="str">
        <f t="shared" si="93"/>
        <v>1225.12349404832i</v>
      </c>
      <c r="AH147" s="31">
        <f t="shared" si="94"/>
        <v>1225.12349404832</v>
      </c>
      <c r="AI147" s="31">
        <f t="shared" si="95"/>
        <v>1.5707963267948966</v>
      </c>
      <c r="AJ147" s="31" t="str">
        <f t="shared" ref="AJ147:AJ210" si="114">IMSUM(IMPRODUCT(COMPLEX(wpA_ea_iso,0),IMPOWER(COMPLEX(0,2*PI()*O147),2)),COMPLEX(0,wpB_ea_iso*2*PI()*O147),COMPLEX(1,0))</f>
        <v>0.971290156470267+1.64501864502796i</v>
      </c>
      <c r="AK147" s="31">
        <f t="shared" si="96"/>
        <v>1.9103640780086033</v>
      </c>
      <c r="AL147" s="31">
        <f t="shared" si="97"/>
        <v>1.0374334836902916</v>
      </c>
      <c r="AM147" s="31" t="str">
        <f t="shared" ref="AM147:AM210" si="115">IMSUM(COMPLEX(1,0),IMDIV(COMPLEX(0,2*PI()*O147),COMPLEX(wz1_ea_iso,0)))</f>
        <v>1+1214.29536255853i</v>
      </c>
      <c r="AN147" s="31">
        <f t="shared" si="98"/>
        <v>1214.2957743198945</v>
      </c>
      <c r="AO147" s="31">
        <f t="shared" si="99"/>
        <v>1.5699728041127134</v>
      </c>
      <c r="AP147" s="31" t="str">
        <f t="shared" ref="AP147:AP210" si="116">IMSUM(COMPLEX(1,0),IMDIV(COMPLEX(0,2*PI()*O147),COMPLEX(wz2_ea_iso,0)))</f>
        <v>1+1.42310345068653i</v>
      </c>
      <c r="AQ147" s="31">
        <f t="shared" si="100"/>
        <v>1.7393169439052529</v>
      </c>
      <c r="AR147" s="31">
        <f t="shared" si="101"/>
        <v>0.9582675391040627</v>
      </c>
      <c r="AS147" s="58" t="str">
        <f t="shared" si="102"/>
        <v>-9.0680036454438+0.726895745097778i</v>
      </c>
      <c r="AT147" s="49">
        <f t="shared" si="103"/>
        <v>19.178050932235365</v>
      </c>
      <c r="AU147" s="61">
        <f t="shared" si="104"/>
        <v>175.4169411200202</v>
      </c>
      <c r="AV147" s="58" t="str">
        <f t="shared" ref="AV147:AV210" si="117">IMPRODUCT(AC147,AS147)</f>
        <v>375.12420091499+7949.52637329377i</v>
      </c>
      <c r="AW147" s="64">
        <f t="shared" si="105"/>
        <v>78.016484906645417</v>
      </c>
      <c r="AX147" s="61">
        <f t="shared" si="106"/>
        <v>87.298316816275644</v>
      </c>
    </row>
    <row r="148" spans="14:50" x14ac:dyDescent="0.4">
      <c r="N148" s="10">
        <v>30</v>
      </c>
      <c r="O148" s="50">
        <f t="shared" si="107"/>
        <v>199.52623149688802</v>
      </c>
      <c r="P148" s="48" t="str">
        <f t="shared" si="108"/>
        <v>5120.19230769231</v>
      </c>
      <c r="Q148" s="17" t="str">
        <f t="shared" si="109"/>
        <v>1+5.85845095253025i</v>
      </c>
      <c r="R148" s="17">
        <f t="shared" ref="R148:R211" si="118">IMABS(Q148)</f>
        <v>5.9431849679445952</v>
      </c>
      <c r="S148" s="17">
        <f t="shared" ref="S148:S211" si="119">IMARGUMENT(Q148)</f>
        <v>1.4017321428556566</v>
      </c>
      <c r="T148" s="17" t="str">
        <f t="shared" si="110"/>
        <v>1+0.0000125240662585202i</v>
      </c>
      <c r="U148" s="17">
        <f t="shared" ref="U148:U211" si="120">IMABS(T148)</f>
        <v>1.0000000000784262</v>
      </c>
      <c r="V148" s="17">
        <f t="shared" ref="V148:V211" si="121">IMARGUMENT(T148)</f>
        <v>1.2524066257865391E-5</v>
      </c>
      <c r="W148" s="31" t="str">
        <f t="shared" si="111"/>
        <v>1-0.0203092966354382i</v>
      </c>
      <c r="X148" s="17">
        <f t="shared" ref="X148:X211" si="122">IMABS(W148)</f>
        <v>1.0002062125031148</v>
      </c>
      <c r="Y148" s="17">
        <f t="shared" ref="Y148:Y211" si="123">IMARGUMENT(W148)</f>
        <v>-2.0306505017804708E-2</v>
      </c>
      <c r="Z148" s="31" t="str">
        <f t="shared" si="112"/>
        <v>0.999984075713178+0.123652576809771i</v>
      </c>
      <c r="AA148" s="17">
        <f t="shared" ref="AA148:AA211" si="124">IMABS(Z148)</f>
        <v>1.007600174390435</v>
      </c>
      <c r="AB148" s="17">
        <f t="shared" ref="AB148:AB211" si="125">IMARGUMENT(Z148)</f>
        <v>0.12303002112764018</v>
      </c>
      <c r="AC148" s="66" t="str">
        <f t="shared" ref="AC148:AC211" si="126">(IMDIV(IMPRODUCT(P148,T148,W148),IMPRODUCT(Q148,Z148)))</f>
        <v>22.0106056113522-854.91798088044i</v>
      </c>
      <c r="AD148" s="64">
        <f t="shared" ref="AD148:AD211" si="127">20*LOG(IMABS(AC148))</f>
        <v>58.641366793798831</v>
      </c>
      <c r="AE148" s="61">
        <f t="shared" ref="AE148:AE211" si="128">(180/PI())*IMARGUMENT(AC148)</f>
        <v>-88.525196215519756</v>
      </c>
      <c r="AF148" s="31" t="str">
        <f t="shared" si="113"/>
        <v>-10.0808080808081</v>
      </c>
      <c r="AG148" s="31" t="str">
        <f t="shared" ref="AG148:AG211" si="129">COMPLEX(0,1*2*PI()*O148)</f>
        <v>1253.66028613816i</v>
      </c>
      <c r="AH148" s="31">
        <f t="shared" ref="AH148:AH211" si="130">IMABS(AG148)</f>
        <v>1253.66028613816</v>
      </c>
      <c r="AI148" s="31">
        <f t="shared" ref="AI148:AI211" si="131">IMARGUMENT(AG148)</f>
        <v>1.5707963267948966</v>
      </c>
      <c r="AJ148" s="31" t="str">
        <f t="shared" si="114"/>
        <v>0.969937103229942+1.68333605162829i</v>
      </c>
      <c r="AK148" s="31">
        <f t="shared" ref="AK148:AK211" si="132">IMABS(AJ148)</f>
        <v>1.942781059958536</v>
      </c>
      <c r="AL148" s="31">
        <f t="shared" ref="AL148:AL211" si="133">IMARGUMENT(AJ148)</f>
        <v>1.0480611866247387</v>
      </c>
      <c r="AM148" s="31" t="str">
        <f t="shared" si="115"/>
        <v>1+1242.57993506516i</v>
      </c>
      <c r="AN148" s="31">
        <f t="shared" ref="AN148:AN211" si="134">IMABS(AM148)</f>
        <v>1242.5803374536947</v>
      </c>
      <c r="AO148" s="31">
        <f t="shared" ref="AO148:AO211" si="135">IMARGUMENT(AM148)</f>
        <v>1.5699915497693777</v>
      </c>
      <c r="AP148" s="31" t="str">
        <f t="shared" si="116"/>
        <v>1+1.45625178837809i</v>
      </c>
      <c r="AQ148" s="31">
        <f t="shared" ref="AQ148:AQ211" si="136">IMABS(AP148)</f>
        <v>1.7665416131963565</v>
      </c>
      <c r="AR148" s="31">
        <f t="shared" ref="AR148:AR211" si="137">IMARGUMENT(AP148)</f>
        <v>0.96905620091145661</v>
      </c>
      <c r="AS148" s="58" t="str">
        <f t="shared" ref="AS148:AS211" si="138">IMDIV(IMPRODUCT(AF148,AM148,AP148),IMPRODUCT(AG148,AJ148))</f>
        <v>-9.05639497843152+0.724327279195296i</v>
      </c>
      <c r="AT148" s="49">
        <f t="shared" ref="AT148:AT211" si="139">20*LOG(IMABS(AS148))</f>
        <v>19.166799335088434</v>
      </c>
      <c r="AU148" s="61">
        <f t="shared" ref="AU148:AU211" si="140">(180/PI())*IMARGUMENT(AS148)</f>
        <v>175.42723743112634</v>
      </c>
      <c r="AV148" s="58" t="str">
        <f t="shared" si="117"/>
        <v>419.903676895379+7758.41779109234i</v>
      </c>
      <c r="AW148" s="64">
        <f t="shared" ref="AW148:AW211" si="141">20*LOG(IMABS(AV148))</f>
        <v>77.808166128887265</v>
      </c>
      <c r="AX148" s="61">
        <f t="shared" ref="AX148:AX211" si="142">(180/PI())*IMARGUMENT(AV148)</f>
        <v>86.902041215606587</v>
      </c>
    </row>
    <row r="149" spans="14:50" x14ac:dyDescent="0.4">
      <c r="N149" s="10">
        <v>31</v>
      </c>
      <c r="O149" s="50">
        <f t="shared" si="107"/>
        <v>204.17379446695315</v>
      </c>
      <c r="P149" s="48" t="str">
        <f t="shared" si="108"/>
        <v>5120.19230769231</v>
      </c>
      <c r="Q149" s="17" t="str">
        <f t="shared" si="109"/>
        <v>1+5.9949118053447i</v>
      </c>
      <c r="R149" s="17">
        <f t="shared" si="118"/>
        <v>6.0777436235712718</v>
      </c>
      <c r="S149" s="17">
        <f t="shared" si="119"/>
        <v>1.4055100170444896</v>
      </c>
      <c r="T149" s="17" t="str">
        <f t="shared" si="110"/>
        <v>1+0.0000128157892372036i</v>
      </c>
      <c r="U149" s="17">
        <f t="shared" si="120"/>
        <v>1.0000000000821223</v>
      </c>
      <c r="V149" s="17">
        <f t="shared" si="121"/>
        <v>1.2815789236501958E-5</v>
      </c>
      <c r="W149" s="31" t="str">
        <f t="shared" si="111"/>
        <v>1-0.0207823609251949i</v>
      </c>
      <c r="X149" s="17">
        <f t="shared" si="122"/>
        <v>1.0002159299499409</v>
      </c>
      <c r="Y149" s="17">
        <f t="shared" si="123"/>
        <v>-2.0779369687883766E-2</v>
      </c>
      <c r="Z149" s="31" t="str">
        <f t="shared" si="112"/>
        <v>0.999983325224661+0.126532815326896i</v>
      </c>
      <c r="AA149" s="17">
        <f t="shared" si="124"/>
        <v>1.0079569455497197</v>
      </c>
      <c r="AB149" s="17">
        <f t="shared" si="125"/>
        <v>0.12586601897651858</v>
      </c>
      <c r="AC149" s="66" t="str">
        <f t="shared" si="126"/>
        <v>15.5932392196813-835.834163647218i</v>
      </c>
      <c r="AD149" s="64">
        <f t="shared" si="127"/>
        <v>58.443913634958911</v>
      </c>
      <c r="AE149" s="61">
        <f t="shared" si="128"/>
        <v>-88.931219604901145</v>
      </c>
      <c r="AF149" s="31" t="str">
        <f t="shared" si="113"/>
        <v>-10.0808080808081</v>
      </c>
      <c r="AG149" s="31" t="str">
        <f t="shared" si="129"/>
        <v>1282.86178550586i</v>
      </c>
      <c r="AH149" s="31">
        <f t="shared" si="130"/>
        <v>1282.8617855058601</v>
      </c>
      <c r="AI149" s="31">
        <f t="shared" si="131"/>
        <v>1.5707963267948966</v>
      </c>
      <c r="AJ149" s="31" t="str">
        <f t="shared" si="114"/>
        <v>0.968520282554966+1.72254598528479i</v>
      </c>
      <c r="AK149" s="31">
        <f t="shared" si="132"/>
        <v>1.9761569292799344</v>
      </c>
      <c r="AL149" s="31">
        <f t="shared" si="133"/>
        <v>1.0585885041783114</v>
      </c>
      <c r="AM149" s="31" t="str">
        <f t="shared" si="115"/>
        <v>1+1271.52333990085i</v>
      </c>
      <c r="AN149" s="31">
        <f t="shared" si="134"/>
        <v>1271.5237331299061</v>
      </c>
      <c r="AO149" s="31">
        <f t="shared" si="135"/>
        <v>1.5700098687233477</v>
      </c>
      <c r="AP149" s="31" t="str">
        <f t="shared" si="116"/>
        <v>1+1.49017225004361i</v>
      </c>
      <c r="AQ149" s="31">
        <f t="shared" si="136"/>
        <v>1.7946067354158781</v>
      </c>
      <c r="AR149" s="31">
        <f t="shared" si="137"/>
        <v>0.97975603086289753</v>
      </c>
      <c r="AS149" s="58" t="str">
        <f t="shared" si="138"/>
        <v>-9.04502604880276+0.721680906895725i</v>
      </c>
      <c r="AT149" s="49">
        <f t="shared" si="139"/>
        <v>19.155756258610705</v>
      </c>
      <c r="AU149" s="61">
        <f t="shared" si="140"/>
        <v>175.43817126218536</v>
      </c>
      <c r="AV149" s="58" t="str">
        <f t="shared" si="117"/>
        <v>462.164302308124+7571.39512568986i</v>
      </c>
      <c r="AW149" s="64">
        <f t="shared" si="141"/>
        <v>77.599669893569626</v>
      </c>
      <c r="AX149" s="61">
        <f t="shared" si="142"/>
        <v>86.506951657284219</v>
      </c>
    </row>
    <row r="150" spans="14:50" x14ac:dyDescent="0.4">
      <c r="N150" s="10">
        <v>32</v>
      </c>
      <c r="O150" s="50">
        <f t="shared" si="107"/>
        <v>208.92961308540396</v>
      </c>
      <c r="P150" s="48" t="str">
        <f t="shared" si="108"/>
        <v>5120.19230769231</v>
      </c>
      <c r="Q150" s="17" t="str">
        <f t="shared" si="109"/>
        <v>1+6.13455123975043i</v>
      </c>
      <c r="R150" s="17">
        <f t="shared" si="118"/>
        <v>6.2155224167501437</v>
      </c>
      <c r="S150" s="17">
        <f t="shared" si="119"/>
        <v>1.409206502967467</v>
      </c>
      <c r="T150" s="17" t="str">
        <f t="shared" si="110"/>
        <v>1+0.0000131143073169776i</v>
      </c>
      <c r="U150" s="17">
        <f t="shared" si="120"/>
        <v>1.0000000000859925</v>
      </c>
      <c r="V150" s="17">
        <f t="shared" si="121"/>
        <v>1.3114307316225778E-5</v>
      </c>
      <c r="W150" s="31" t="str">
        <f t="shared" si="111"/>
        <v>1-0.0212664442978015i</v>
      </c>
      <c r="X150" s="17">
        <f t="shared" si="122"/>
        <v>1.0002261052647403</v>
      </c>
      <c r="Y150" s="17">
        <f t="shared" si="123"/>
        <v>-2.1263239168406469E-2</v>
      </c>
      <c r="Z150" s="31" t="str">
        <f t="shared" si="112"/>
        <v>0.99998253936671+0.129480143217568i</v>
      </c>
      <c r="AA150" s="17">
        <f t="shared" si="124"/>
        <v>1.0083303955182228</v>
      </c>
      <c r="AB150" s="17">
        <f t="shared" si="125"/>
        <v>0.1287659764700809</v>
      </c>
      <c r="AC150" s="66" t="str">
        <f t="shared" si="126"/>
        <v>9.4573036049086-817.099367318609i</v>
      </c>
      <c r="AD150" s="64">
        <f t="shared" si="127"/>
        <v>58.246079239497213</v>
      </c>
      <c r="AE150" s="61">
        <f t="shared" si="128"/>
        <v>-89.336874547708774</v>
      </c>
      <c r="AF150" s="31" t="str">
        <f t="shared" si="113"/>
        <v>-10.0808080808081</v>
      </c>
      <c r="AG150" s="31" t="str">
        <f t="shared" si="129"/>
        <v>1312.74347517293i</v>
      </c>
      <c r="AH150" s="31">
        <f t="shared" si="130"/>
        <v>1312.7434751729299</v>
      </c>
      <c r="AI150" s="31">
        <f t="shared" si="131"/>
        <v>1.5707963267948966</v>
      </c>
      <c r="AJ150" s="31" t="str">
        <f t="shared" si="114"/>
        <v>0.967036689178728+1.76266923562327i</v>
      </c>
      <c r="AK150" s="31">
        <f t="shared" si="132"/>
        <v>2.0105130669633757</v>
      </c>
      <c r="AL150" s="31">
        <f t="shared" si="133"/>
        <v>1.0690127575051365</v>
      </c>
      <c r="AM150" s="31" t="str">
        <f t="shared" si="115"/>
        <v>1+1301.14092324197i</v>
      </c>
      <c r="AN150" s="31">
        <f t="shared" si="134"/>
        <v>1301.1413075200428</v>
      </c>
      <c r="AO150" s="31">
        <f t="shared" si="135"/>
        <v>1.5700277706875263</v>
      </c>
      <c r="AP150" s="31" t="str">
        <f t="shared" si="116"/>
        <v>1+1.52488282076088i</v>
      </c>
      <c r="AQ150" s="31">
        <f t="shared" si="136"/>
        <v>1.8235316331370997</v>
      </c>
      <c r="AR150" s="31">
        <f t="shared" si="137"/>
        <v>0.99036290225435342</v>
      </c>
      <c r="AS150" s="58" t="str">
        <f t="shared" si="138"/>
        <v>-9.03390029302773+0.718970228776377i</v>
      </c>
      <c r="AT150" s="49">
        <f t="shared" si="139"/>
        <v>19.144926889267708</v>
      </c>
      <c r="AU150" s="61">
        <f t="shared" si="140"/>
        <v>175.44966021354398</v>
      </c>
      <c r="AV150" s="58" t="str">
        <f t="shared" si="117"/>
        <v>502.033781246457+7388.39373358878i</v>
      </c>
      <c r="AW150" s="64">
        <f t="shared" si="141"/>
        <v>77.391006128764928</v>
      </c>
      <c r="AX150" s="61">
        <f t="shared" si="142"/>
        <v>86.112785665835204</v>
      </c>
    </row>
    <row r="151" spans="14:50" x14ac:dyDescent="0.4">
      <c r="N151" s="10">
        <v>33</v>
      </c>
      <c r="O151" s="50">
        <f t="shared" si="107"/>
        <v>213.79620895022339</v>
      </c>
      <c r="P151" s="48" t="str">
        <f t="shared" si="108"/>
        <v>5120.19230769231</v>
      </c>
      <c r="Q151" s="17" t="str">
        <f t="shared" si="109"/>
        <v>1+6.27744329442381i</v>
      </c>
      <c r="R151" s="17">
        <f t="shared" si="118"/>
        <v>6.3565945532735109</v>
      </c>
      <c r="S151" s="17">
        <f t="shared" si="119"/>
        <v>1.4128231562753306</v>
      </c>
      <c r="T151" s="17" t="str">
        <f t="shared" si="110"/>
        <v>1+0.0000134197787760793i</v>
      </c>
      <c r="U151" s="17">
        <f t="shared" si="120"/>
        <v>1.0000000000900453</v>
      </c>
      <c r="V151" s="17">
        <f t="shared" si="121"/>
        <v>1.341977877527371E-5</v>
      </c>
      <c r="W151" s="31" t="str">
        <f t="shared" si="111"/>
        <v>1-0.0217618034206692i</v>
      </c>
      <c r="X151" s="17">
        <f t="shared" si="122"/>
        <v>1.0002367600164073</v>
      </c>
      <c r="Y151" s="17">
        <f t="shared" si="123"/>
        <v>-2.1758369106550362E-2</v>
      </c>
      <c r="Z151" s="31" t="str">
        <f t="shared" si="112"/>
        <v>0.999981716472415+0.132496123194046i</v>
      </c>
      <c r="AA151" s="17">
        <f t="shared" si="124"/>
        <v>1.0087212974556299</v>
      </c>
      <c r="AB151" s="17">
        <f t="shared" si="125"/>
        <v>0.13173123661672997</v>
      </c>
      <c r="AC151" s="66" t="str">
        <f t="shared" si="126"/>
        <v>3.59180968064022-798.709759489232i</v>
      </c>
      <c r="AD151" s="64">
        <f t="shared" si="127"/>
        <v>58.047867649883678</v>
      </c>
      <c r="AE151" s="61">
        <f t="shared" si="128"/>
        <v>-89.742341763313561</v>
      </c>
      <c r="AF151" s="31" t="str">
        <f t="shared" si="113"/>
        <v>-10.0808080808081</v>
      </c>
      <c r="AG151" s="31" t="str">
        <f t="shared" si="129"/>
        <v>1343.32119880674i</v>
      </c>
      <c r="AH151" s="31">
        <f t="shared" si="130"/>
        <v>1343.3211988067401</v>
      </c>
      <c r="AI151" s="31">
        <f t="shared" si="131"/>
        <v>1.5707963267948966</v>
      </c>
      <c r="AJ151" s="31" t="str">
        <f t="shared" si="114"/>
        <v>0.965483176200771+1.80372707652217i</v>
      </c>
      <c r="AK151" s="31">
        <f t="shared" si="132"/>
        <v>2.0458712398648022</v>
      </c>
      <c r="AL151" s="31">
        <f t="shared" si="133"/>
        <v>1.079331486582102</v>
      </c>
      <c r="AM151" s="31" t="str">
        <f t="shared" si="115"/>
        <v>1+1331.44838872321i</v>
      </c>
      <c r="AN151" s="31">
        <f t="shared" si="134"/>
        <v>1331.4487642540482</v>
      </c>
      <c r="AO151" s="31">
        <f t="shared" si="135"/>
        <v>1.5700452651537258</v>
      </c>
      <c r="AP151" s="31" t="str">
        <f t="shared" si="116"/>
        <v>1+1.56040190453391i</v>
      </c>
      <c r="AQ151" s="31">
        <f t="shared" si="136"/>
        <v>1.8533359392385</v>
      </c>
      <c r="AR151" s="31">
        <f t="shared" si="137"/>
        <v>1.0008728922069663</v>
      </c>
      <c r="AS151" s="58" t="str">
        <f t="shared" si="138"/>
        <v>-9.02302045393177+0.716208845208256i</v>
      </c>
      <c r="AT151" s="49">
        <f t="shared" si="139"/>
        <v>19.134315750712457</v>
      </c>
      <c r="AU151" s="61">
        <f t="shared" si="140"/>
        <v>175.46162101358254</v>
      </c>
      <c r="AV151" s="58" t="str">
        <f t="shared" si="117"/>
        <v>539.6340222853+7209.34698248984i</v>
      </c>
      <c r="AW151" s="64">
        <f t="shared" si="141"/>
        <v>77.182183400596131</v>
      </c>
      <c r="AX151" s="61">
        <f t="shared" si="142"/>
        <v>85.719279250268983</v>
      </c>
    </row>
    <row r="152" spans="14:50" x14ac:dyDescent="0.4">
      <c r="N152" s="10">
        <v>34</v>
      </c>
      <c r="O152" s="50">
        <f t="shared" si="107"/>
        <v>218.77616239495524</v>
      </c>
      <c r="P152" s="48" t="str">
        <f t="shared" si="108"/>
        <v>5120.19230769231</v>
      </c>
      <c r="Q152" s="17" t="str">
        <f t="shared" si="109"/>
        <v>1+6.4236637326237i</v>
      </c>
      <c r="R152" s="17">
        <f t="shared" si="118"/>
        <v>6.501034975280862</v>
      </c>
      <c r="S152" s="17">
        <f t="shared" si="119"/>
        <v>1.4163615159210456</v>
      </c>
      <c r="T152" s="17" t="str">
        <f t="shared" si="110"/>
        <v>1+0.00001373236557952i</v>
      </c>
      <c r="U152" s="17">
        <f t="shared" si="120"/>
        <v>1.000000000094289</v>
      </c>
      <c r="V152" s="17">
        <f t="shared" si="121"/>
        <v>1.3732365578656794E-5</v>
      </c>
      <c r="W152" s="31" t="str">
        <f t="shared" si="111"/>
        <v>1-0.0222687009397621i</v>
      </c>
      <c r="X152" s="17">
        <f t="shared" si="122"/>
        <v>1.0002479167894049</v>
      </c>
      <c r="Y152" s="17">
        <f t="shared" si="123"/>
        <v>-2.2265021055142765E-2</v>
      </c>
      <c r="Z152" s="31" t="str">
        <f t="shared" si="112"/>
        <v>0.999980854796307+0.135582354368835i</v>
      </c>
      <c r="AA152" s="17">
        <f t="shared" si="124"/>
        <v>1.0091304597401414</v>
      </c>
      <c r="AB152" s="17">
        <f t="shared" si="125"/>
        <v>0.13476316360641868</v>
      </c>
      <c r="AC152" s="66" t="str">
        <f t="shared" si="126"/>
        <v>-2.01383076371122-780.661327340276i</v>
      </c>
      <c r="AD152" s="64">
        <f t="shared" si="127"/>
        <v>57.849282213844724</v>
      </c>
      <c r="AE152" s="61">
        <f t="shared" si="128"/>
        <v>-90.147802566145288</v>
      </c>
      <c r="AF152" s="31" t="str">
        <f t="shared" si="113"/>
        <v>-10.0808080808081</v>
      </c>
      <c r="AG152" s="31" t="str">
        <f t="shared" si="129"/>
        <v>1374.61116912112i</v>
      </c>
      <c r="AH152" s="31">
        <f t="shared" si="130"/>
        <v>1374.6111691211199</v>
      </c>
      <c r="AI152" s="31">
        <f t="shared" si="131"/>
        <v>1.5707963267948966</v>
      </c>
      <c r="AJ152" s="31" t="str">
        <f t="shared" si="114"/>
        <v>0.963856448411785+1.84574127739218i</v>
      </c>
      <c r="AK152" s="31">
        <f t="shared" si="132"/>
        <v>2.0822536147679744</v>
      </c>
      <c r="AL152" s="31">
        <f t="shared" si="133"/>
        <v>1.089542449093396</v>
      </c>
      <c r="AM152" s="31" t="str">
        <f t="shared" si="115"/>
        <v>1+1362.46180576396i</v>
      </c>
      <c r="AN152" s="31">
        <f t="shared" si="134"/>
        <v>1362.4621727466752</v>
      </c>
      <c r="AO152" s="31">
        <f t="shared" si="135"/>
        <v>1.5700623613977009</v>
      </c>
      <c r="AP152" s="31" t="str">
        <f t="shared" si="116"/>
        <v>1+1.59674833405109i</v>
      </c>
      <c r="AQ152" s="31">
        <f t="shared" si="136"/>
        <v>1.8840396074114076</v>
      </c>
      <c r="AR152" s="31">
        <f t="shared" si="137"/>
        <v>1.0112822855932793</v>
      </c>
      <c r="AS152" s="58" t="str">
        <f t="shared" si="138"/>
        <v>-9.01238859940815+0.713410315047729i</v>
      </c>
      <c r="AT152" s="49">
        <f t="shared" si="139"/>
        <v>19.123926712137688</v>
      </c>
      <c r="AU152" s="61">
        <f t="shared" si="140"/>
        <v>175.47396980787164</v>
      </c>
      <c r="AV152" s="58" t="str">
        <f t="shared" si="117"/>
        <v>575.081268899413+7034.18655888074i</v>
      </c>
      <c r="AW152" s="64">
        <f t="shared" si="141"/>
        <v>76.973208925982405</v>
      </c>
      <c r="AX152" s="61">
        <f t="shared" si="142"/>
        <v>85.326167241726367</v>
      </c>
    </row>
    <row r="153" spans="14:50" x14ac:dyDescent="0.4">
      <c r="N153" s="10">
        <v>35</v>
      </c>
      <c r="O153" s="50">
        <f t="shared" si="107"/>
        <v>223.87211385683412</v>
      </c>
      <c r="P153" s="48" t="str">
        <f t="shared" si="108"/>
        <v>5120.19230769231</v>
      </c>
      <c r="Q153" s="17" t="str">
        <f t="shared" si="109"/>
        <v>1+6.57329008236188i</v>
      </c>
      <c r="R153" s="17">
        <f t="shared" si="118"/>
        <v>6.6489204016048395</v>
      </c>
      <c r="S153" s="17">
        <f t="shared" si="119"/>
        <v>1.4198231034065421</v>
      </c>
      <c r="T153" s="17" t="str">
        <f t="shared" si="110"/>
        <v>1+0.0000140522334649603i</v>
      </c>
      <c r="U153" s="17">
        <f t="shared" si="120"/>
        <v>1.0000000000987326</v>
      </c>
      <c r="V153" s="17">
        <f t="shared" si="121"/>
        <v>1.4052233464035356E-5</v>
      </c>
      <c r="W153" s="31" t="str">
        <f t="shared" si="111"/>
        <v>1-0.0227874056188545i</v>
      </c>
      <c r="X153" s="17">
        <f t="shared" si="122"/>
        <v>1.0002595992315386</v>
      </c>
      <c r="Y153" s="17">
        <f t="shared" si="123"/>
        <v>-2.2783462606711817E-2</v>
      </c>
      <c r="Z153" s="31" t="str">
        <f t="shared" si="112"/>
        <v>0.999979952510655+0.138740473102555i</v>
      </c>
      <c r="AA153" s="17">
        <f t="shared" si="124"/>
        <v>1.0095587275141216</v>
      </c>
      <c r="AB153" s="17">
        <f t="shared" si="125"/>
        <v>0.13786314262872584</v>
      </c>
      <c r="AC153" s="66" t="str">
        <f t="shared" si="126"/>
        <v>-7.36981374207511-762.949896910529i</v>
      </c>
      <c r="AD153" s="64">
        <f t="shared" si="127"/>
        <v>57.650325588076711</v>
      </c>
      <c r="AE153" s="61">
        <f t="shared" si="128"/>
        <v>-90.553438819786095</v>
      </c>
      <c r="AF153" s="31" t="str">
        <f t="shared" si="113"/>
        <v>-10.0808080808081</v>
      </c>
      <c r="AG153" s="31" t="str">
        <f t="shared" si="129"/>
        <v>1406.6299764725i</v>
      </c>
      <c r="AH153" s="31">
        <f t="shared" si="130"/>
        <v>1406.6299764724999</v>
      </c>
      <c r="AI153" s="31">
        <f t="shared" si="131"/>
        <v>1.5707963267948966</v>
      </c>
      <c r="AJ153" s="31" t="str">
        <f t="shared" si="114"/>
        <v>0.962153055304029+1.88873411471875i</v>
      </c>
      <c r="AK153" s="31">
        <f t="shared" si="132"/>
        <v>2.1196827729481833</v>
      </c>
      <c r="AL153" s="31">
        <f t="shared" si="133"/>
        <v>1.0996436185746363</v>
      </c>
      <c r="AM153" s="31" t="str">
        <f t="shared" si="115"/>
        <v>1+1394.19761808845i</v>
      </c>
      <c r="AN153" s="31">
        <f t="shared" si="134"/>
        <v>1394.197976717621</v>
      </c>
      <c r="AO153" s="31">
        <f t="shared" si="135"/>
        <v>1.5700790684840664</v>
      </c>
      <c r="AP153" s="31" t="str">
        <f t="shared" si="116"/>
        <v>1+1.63394138067046i</v>
      </c>
      <c r="AQ153" s="31">
        <f t="shared" si="136"/>
        <v>1.9156629232376161</v>
      </c>
      <c r="AR153" s="31">
        <f t="shared" si="137"/>
        <v>1.0215875779999237</v>
      </c>
      <c r="AS153" s="58" t="str">
        <f t="shared" si="138"/>
        <v>-9.00200614372514+0.710588117101107i</v>
      </c>
      <c r="AT153" s="49">
        <f t="shared" si="139"/>
        <v>19.113762999868349</v>
      </c>
      <c r="AU153" s="61">
        <f t="shared" si="140"/>
        <v>175.48662243553585</v>
      </c>
      <c r="AV153" s="58" t="str">
        <f t="shared" si="117"/>
        <v>608.486239272407+6862.84275727268i</v>
      </c>
      <c r="AW153" s="64">
        <f t="shared" si="141"/>
        <v>76.764088587945054</v>
      </c>
      <c r="AX153" s="61">
        <f t="shared" si="142"/>
        <v>84.933183615749741</v>
      </c>
    </row>
    <row r="154" spans="14:50" x14ac:dyDescent="0.4">
      <c r="N154" s="10">
        <v>36</v>
      </c>
      <c r="O154" s="50">
        <f t="shared" si="107"/>
        <v>229.08676527677744</v>
      </c>
      <c r="P154" s="48" t="str">
        <f t="shared" si="108"/>
        <v>5120.19230769231</v>
      </c>
      <c r="Q154" s="17" t="str">
        <f t="shared" si="109"/>
        <v>1+6.72640167750949i</v>
      </c>
      <c r="R154" s="17">
        <f t="shared" si="118"/>
        <v>6.8003293690234212</v>
      </c>
      <c r="S154" s="17">
        <f t="shared" si="119"/>
        <v>1.4232094221103733</v>
      </c>
      <c r="T154" s="17" t="str">
        <f t="shared" si="110"/>
        <v>1+0.000014379552030587i</v>
      </c>
      <c r="U154" s="17">
        <f t="shared" si="120"/>
        <v>1.0000000001033857</v>
      </c>
      <c r="V154" s="17">
        <f t="shared" si="121"/>
        <v>1.4379552029595906E-5</v>
      </c>
      <c r="W154" s="31" t="str">
        <f t="shared" si="111"/>
        <v>1-0.0233181924820329i</v>
      </c>
      <c r="X154" s="17">
        <f t="shared" si="122"/>
        <v>1.0002718321039683</v>
      </c>
      <c r="Y154" s="17">
        <f t="shared" si="123"/>
        <v>-2.331396753041081E-2</v>
      </c>
      <c r="Z154" s="31" t="str">
        <f t="shared" si="112"/>
        <v>0.99997900770159+0.14197215387156i</v>
      </c>
      <c r="AA154" s="17">
        <f t="shared" si="124"/>
        <v>1.0100069842920822</v>
      </c>
      <c r="AB154" s="17">
        <f t="shared" si="125"/>
        <v>0.14103257964390012</v>
      </c>
      <c r="AC154" s="66" t="str">
        <f t="shared" si="126"/>
        <v>-12.4859520244905-745.571151245575i</v>
      </c>
      <c r="AD154" s="64">
        <f t="shared" si="127"/>
        <v>57.450999741264113</v>
      </c>
      <c r="AE154" s="61">
        <f t="shared" si="128"/>
        <v>-90.959432893170359</v>
      </c>
      <c r="AF154" s="31" t="str">
        <f t="shared" si="113"/>
        <v>-10.0808080808081</v>
      </c>
      <c r="AG154" s="31" t="str">
        <f t="shared" si="129"/>
        <v>1439.39459765635i</v>
      </c>
      <c r="AH154" s="31">
        <f t="shared" si="130"/>
        <v>1439.39459765635</v>
      </c>
      <c r="AI154" s="31">
        <f t="shared" si="131"/>
        <v>1.5707963267948966</v>
      </c>
      <c r="AJ154" s="31" t="str">
        <f t="shared" si="114"/>
        <v>0.960369383752345+1.93272838387329i</v>
      </c>
      <c r="AK154" s="31">
        <f t="shared" si="132"/>
        <v>2.1581817252210986</v>
      </c>
      <c r="AL154" s="31">
        <f t="shared" si="133"/>
        <v>1.1096331818678706</v>
      </c>
      <c r="AM154" s="31" t="str">
        <f t="shared" si="115"/>
        <v>1+1426.67265244443i</v>
      </c>
      <c r="AN154" s="31">
        <f t="shared" si="134"/>
        <v>1426.6730029102062</v>
      </c>
      <c r="AO154" s="31">
        <f t="shared" si="135"/>
        <v>1.5700953952711036</v>
      </c>
      <c r="AP154" s="31" t="str">
        <f t="shared" si="116"/>
        <v>1+1.67200076463762i</v>
      </c>
      <c r="AQ154" s="31">
        <f t="shared" si="136"/>
        <v>1.9482265158211931</v>
      </c>
      <c r="AR154" s="31">
        <f t="shared" si="137"/>
        <v>1.0317854777516786</v>
      </c>
      <c r="AS154" s="58" t="str">
        <f t="shared" si="138"/>
        <v>-8.9918738710935+0.70775561449105i</v>
      </c>
      <c r="AT154" s="49">
        <f t="shared" si="139"/>
        <v>19.103827211917089</v>
      </c>
      <c r="AU154" s="61">
        <f t="shared" si="140"/>
        <v>175.49949469131801</v>
      </c>
      <c r="AV154" s="58" t="str">
        <f t="shared" si="117"/>
        <v>639.954274061355+6695.24475127859i</v>
      </c>
      <c r="AW154" s="64">
        <f t="shared" si="141"/>
        <v>76.554826953181205</v>
      </c>
      <c r="AX154" s="61">
        <f t="shared" si="142"/>
        <v>84.540061798147633</v>
      </c>
    </row>
    <row r="155" spans="14:50" x14ac:dyDescent="0.4">
      <c r="N155" s="10">
        <v>37</v>
      </c>
      <c r="O155" s="50">
        <f t="shared" si="107"/>
        <v>234.42288153199232</v>
      </c>
      <c r="P155" s="48" t="str">
        <f t="shared" si="108"/>
        <v>5120.19230769231</v>
      </c>
      <c r="Q155" s="17" t="str">
        <f t="shared" si="109"/>
        <v>1+6.88307969986093i</v>
      </c>
      <c r="R155" s="17">
        <f t="shared" si="118"/>
        <v>6.9553422744418274</v>
      </c>
      <c r="S155" s="17">
        <f t="shared" si="119"/>
        <v>1.4265219566913814</v>
      </c>
      <c r="T155" s="17" t="str">
        <f t="shared" si="110"/>
        <v>1+0.000014714494825036i</v>
      </c>
      <c r="U155" s="17">
        <f t="shared" si="120"/>
        <v>1.0000000001082583</v>
      </c>
      <c r="V155" s="17">
        <f t="shared" si="121"/>
        <v>1.4714494823974023E-5</v>
      </c>
      <c r="W155" s="31" t="str">
        <f t="shared" si="111"/>
        <v>1-0.0238613429595179i</v>
      </c>
      <c r="X155" s="17">
        <f t="shared" si="122"/>
        <v>1.0002846413335715</v>
      </c>
      <c r="Y155" s="17">
        <f t="shared" si="123"/>
        <v>-2.3856815911864542E-2</v>
      </c>
      <c r="Z155" s="31" t="str">
        <f t="shared" si="112"/>
        <v>0.999978018365046+0.145279110155772i</v>
      </c>
      <c r="AA155" s="17">
        <f t="shared" si="124"/>
        <v>1.0104761536329974</v>
      </c>
      <c r="AB155" s="17">
        <f t="shared" si="125"/>
        <v>0.14427290110334998</v>
      </c>
      <c r="AC155" s="66" t="str">
        <f t="shared" si="126"/>
        <v>-17.3716843039182-728.520647471831i</v>
      </c>
      <c r="AD155" s="64">
        <f t="shared" si="127"/>
        <v>57.251305956392471</v>
      </c>
      <c r="AE155" s="61">
        <f t="shared" si="128"/>
        <v>-91.365967618409741</v>
      </c>
      <c r="AF155" s="31" t="str">
        <f t="shared" si="113"/>
        <v>-10.0808080808081</v>
      </c>
      <c r="AG155" s="31" t="str">
        <f t="shared" si="129"/>
        <v>1472.92240490851i</v>
      </c>
      <c r="AH155" s="31">
        <f t="shared" si="130"/>
        <v>1472.9224049085101</v>
      </c>
      <c r="AI155" s="31">
        <f t="shared" si="131"/>
        <v>1.5707963267948966</v>
      </c>
      <c r="AJ155" s="31" t="str">
        <f t="shared" si="114"/>
        <v>0.958501650350232+1.97774741119964i</v>
      </c>
      <c r="AK155" s="31">
        <f t="shared" si="132"/>
        <v>2.1977739274618302</v>
      </c>
      <c r="AL155" s="31">
        <f t="shared" si="133"/>
        <v>1.1195095359408864</v>
      </c>
      <c r="AM155" s="31" t="str">
        <f t="shared" si="115"/>
        <v>1+1459.90412752497i</v>
      </c>
      <c r="AN155" s="31">
        <f t="shared" si="134"/>
        <v>1459.9044700131731</v>
      </c>
      <c r="AO155" s="31">
        <f t="shared" si="135"/>
        <v>1.570111350415456</v>
      </c>
      <c r="AP155" s="31" t="str">
        <f t="shared" si="116"/>
        <v>1+1.71094666554173i</v>
      </c>
      <c r="AQ155" s="31">
        <f t="shared" si="136"/>
        <v>1.981751369957484</v>
      </c>
      <c r="AR155" s="31">
        <f t="shared" si="137"/>
        <v>1.041872907028077</v>
      </c>
      <c r="AS155" s="58" t="str">
        <f t="shared" si="138"/>
        <v>-8.98199196115644+0.704926022017506i</v>
      </c>
      <c r="AT155" s="49">
        <f t="shared" si="139"/>
        <v>19.094121335208204</v>
      </c>
      <c r="AU155" s="61">
        <f t="shared" si="140"/>
        <v>175.51250257206465</v>
      </c>
      <c r="AV155" s="58" t="str">
        <f t="shared" si="117"/>
        <v>669.585490749476+6531.32084681637i</v>
      </c>
      <c r="AW155" s="64">
        <f t="shared" si="141"/>
        <v>76.345427291600686</v>
      </c>
      <c r="AX155" s="61">
        <f t="shared" si="142"/>
        <v>84.146534953654921</v>
      </c>
    </row>
    <row r="156" spans="14:50" x14ac:dyDescent="0.4">
      <c r="N156" s="10">
        <v>38</v>
      </c>
      <c r="O156" s="50">
        <f t="shared" si="107"/>
        <v>239.88329190194912</v>
      </c>
      <c r="P156" s="48" t="str">
        <f t="shared" si="108"/>
        <v>5120.19230769231</v>
      </c>
      <c r="Q156" s="17" t="str">
        <f t="shared" si="109"/>
        <v>1+7.04340722217763i</v>
      </c>
      <c r="R156" s="17">
        <f t="shared" si="118"/>
        <v>7.1140414180284335</v>
      </c>
      <c r="S156" s="17">
        <f t="shared" si="119"/>
        <v>1.429762172563664</v>
      </c>
      <c r="T156" s="17" t="str">
        <f t="shared" si="110"/>
        <v>1+0.0000150572394394109i</v>
      </c>
      <c r="U156" s="17">
        <f t="shared" si="120"/>
        <v>1.0000000001133602</v>
      </c>
      <c r="V156" s="17">
        <f t="shared" si="121"/>
        <v>1.5057239438272972E-5</v>
      </c>
      <c r="W156" s="31" t="str">
        <f t="shared" si="111"/>
        <v>1-0.0244171450368824i</v>
      </c>
      <c r="X156" s="17">
        <f t="shared" si="122"/>
        <v>1.0002980540677624</v>
      </c>
      <c r="Y156" s="17">
        <f t="shared" si="123"/>
        <v>-2.441229429598582E-2</v>
      </c>
      <c r="Z156" s="31" t="str">
        <f t="shared" si="112"/>
        <v>0.999976982402507+0.148663095347186i</v>
      </c>
      <c r="AA156" s="17">
        <f t="shared" si="124"/>
        <v>1.0109672008789554</v>
      </c>
      <c r="AB156" s="17">
        <f t="shared" si="125"/>
        <v>0.14758555361585299</v>
      </c>
      <c r="AC156" s="66" t="str">
        <f t="shared" si="126"/>
        <v>-22.0360845231759-711.793832842233i</v>
      </c>
      <c r="AD156" s="64">
        <f t="shared" si="127"/>
        <v>57.051244832348608</v>
      </c>
      <c r="AE156" s="61">
        <f t="shared" si="128"/>
        <v>-91.773226249763709</v>
      </c>
      <c r="AF156" s="31" t="str">
        <f t="shared" si="113"/>
        <v>-10.0808080808081</v>
      </c>
      <c r="AG156" s="31" t="str">
        <f t="shared" si="129"/>
        <v>1507.2311751162i</v>
      </c>
      <c r="AH156" s="31">
        <f t="shared" si="130"/>
        <v>1507.2311751161999</v>
      </c>
      <c r="AI156" s="31">
        <f t="shared" si="131"/>
        <v>1.5707963267948966</v>
      </c>
      <c r="AJ156" s="31" t="str">
        <f t="shared" si="114"/>
        <v>0.956545893384729+2.023815066382i</v>
      </c>
      <c r="AK156" s="31">
        <f t="shared" si="132"/>
        <v>2.2384832965796213</v>
      </c>
      <c r="AL156" s="31">
        <f t="shared" si="133"/>
        <v>1.1292712841254757</v>
      </c>
      <c r="AM156" s="31" t="str">
        <f t="shared" si="115"/>
        <v>1+1493.90966309806i</v>
      </c>
      <c r="AN156" s="31">
        <f t="shared" si="134"/>
        <v>1493.9099977902815</v>
      </c>
      <c r="AO156" s="31">
        <f t="shared" si="135"/>
        <v>1.5701269423767199</v>
      </c>
      <c r="AP156" s="31" t="str">
        <f t="shared" si="116"/>
        <v>1+1.75079973301498i</v>
      </c>
      <c r="AQ156" s="31">
        <f t="shared" si="136"/>
        <v>2.0162588388213765</v>
      </c>
      <c r="AR156" s="31">
        <f t="shared" si="137"/>
        <v>1.0518470021092883</v>
      </c>
      <c r="AS156" s="58" t="str">
        <f t="shared" si="138"/>
        <v>-8.97236001607153+0.702112376567633i</v>
      </c>
      <c r="AT156" s="49">
        <f t="shared" si="139"/>
        <v>19.084646765169325</v>
      </c>
      <c r="AU156" s="61">
        <f t="shared" si="140"/>
        <v>175.52556250660851</v>
      </c>
      <c r="AV156" s="58" t="str">
        <f t="shared" si="117"/>
        <v>697.474943289561+6370.99871780514i</v>
      </c>
      <c r="AW156" s="64">
        <f t="shared" si="141"/>
        <v>76.135891597517926</v>
      </c>
      <c r="AX156" s="61">
        <f t="shared" si="142"/>
        <v>83.752336256844799</v>
      </c>
    </row>
    <row r="157" spans="14:50" x14ac:dyDescent="0.4">
      <c r="N157" s="10">
        <v>39</v>
      </c>
      <c r="O157" s="50">
        <f t="shared" si="107"/>
        <v>245.4708915685033</v>
      </c>
      <c r="P157" s="48" t="str">
        <f t="shared" si="108"/>
        <v>5120.19230769231</v>
      </c>
      <c r="Q157" s="17" t="str">
        <f t="shared" si="109"/>
        <v>1+7.207469252234i</v>
      </c>
      <c r="R157" s="17">
        <f t="shared" si="118"/>
        <v>7.2765110473288317</v>
      </c>
      <c r="S157" s="17">
        <f t="shared" si="119"/>
        <v>1.4329315154383278</v>
      </c>
      <c r="T157" s="17" t="str">
        <f t="shared" si="110"/>
        <v>1+0.0000154079676014425i</v>
      </c>
      <c r="U157" s="17">
        <f t="shared" si="120"/>
        <v>1.0000000001187028</v>
      </c>
      <c r="V157" s="17">
        <f t="shared" si="121"/>
        <v>1.5407967600223188E-5</v>
      </c>
      <c r="W157" s="31" t="str">
        <f t="shared" si="111"/>
        <v>1-0.0249858934077445i</v>
      </c>
      <c r="X157" s="17">
        <f t="shared" si="122"/>
        <v>1.0003120987318823</v>
      </c>
      <c r="Y157" s="17">
        <f t="shared" si="123"/>
        <v>-2.498069583281012E-2</v>
      </c>
      <c r="Z157" s="31" t="str">
        <f t="shared" si="112"/>
        <v>0.999975897616557+0.15212590367954i</v>
      </c>
      <c r="AA157" s="17">
        <f t="shared" si="124"/>
        <v>1.011481134962168</v>
      </c>
      <c r="AB157" s="17">
        <f t="shared" si="125"/>
        <v>0.15097200355559243</v>
      </c>
      <c r="AC157" s="66" t="str">
        <f t="shared" si="126"/>
        <v>-26.4878713133962-695.386059800349i</v>
      </c>
      <c r="AD157" s="64">
        <f t="shared" si="127"/>
        <v>56.850816284804665</v>
      </c>
      <c r="AE157" s="61">
        <f t="shared" si="128"/>
        <v>-92.181392423276534</v>
      </c>
      <c r="AF157" s="31" t="str">
        <f t="shared" si="113"/>
        <v>-10.0808080808081</v>
      </c>
      <c r="AG157" s="31" t="str">
        <f t="shared" si="129"/>
        <v>1542.33909924349i</v>
      </c>
      <c r="AH157" s="31">
        <f t="shared" si="130"/>
        <v>1542.33909924349</v>
      </c>
      <c r="AI157" s="31">
        <f t="shared" si="131"/>
        <v>1.5707963267948966</v>
      </c>
      <c r="AJ157" s="31" t="str">
        <f t="shared" si="114"/>
        <v>0.954497964433103+2.07095577510091i</v>
      </c>
      <c r="AK157" s="31">
        <f t="shared" si="132"/>
        <v>2.2803342269348912</v>
      </c>
      <c r="AL157" s="31">
        <f t="shared" si="133"/>
        <v>1.1389172318300229</v>
      </c>
      <c r="AM157" s="31" t="str">
        <f t="shared" si="115"/>
        <v>1+1528.70728934874i</v>
      </c>
      <c r="AN157" s="31">
        <f t="shared" si="134"/>
        <v>1528.7076164224379</v>
      </c>
      <c r="AO157" s="31">
        <f t="shared" si="135"/>
        <v>1.570142179421929</v>
      </c>
      <c r="AP157" s="31" t="str">
        <f t="shared" si="116"/>
        <v>1+1.79158109768124i</v>
      </c>
      <c r="AQ157" s="31">
        <f t="shared" si="136"/>
        <v>2.0517706571565735</v>
      </c>
      <c r="AR157" s="31">
        <f t="shared" si="137"/>
        <v>1.0617051127929285</v>
      </c>
      <c r="AS157" s="58" t="str">
        <f t="shared" si="138"/>
        <v>-8.9629770888626+0.699327510594922i</v>
      </c>
      <c r="AT157" s="49">
        <f t="shared" si="139"/>
        <v>19.07540432738638</v>
      </c>
      <c r="AU157" s="61">
        <f t="shared" si="140"/>
        <v>175.53859156826215</v>
      </c>
      <c r="AV157" s="58" t="str">
        <f t="shared" si="117"/>
        <v>723.712785817301+6214.20562479841i</v>
      </c>
      <c r="AW157" s="64">
        <f t="shared" si="141"/>
        <v>75.926220612191045</v>
      </c>
      <c r="AX157" s="61">
        <f t="shared" si="142"/>
        <v>83.357199144985614</v>
      </c>
    </row>
    <row r="158" spans="14:50" x14ac:dyDescent="0.4">
      <c r="N158" s="10">
        <v>40</v>
      </c>
      <c r="O158" s="50">
        <f t="shared" si="107"/>
        <v>251.18864315095806</v>
      </c>
      <c r="P158" s="48" t="str">
        <f t="shared" si="108"/>
        <v>5120.19230769231</v>
      </c>
      <c r="Q158" s="17" t="str">
        <f t="shared" si="109"/>
        <v>1+7.37535277789009i</v>
      </c>
      <c r="R158" s="17">
        <f t="shared" si="118"/>
        <v>7.4428374023843267</v>
      </c>
      <c r="S158" s="17">
        <f t="shared" si="119"/>
        <v>1.4360314109277497</v>
      </c>
      <c r="T158" s="17" t="str">
        <f t="shared" si="110"/>
        <v>1+0.0000157668652718451i</v>
      </c>
      <c r="U158" s="17">
        <f t="shared" si="120"/>
        <v>1.000000000124297</v>
      </c>
      <c r="V158" s="17">
        <f t="shared" si="121"/>
        <v>1.5766865270538584E-5</v>
      </c>
      <c r="W158" s="31" t="str">
        <f t="shared" si="111"/>
        <v>1-0.025567889630019i</v>
      </c>
      <c r="X158" s="17">
        <f t="shared" si="122"/>
        <v>1.0003268050892833</v>
      </c>
      <c r="Y158" s="17">
        <f t="shared" si="123"/>
        <v>-2.556232042639987E-2</v>
      </c>
      <c r="Z158" s="31" t="str">
        <f t="shared" si="112"/>
        <v>0.999974761706221+0.155669371179651i</v>
      </c>
      <c r="AA158" s="17">
        <f t="shared" si="124"/>
        <v>1.0120190102823572</v>
      </c>
      <c r="AB158" s="17">
        <f t="shared" si="125"/>
        <v>0.15443373660793203</v>
      </c>
      <c r="AC158" s="66" t="str">
        <f t="shared" si="126"/>
        <v>-30.7354175004015-679.292600109203i</v>
      </c>
      <c r="AD158" s="64">
        <f t="shared" si="127"/>
        <v>56.650019546384165</v>
      </c>
      <c r="AE158" s="61">
        <f t="shared" si="128"/>
        <v>-92.590650116603967</v>
      </c>
      <c r="AF158" s="31" t="str">
        <f t="shared" si="113"/>
        <v>-10.0808080808081</v>
      </c>
      <c r="AG158" s="31" t="str">
        <f t="shared" si="129"/>
        <v>1578.26479197648i</v>
      </c>
      <c r="AH158" s="31">
        <f t="shared" si="130"/>
        <v>1578.26479197648</v>
      </c>
      <c r="AI158" s="31">
        <f t="shared" si="131"/>
        <v>1.5707963267948966</v>
      </c>
      <c r="AJ158" s="31" t="str">
        <f t="shared" si="114"/>
        <v>0.952353519563474+2.11919453198412i</v>
      </c>
      <c r="AK158" s="31">
        <f t="shared" si="132"/>
        <v>2.323351607186551</v>
      </c>
      <c r="AL158" s="31">
        <f t="shared" si="133"/>
        <v>1.1484463817819162</v>
      </c>
      <c r="AM158" s="31" t="str">
        <f t="shared" si="115"/>
        <v>1+1564.31545643908i</v>
      </c>
      <c r="AN158" s="31">
        <f t="shared" si="134"/>
        <v>1564.3157760676731</v>
      </c>
      <c r="AO158" s="31">
        <f t="shared" si="135"/>
        <v>1.5701570696299385</v>
      </c>
      <c r="AP158" s="31" t="str">
        <f t="shared" si="116"/>
        <v>1+1.83331238235988i</v>
      </c>
      <c r="AQ158" s="31">
        <f t="shared" si="136"/>
        <v>2.0883089549475335</v>
      </c>
      <c r="AR158" s="31">
        <f t="shared" si="137"/>
        <v>1.0714448010275868</v>
      </c>
      <c r="AS158" s="58" t="str">
        <f t="shared" si="138"/>
        <v>-8.95384171273429+0.696584028656655i</v>
      </c>
      <c r="AT158" s="49">
        <f t="shared" si="139"/>
        <v>19.066394301020399</v>
      </c>
      <c r="AU158" s="61">
        <f t="shared" si="140"/>
        <v>175.55150766936549</v>
      </c>
      <c r="AV158" s="58" t="str">
        <f t="shared" si="117"/>
        <v>748.384439294121+6060.86861706464i</v>
      </c>
      <c r="AW158" s="64">
        <f t="shared" si="141"/>
        <v>75.716413847404567</v>
      </c>
      <c r="AX158" s="61">
        <f t="shared" si="142"/>
        <v>82.960857552761524</v>
      </c>
    </row>
    <row r="159" spans="14:50" x14ac:dyDescent="0.4">
      <c r="N159" s="10">
        <v>41</v>
      </c>
      <c r="O159" s="50">
        <f t="shared" si="107"/>
        <v>257.03957827688663</v>
      </c>
      <c r="P159" s="48" t="str">
        <f t="shared" si="108"/>
        <v>5120.19230769231</v>
      </c>
      <c r="Q159" s="17" t="str">
        <f t="shared" si="109"/>
        <v>1+7.54714681321331i</v>
      </c>
      <c r="R159" s="17">
        <f t="shared" si="118"/>
        <v>7.613108761878804</v>
      </c>
      <c r="S159" s="17">
        <f t="shared" si="119"/>
        <v>1.4390632642082053</v>
      </c>
      <c r="T159" s="17" t="str">
        <f t="shared" si="110"/>
        <v>1+0.0000161341227429138i</v>
      </c>
      <c r="U159" s="17">
        <f t="shared" si="120"/>
        <v>1.000000000130155</v>
      </c>
      <c r="V159" s="17">
        <f t="shared" si="121"/>
        <v>1.6134122741513844E-5</v>
      </c>
      <c r="W159" s="31" t="str">
        <f t="shared" si="111"/>
        <v>1-0.0261634422858061i</v>
      </c>
      <c r="X159" s="17">
        <f t="shared" si="122"/>
        <v>1.0003422043042285</v>
      </c>
      <c r="Y159" s="17">
        <f t="shared" si="123"/>
        <v>-2.6157474886862098E-2</v>
      </c>
      <c r="Z159" s="31" t="str">
        <f t="shared" si="112"/>
        <v>0.99997357226208+0.159295376640888i</v>
      </c>
      <c r="AA159" s="17">
        <f t="shared" si="124"/>
        <v>1.012581928656515</v>
      </c>
      <c r="AB159" s="17">
        <f t="shared" si="125"/>
        <v>0.15797225724860181</v>
      </c>
      <c r="AC159" s="66" t="str">
        <f t="shared" si="126"/>
        <v>-34.786759639982-663.508658090764i</v>
      </c>
      <c r="AD159" s="64">
        <f t="shared" si="127"/>
        <v>56.448853166114361</v>
      </c>
      <c r="AE159" s="61">
        <f t="shared" si="128"/>
        <v>-93.00118360854708</v>
      </c>
      <c r="AF159" s="31" t="str">
        <f t="shared" si="113"/>
        <v>-10.0808080808081</v>
      </c>
      <c r="AG159" s="31" t="str">
        <f t="shared" si="129"/>
        <v>1615.02730159297i</v>
      </c>
      <c r="AH159" s="31">
        <f t="shared" si="130"/>
        <v>1615.0273015929699</v>
      </c>
      <c r="AI159" s="31">
        <f t="shared" si="131"/>
        <v>1.5707963267948966</v>
      </c>
      <c r="AJ159" s="31" t="str">
        <f t="shared" si="114"/>
        <v>0.950108010120765+2.16855691385904i</v>
      </c>
      <c r="AK159" s="31">
        <f t="shared" si="132"/>
        <v>2.3675608375586643</v>
      </c>
      <c r="AL159" s="31">
        <f t="shared" si="133"/>
        <v>1.1578579288547004</v>
      </c>
      <c r="AM159" s="31" t="str">
        <f t="shared" si="115"/>
        <v>1+1600.75304429058i</v>
      </c>
      <c r="AN159" s="31">
        <f t="shared" si="134"/>
        <v>1600.7533566435397</v>
      </c>
      <c r="AO159" s="31">
        <f t="shared" si="135"/>
        <v>1.5701716208957068</v>
      </c>
      <c r="AP159" s="31" t="str">
        <f t="shared" si="116"/>
        <v>1+1.87601571353039i</v>
      </c>
      <c r="AQ159" s="31">
        <f t="shared" si="136"/>
        <v>2.1258962715553498</v>
      </c>
      <c r="AR159" s="31">
        <f t="shared" si="137"/>
        <v>1.0810638388120912</v>
      </c>
      <c r="AS159" s="58" t="str">
        <f t="shared" si="138"/>
        <v>-8.94495193105288+0.69389428696942i</v>
      </c>
      <c r="AT159" s="49">
        <f t="shared" si="139"/>
        <v>19.057616443685404</v>
      </c>
      <c r="AU159" s="61">
        <f t="shared" si="140"/>
        <v>175.56422973755051</v>
      </c>
      <c r="AV159" s="58" t="str">
        <f t="shared" si="117"/>
        <v>771.570760020657+5910.91471868292i</v>
      </c>
      <c r="AW159" s="64">
        <f t="shared" si="141"/>
        <v>75.506469609799765</v>
      </c>
      <c r="AX159" s="61">
        <f t="shared" si="142"/>
        <v>82.563046129003439</v>
      </c>
    </row>
    <row r="160" spans="14:50" x14ac:dyDescent="0.4">
      <c r="N160" s="10">
        <v>42</v>
      </c>
      <c r="O160" s="50">
        <f t="shared" si="107"/>
        <v>263.02679918953817</v>
      </c>
      <c r="P160" s="48" t="str">
        <f t="shared" si="108"/>
        <v>5120.19230769231</v>
      </c>
      <c r="Q160" s="17" t="str">
        <f t="shared" si="109"/>
        <v>1+7.72294244567519i</v>
      </c>
      <c r="R160" s="17">
        <f t="shared" si="118"/>
        <v>7.7874154903415471</v>
      </c>
      <c r="S160" s="17">
        <f t="shared" si="119"/>
        <v>1.4420284597369846</v>
      </c>
      <c r="T160" s="17" t="str">
        <f t="shared" si="110"/>
        <v>1+0.0000165099347394212i</v>
      </c>
      <c r="U160" s="17">
        <f t="shared" si="120"/>
        <v>1.000000000136289</v>
      </c>
      <c r="V160" s="17">
        <f t="shared" si="121"/>
        <v>1.650993473792112E-5</v>
      </c>
      <c r="W160" s="31" t="str">
        <f t="shared" si="111"/>
        <v>1-0.0267728671450073i</v>
      </c>
      <c r="X160" s="17">
        <f t="shared" si="122"/>
        <v>1.0003583290077431</v>
      </c>
      <c r="Y160" s="17">
        <f t="shared" si="123"/>
        <v>-2.676647308553225E-2</v>
      </c>
      <c r="Z160" s="31" t="str">
        <f t="shared" si="112"/>
        <v>0.999972326761163+0.163005842619344i</v>
      </c>
      <c r="AA160" s="17">
        <f t="shared" si="124"/>
        <v>1.0131710413430581</v>
      </c>
      <c r="AB160" s="17">
        <f t="shared" si="125"/>
        <v>0.1615890881518442</v>
      </c>
      <c r="AC160" s="66" t="str">
        <f t="shared" si="126"/>
        <v>-38.6496075474993-648.029383021i</v>
      </c>
      <c r="AD160" s="64">
        <f t="shared" si="127"/>
        <v>56.247315008168982</v>
      </c>
      <c r="AE160" s="61">
        <f t="shared" si="128"/>
        <v>-93.413177437819044</v>
      </c>
      <c r="AF160" s="31" t="str">
        <f t="shared" si="113"/>
        <v>-10.0808080808081</v>
      </c>
      <c r="AG160" s="31" t="str">
        <f t="shared" si="129"/>
        <v>1652.64612006218i</v>
      </c>
      <c r="AH160" s="31">
        <f t="shared" si="130"/>
        <v>1652.64612006218</v>
      </c>
      <c r="AI160" s="31">
        <f t="shared" si="131"/>
        <v>1.5707963267948966</v>
      </c>
      <c r="AJ160" s="31" t="str">
        <f t="shared" si="114"/>
        <v>0.947756673078387+2.21906909331393i</v>
      </c>
      <c r="AK160" s="31">
        <f t="shared" si="132"/>
        <v>2.412987847517206</v>
      </c>
      <c r="AL160" s="31">
        <f t="shared" si="133"/>
        <v>1.1671512545340381</v>
      </c>
      <c r="AM160" s="31" t="str">
        <f t="shared" si="115"/>
        <v>1+1638.03937259463i</v>
      </c>
      <c r="AN160" s="31">
        <f t="shared" si="134"/>
        <v>1638.0396778375698</v>
      </c>
      <c r="AO160" s="31">
        <f t="shared" si="135"/>
        <v>1.5701858409344835</v>
      </c>
      <c r="AP160" s="31" t="str">
        <f t="shared" si="116"/>
        <v>1+1.91971373306423i</v>
      </c>
      <c r="AQ160" s="31">
        <f t="shared" si="136"/>
        <v>2.1645555702996866</v>
      </c>
      <c r="AR160" s="31">
        <f t="shared" si="137"/>
        <v>1.0905602054122978</v>
      </c>
      <c r="AS160" s="58" t="str">
        <f t="shared" si="138"/>
        <v>-8.93630532771899+0.691270375917383i</v>
      </c>
      <c r="AT160" s="49">
        <f t="shared" si="139"/>
        <v>19.049070017499186</v>
      </c>
      <c r="AU160" s="61">
        <f t="shared" si="140"/>
        <v>175.57667787359102</v>
      </c>
      <c r="AV160" s="58" t="str">
        <f t="shared" si="117"/>
        <v>793.348209047403+5764.27109927059i</v>
      </c>
      <c r="AW160" s="64">
        <f t="shared" si="141"/>
        <v>75.296385025668158</v>
      </c>
      <c r="AX160" s="61">
        <f t="shared" si="142"/>
        <v>82.163500435771965</v>
      </c>
    </row>
    <row r="161" spans="14:50" x14ac:dyDescent="0.4">
      <c r="N161" s="10">
        <v>43</v>
      </c>
      <c r="O161" s="50">
        <f t="shared" si="107"/>
        <v>269.15348039269179</v>
      </c>
      <c r="P161" s="48" t="str">
        <f t="shared" si="108"/>
        <v>5120.19230769231</v>
      </c>
      <c r="Q161" s="17" t="str">
        <f t="shared" si="109"/>
        <v>1+7.90283288444703i</v>
      </c>
      <c r="R161" s="17">
        <f t="shared" si="118"/>
        <v>7.9658500864312893</v>
      </c>
      <c r="S161" s="17">
        <f t="shared" si="119"/>
        <v>1.4449283610202455</v>
      </c>
      <c r="T161" s="17" t="str">
        <f t="shared" si="110"/>
        <v>1+0.0000168945005218623i</v>
      </c>
      <c r="U161" s="17">
        <f t="shared" si="120"/>
        <v>1.0000000001427121</v>
      </c>
      <c r="V161" s="17">
        <f t="shared" si="121"/>
        <v>1.6894500520254933E-5</v>
      </c>
      <c r="W161" s="31" t="str">
        <f t="shared" si="111"/>
        <v>1-0.0273964873327497i</v>
      </c>
      <c r="X161" s="17">
        <f t="shared" si="122"/>
        <v>1.0003752133665516</v>
      </c>
      <c r="Y161" s="17">
        <f t="shared" si="123"/>
        <v>-2.738963611336544E-2</v>
      </c>
      <c r="Z161" s="31" t="str">
        <f t="shared" si="112"/>
        <v>0.999971022561597+0.166802736453195i</v>
      </c>
      <c r="AA161" s="17">
        <f t="shared" si="124"/>
        <v>1.0137875511423289</v>
      </c>
      <c r="AB161" s="17">
        <f t="shared" si="125"/>
        <v>0.16528576952278656</v>
      </c>
      <c r="AC161" s="66" t="str">
        <f t="shared" si="126"/>
        <v>-42.3313537911915-632.849880724732i</v>
      </c>
      <c r="AD161" s="64">
        <f t="shared" si="127"/>
        <v>56.045402249911902</v>
      </c>
      <c r="AE161" s="61">
        <f t="shared" si="128"/>
        <v>-93.826816360561267</v>
      </c>
      <c r="AF161" s="31" t="str">
        <f t="shared" si="113"/>
        <v>-10.0808080808081</v>
      </c>
      <c r="AG161" s="31" t="str">
        <f t="shared" si="129"/>
        <v>1691.14119337961i</v>
      </c>
      <c r="AH161" s="31">
        <f t="shared" si="130"/>
        <v>1691.1411933796101</v>
      </c>
      <c r="AI161" s="31">
        <f t="shared" si="131"/>
        <v>1.5707963267948966</v>
      </c>
      <c r="AJ161" s="31" t="str">
        <f t="shared" si="114"/>
        <v>0.945294520935223+2.27075785257496i</v>
      </c>
      <c r="AK161" s="31">
        <f t="shared" si="132"/>
        <v>2.4596591138491113</v>
      </c>
      <c r="AL161" s="31">
        <f t="shared" si="133"/>
        <v>1.1763259210750703</v>
      </c>
      <c r="AM161" s="31" t="str">
        <f t="shared" si="115"/>
        <v>1+1676.19421105605i</v>
      </c>
      <c r="AN161" s="31">
        <f t="shared" si="134"/>
        <v>1676.1945093508134</v>
      </c>
      <c r="AO161" s="31">
        <f t="shared" si="135"/>
        <v>1.570199737285898</v>
      </c>
      <c r="AP161" s="31" t="str">
        <f t="shared" si="116"/>
        <v>1+1.96442961022976i</v>
      </c>
      <c r="AQ161" s="31">
        <f t="shared" si="136"/>
        <v>2.204310253468746</v>
      </c>
      <c r="AR161" s="31">
        <f t="shared" si="137"/>
        <v>1.0999320839489193</v>
      </c>
      <c r="AS161" s="58" t="str">
        <f t="shared" si="138"/>
        <v>-8.92789905767353+0.688724105425173i</v>
      </c>
      <c r="AT161" s="49">
        <f t="shared" si="139"/>
        <v>19.040753816026502</v>
      </c>
      <c r="AU161" s="61">
        <f t="shared" si="140"/>
        <v>175.58877349089425</v>
      </c>
      <c r="AV161" s="58" t="str">
        <f t="shared" si="117"/>
        <v>813.789021592992+5620.86522999987i</v>
      </c>
      <c r="AW161" s="64">
        <f t="shared" si="141"/>
        <v>75.086156065938411</v>
      </c>
      <c r="AX161" s="61">
        <f t="shared" si="142"/>
        <v>81.761957130333002</v>
      </c>
    </row>
    <row r="162" spans="14:50" x14ac:dyDescent="0.4">
      <c r="N162" s="10">
        <v>44</v>
      </c>
      <c r="O162" s="50">
        <f t="shared" si="107"/>
        <v>275.42287033381683</v>
      </c>
      <c r="P162" s="48" t="str">
        <f t="shared" si="108"/>
        <v>5120.19230769231</v>
      </c>
      <c r="Q162" s="17" t="str">
        <f t="shared" si="109"/>
        <v>1+8.08691350982056i</v>
      </c>
      <c r="R162" s="17">
        <f t="shared" si="118"/>
        <v>8.1485072323290169</v>
      </c>
      <c r="S162" s="17">
        <f t="shared" si="119"/>
        <v>1.4477643104280868</v>
      </c>
      <c r="T162" s="17" t="str">
        <f t="shared" si="110"/>
        <v>1+0.0000172880239921053i</v>
      </c>
      <c r="U162" s="17">
        <f t="shared" si="120"/>
        <v>1.0000000001494378</v>
      </c>
      <c r="V162" s="17">
        <f t="shared" si="121"/>
        <v>1.7288023990382978E-5</v>
      </c>
      <c r="W162" s="31" t="str">
        <f t="shared" si="111"/>
        <v>1-0.0280346335007113i</v>
      </c>
      <c r="X162" s="17">
        <f t="shared" si="122"/>
        <v>1.0003928931552439</v>
      </c>
      <c r="Y162" s="17">
        <f t="shared" si="123"/>
        <v>-2.802729244258503E-2</v>
      </c>
      <c r="Z162" s="31" t="str">
        <f t="shared" si="112"/>
        <v>0.999969656896999+0.170688071305808i</v>
      </c>
      <c r="AA162" s="17">
        <f t="shared" si="124"/>
        <v>1.014432714575392</v>
      </c>
      <c r="AB162" s="17">
        <f t="shared" si="125"/>
        <v>0.16906385834916707</v>
      </c>
      <c r="AC162" s="66" t="str">
        <f t="shared" si="126"/>
        <v>-45.8390831223813-617.965224413309i</v>
      </c>
      <c r="AD162" s="64">
        <f t="shared" si="127"/>
        <v>55.843111379253976</v>
      </c>
      <c r="AE162" s="61">
        <f t="shared" si="128"/>
        <v>-94.242285306130455</v>
      </c>
      <c r="AF162" s="31" t="str">
        <f t="shared" si="113"/>
        <v>-10.0808080808081</v>
      </c>
      <c r="AG162" s="31" t="str">
        <f t="shared" si="129"/>
        <v>1730.53293214267i</v>
      </c>
      <c r="AH162" s="31">
        <f t="shared" si="130"/>
        <v>1730.53293214267</v>
      </c>
      <c r="AI162" s="31">
        <f t="shared" si="131"/>
        <v>1.5707963267948966</v>
      </c>
      <c r="AJ162" s="31" t="str">
        <f t="shared" si="114"/>
        <v>0.94271633113647+2.32365059770645i</v>
      </c>
      <c r="AK162" s="31">
        <f t="shared" si="132"/>
        <v>2.5076016791374478</v>
      </c>
      <c r="AL162" s="31">
        <f t="shared" si="133"/>
        <v>1.1853816654020228</v>
      </c>
      <c r="AM162" s="31" t="str">
        <f t="shared" si="115"/>
        <v>1+1715.23778987523i</v>
      </c>
      <c r="AN162" s="31">
        <f t="shared" si="134"/>
        <v>1715.2380813799766</v>
      </c>
      <c r="AO162" s="31">
        <f t="shared" si="135"/>
        <v>1.5702133173179582</v>
      </c>
      <c r="AP162" s="31" t="str">
        <f t="shared" si="116"/>
        <v>1+2.01018705397693i</v>
      </c>
      <c r="AQ162" s="31">
        <f t="shared" si="136"/>
        <v>2.245184177740537</v>
      </c>
      <c r="AR162" s="31">
        <f t="shared" si="137"/>
        <v>1.1091778574112694</v>
      </c>
      <c r="AS162" s="58" t="str">
        <f t="shared" si="138"/>
        <v>-8.91972987730015+0.686266993088642i</v>
      </c>
      <c r="AT162" s="49">
        <f t="shared" si="139"/>
        <v>19.032666191849486</v>
      </c>
      <c r="AU162" s="61">
        <f t="shared" si="140"/>
        <v>175.60043943685992</v>
      </c>
      <c r="AV162" s="58" t="str">
        <f t="shared" si="117"/>
        <v>832.961375666219+5480.62502559155i</v>
      </c>
      <c r="AW162" s="64">
        <f t="shared" si="141"/>
        <v>74.87577757110347</v>
      </c>
      <c r="AX162" s="61">
        <f t="shared" si="142"/>
        <v>81.358154130729474</v>
      </c>
    </row>
    <row r="163" spans="14:50" x14ac:dyDescent="0.4">
      <c r="N163" s="10">
        <v>45</v>
      </c>
      <c r="O163" s="50">
        <f t="shared" si="107"/>
        <v>281.83829312644554</v>
      </c>
      <c r="P163" s="48" t="str">
        <f t="shared" si="108"/>
        <v>5120.19230769231</v>
      </c>
      <c r="Q163" s="17" t="str">
        <f t="shared" si="109"/>
        <v>1+8.27528192377993i</v>
      </c>
      <c r="R163" s="17">
        <f t="shared" si="118"/>
        <v>8.3354838442671628</v>
      </c>
      <c r="S163" s="17">
        <f t="shared" si="119"/>
        <v>1.4505376290534797</v>
      </c>
      <c r="T163" s="17" t="str">
        <f t="shared" si="110"/>
        <v>1+0.0000176907138015029i</v>
      </c>
      <c r="U163" s="17">
        <f t="shared" si="120"/>
        <v>1.0000000001564806</v>
      </c>
      <c r="V163" s="17">
        <f t="shared" si="121"/>
        <v>1.7690713799657397E-5</v>
      </c>
      <c r="W163" s="31" t="str">
        <f t="shared" si="111"/>
        <v>1-0.0286876440024371i</v>
      </c>
      <c r="X163" s="17">
        <f t="shared" si="122"/>
        <v>1.0004114058318261</v>
      </c>
      <c r="Y163" s="17">
        <f t="shared" si="123"/>
        <v>-2.867977809163258E-2</v>
      </c>
      <c r="Z163" s="31" t="str">
        <f t="shared" si="112"/>
        <v>0.999968226870611+0.174663907233151i</v>
      </c>
      <c r="AA163" s="17">
        <f t="shared" si="124"/>
        <v>1.0151078441430272</v>
      </c>
      <c r="AB163" s="17">
        <f t="shared" si="125"/>
        <v>0.17292492756731651</v>
      </c>
      <c r="AC163" s="66" t="str">
        <f t="shared" si="126"/>
        <v>-49.1795818192507-603.370464806961i</v>
      </c>
      <c r="AD163" s="64">
        <f t="shared" si="127"/>
        <v>55.640438191338419</v>
      </c>
      <c r="AE163" s="61">
        <f t="shared" si="128"/>
        <v>-94.659769330675076</v>
      </c>
      <c r="AF163" s="31" t="str">
        <f t="shared" si="113"/>
        <v>-10.0808080808081</v>
      </c>
      <c r="AG163" s="31" t="str">
        <f t="shared" si="129"/>
        <v>1770.84222237266i</v>
      </c>
      <c r="AH163" s="31">
        <f t="shared" si="130"/>
        <v>1770.84222237266</v>
      </c>
      <c r="AI163" s="31">
        <f t="shared" si="131"/>
        <v>1.5707963267948966</v>
      </c>
      <c r="AJ163" s="31" t="str">
        <f t="shared" si="114"/>
        <v>0.940016634995904+2.37777537314199i</v>
      </c>
      <c r="AK163" s="31">
        <f t="shared" si="132"/>
        <v>2.5568431706284902</v>
      </c>
      <c r="AL163" s="31">
        <f t="shared" si="133"/>
        <v>1.1943183927988235</v>
      </c>
      <c r="AM163" s="31" t="str">
        <f t="shared" si="115"/>
        <v>1+1755.19081047445i</v>
      </c>
      <c r="AN163" s="31">
        <f t="shared" si="134"/>
        <v>1755.1910953437396</v>
      </c>
      <c r="AO163" s="31">
        <f t="shared" si="135"/>
        <v>1.5702265882309572</v>
      </c>
      <c r="AP163" s="31" t="str">
        <f t="shared" si="116"/>
        <v>1+2.05701032550808i</v>
      </c>
      <c r="AQ163" s="31">
        <f t="shared" si="136"/>
        <v>2.2872016699991407</v>
      </c>
      <c r="AR163" s="31">
        <f t="shared" si="137"/>
        <v>1.1182961041522708</v>
      </c>
      <c r="AS163" s="58" t="str">
        <f t="shared" si="138"/>
        <v>-8.91179417450819+0.683910254940201i</v>
      </c>
      <c r="AT163" s="49">
        <f t="shared" si="139"/>
        <v>19.024805084514838</v>
      </c>
      <c r="AU163" s="61">
        <f t="shared" si="140"/>
        <v>175.61160009648773</v>
      </c>
      <c r="AV163" s="58" t="str">
        <f t="shared" si="117"/>
        <v>850.929559171064+5343.47897299712i</v>
      </c>
      <c r="AW163" s="64">
        <f t="shared" si="141"/>
        <v>74.665243275853257</v>
      </c>
      <c r="AX163" s="61">
        <f t="shared" si="142"/>
        <v>80.951830765812659</v>
      </c>
    </row>
    <row r="164" spans="14:50" x14ac:dyDescent="0.4">
      <c r="N164" s="10">
        <v>46</v>
      </c>
      <c r="O164" s="50">
        <f t="shared" si="107"/>
        <v>288.40315031266073</v>
      </c>
      <c r="P164" s="48" t="str">
        <f t="shared" si="108"/>
        <v>5120.19230769231</v>
      </c>
      <c r="Q164" s="17" t="str">
        <f t="shared" si="109"/>
        <v>1+8.46803800175161i</v>
      </c>
      <c r="R164" s="17">
        <f t="shared" si="118"/>
        <v>8.5268791242229653</v>
      </c>
      <c r="S164" s="17">
        <f t="shared" si="119"/>
        <v>1.4532496166118825</v>
      </c>
      <c r="T164" s="17" t="str">
        <f t="shared" si="110"/>
        <v>1+0.0000181027834615223i</v>
      </c>
      <c r="U164" s="17">
        <f t="shared" si="120"/>
        <v>1.0000000001638554</v>
      </c>
      <c r="V164" s="17">
        <f t="shared" si="121"/>
        <v>1.8102783459544806E-5</v>
      </c>
      <c r="W164" s="31" t="str">
        <f t="shared" si="111"/>
        <v>1-0.0293558650727389i</v>
      </c>
      <c r="X164" s="17">
        <f t="shared" si="122"/>
        <v>1.0004307906168066</v>
      </c>
      <c r="Y164" s="17">
        <f t="shared" si="123"/>
        <v>-2.9347436793463081E-2</v>
      </c>
      <c r="Z164" s="31" t="str">
        <f t="shared" si="112"/>
        <v>0.999966729449156+0.178732352276059i</v>
      </c>
      <c r="AA164" s="17">
        <f t="shared" si="124"/>
        <v>1.0158143106667552</v>
      </c>
      <c r="AB164" s="17">
        <f t="shared" si="125"/>
        <v>0.17687056513709518</v>
      </c>
      <c r="AC164" s="66" t="str">
        <f t="shared" si="126"/>
        <v>-52.3593469240824-589.060639582516i</v>
      </c>
      <c r="AD164" s="64">
        <f t="shared" si="127"/>
        <v>55.43737778457519</v>
      </c>
      <c r="AE164" s="61">
        <f t="shared" si="128"/>
        <v>-95.079453568017811</v>
      </c>
      <c r="AF164" s="31" t="str">
        <f t="shared" si="113"/>
        <v>-10.0808080808081</v>
      </c>
      <c r="AG164" s="31" t="str">
        <f t="shared" si="129"/>
        <v>1812.09043658882i</v>
      </c>
      <c r="AH164" s="31">
        <f t="shared" si="130"/>
        <v>1812.09043658882</v>
      </c>
      <c r="AI164" s="31">
        <f t="shared" si="131"/>
        <v>1.5707963267948966</v>
      </c>
      <c r="AJ164" s="31" t="str">
        <f t="shared" si="114"/>
        <v>0.937189706096054+2.43316087655396i</v>
      </c>
      <c r="AK164" s="31">
        <f t="shared" si="132"/>
        <v>2.6074118194879081</v>
      </c>
      <c r="AL164" s="31">
        <f t="shared" si="133"/>
        <v>1.2031361704371024</v>
      </c>
      <c r="AM164" s="31" t="str">
        <f t="shared" si="115"/>
        <v>1+1796.07445647408i</v>
      </c>
      <c r="AN164" s="31">
        <f t="shared" si="134"/>
        <v>1796.0747348589539</v>
      </c>
      <c r="AO164" s="31">
        <f t="shared" si="135"/>
        <v>1.5702395570612897</v>
      </c>
      <c r="AP164" s="31" t="str">
        <f t="shared" si="116"/>
        <v>1+2.10492425114157i</v>
      </c>
      <c r="AQ164" s="31">
        <f t="shared" si="136"/>
        <v>2.3303875435308816</v>
      </c>
      <c r="AR164" s="31">
        <f t="shared" si="137"/>
        <v>1.127285592920088</v>
      </c>
      <c r="AS164" s="58" t="str">
        <f t="shared" si="138"/>
        <v>-8.90408799830236+0.68166479871237i</v>
      </c>
      <c r="AT164" s="49">
        <f t="shared" si="139"/>
        <v>19.017168048625365</v>
      </c>
      <c r="AU164" s="61">
        <f t="shared" si="140"/>
        <v>175.62218147874896</v>
      </c>
      <c r="AV164" s="58" t="str">
        <f t="shared" si="117"/>
        <v>867.754134856067+5209.35624749728i</v>
      </c>
      <c r="AW164" s="64">
        <f t="shared" si="141"/>
        <v>74.454545833200555</v>
      </c>
      <c r="AX164" s="61">
        <f t="shared" si="142"/>
        <v>80.542727910731145</v>
      </c>
    </row>
    <row r="165" spans="14:50" x14ac:dyDescent="0.4">
      <c r="N165" s="10">
        <v>47</v>
      </c>
      <c r="O165" s="50">
        <f t="shared" si="107"/>
        <v>295.12092266663871</v>
      </c>
      <c r="P165" s="48" t="str">
        <f t="shared" si="108"/>
        <v>5120.19230769231</v>
      </c>
      <c r="Q165" s="17" t="str">
        <f t="shared" si="109"/>
        <v>1+8.66528394555953i</v>
      </c>
      <c r="R165" s="17">
        <f t="shared" si="118"/>
        <v>8.7227946128045311</v>
      </c>
      <c r="S165" s="17">
        <f t="shared" si="119"/>
        <v>1.4559015513785258</v>
      </c>
      <c r="T165" s="17" t="str">
        <f t="shared" si="110"/>
        <v>1+0.0000185244514569517i</v>
      </c>
      <c r="U165" s="17">
        <f t="shared" si="120"/>
        <v>1.0000000001715776</v>
      </c>
      <c r="V165" s="17">
        <f t="shared" si="121"/>
        <v>1.852445145483278E-5</v>
      </c>
      <c r="W165" s="31" t="str">
        <f t="shared" si="111"/>
        <v>1-0.030039651011273i</v>
      </c>
      <c r="X165" s="17">
        <f t="shared" si="122"/>
        <v>1.0004510885759879</v>
      </c>
      <c r="Y165" s="17">
        <f t="shared" si="123"/>
        <v>-3.003062016722723E-2</v>
      </c>
      <c r="Z165" s="31" t="str">
        <f t="shared" si="112"/>
        <v>0.999965161456402+0.182895563577946i</v>
      </c>
      <c r="AA165" s="17">
        <f t="shared" si="124"/>
        <v>1.0165535457136641</v>
      </c>
      <c r="AB165" s="17">
        <f t="shared" si="125"/>
        <v>0.18090237302031426</v>
      </c>
      <c r="AC165" s="66" t="str">
        <f t="shared" si="126"/>
        <v>-55.384595356862-575.030782185739i</v>
      </c>
      <c r="AD165" s="64">
        <f t="shared" si="127"/>
        <v>55.233924556047455</v>
      </c>
      <c r="AE165" s="61">
        <f t="shared" si="128"/>
        <v>-95.501523177360227</v>
      </c>
      <c r="AF165" s="31" t="str">
        <f t="shared" si="113"/>
        <v>-10.0808080808081</v>
      </c>
      <c r="AG165" s="31" t="str">
        <f t="shared" si="129"/>
        <v>1854.29944514031i</v>
      </c>
      <c r="AH165" s="31">
        <f t="shared" si="130"/>
        <v>1854.2994451403099</v>
      </c>
      <c r="AI165" s="31">
        <f t="shared" si="131"/>
        <v>1.5707963267948966</v>
      </c>
      <c r="AJ165" s="31" t="str">
        <f t="shared" si="114"/>
        <v>0.93422954814171+2.48983647406936i</v>
      </c>
      <c r="AK165" s="31">
        <f t="shared" si="132"/>
        <v>2.6593364804453019</v>
      </c>
      <c r="AL165" s="31">
        <f t="shared" si="133"/>
        <v>1.2118352207853826</v>
      </c>
      <c r="AM165" s="31" t="str">
        <f t="shared" si="115"/>
        <v>1+1837.91040492439i</v>
      </c>
      <c r="AN165" s="31">
        <f t="shared" si="134"/>
        <v>1837.9106769724517</v>
      </c>
      <c r="AO165" s="31">
        <f t="shared" si="135"/>
        <v>1.570252230685184</v>
      </c>
      <c r="AP165" s="31" t="str">
        <f t="shared" si="116"/>
        <v>1+2.15395423547498i</v>
      </c>
      <c r="AQ165" s="31">
        <f t="shared" si="136"/>
        <v>2.3747671145863136</v>
      </c>
      <c r="AR165" s="31">
        <f t="shared" si="137"/>
        <v>1.136145277481174</v>
      </c>
      <c r="AS165" s="58" t="str">
        <f t="shared" si="138"/>
        <v>-8.89660708766549+0.679541219453655i</v>
      </c>
      <c r="AT165" s="49">
        <f t="shared" si="139"/>
        <v>19.009752281860145</v>
      </c>
      <c r="AU165" s="61">
        <f t="shared" si="140"/>
        <v>175.63211128634845</v>
      </c>
      <c r="AV165" s="58" t="str">
        <f t="shared" si="117"/>
        <v>883.49210254923+5078.18681695173i</v>
      </c>
      <c r="AW165" s="64">
        <f t="shared" si="141"/>
        <v>74.2436768379076</v>
      </c>
      <c r="AX165" s="61">
        <f t="shared" si="142"/>
        <v>80.130588108988249</v>
      </c>
    </row>
    <row r="166" spans="14:50" x14ac:dyDescent="0.4">
      <c r="N166" s="10">
        <v>48</v>
      </c>
      <c r="O166" s="50">
        <f t="shared" si="107"/>
        <v>301.99517204020168</v>
      </c>
      <c r="P166" s="48" t="str">
        <f t="shared" si="108"/>
        <v>5120.19230769231</v>
      </c>
      <c r="Q166" s="17" t="str">
        <f t="shared" si="109"/>
        <v>1+8.86712433761399i</v>
      </c>
      <c r="R166" s="17">
        <f t="shared" si="118"/>
        <v>8.9233342433591698</v>
      </c>
      <c r="S166" s="17">
        <f t="shared" si="119"/>
        <v>1.458494690160536</v>
      </c>
      <c r="T166" s="17" t="str">
        <f t="shared" si="110"/>
        <v>1+0.0000189559413617437i</v>
      </c>
      <c r="U166" s="17">
        <f t="shared" si="120"/>
        <v>1.0000000001796638</v>
      </c>
      <c r="V166" s="17">
        <f t="shared" si="121"/>
        <v>1.8955941359473235E-5</v>
      </c>
      <c r="W166" s="31" t="str">
        <f t="shared" si="111"/>
        <v>1-0.0307393643703952i</v>
      </c>
      <c r="X166" s="17">
        <f t="shared" si="122"/>
        <v>1.0004723427071316</v>
      </c>
      <c r="Y166" s="17">
        <f t="shared" si="123"/>
        <v>-3.0729687893383987E-2</v>
      </c>
      <c r="Z166" s="31" t="str">
        <f t="shared" si="112"/>
        <v>0.999963519566426+0.187155748528551i</v>
      </c>
      <c r="AA166" s="17">
        <f t="shared" si="124"/>
        <v>1.0173270441067397</v>
      </c>
      <c r="AB166" s="17">
        <f t="shared" si="125"/>
        <v>0.18502196605696855</v>
      </c>
      <c r="AC166" s="66" t="str">
        <f t="shared" si="126"/>
        <v>-58.2612728909067-561.275930046191i</v>
      </c>
      <c r="AD166" s="64">
        <f t="shared" si="127"/>
        <v>55.030072196316986</v>
      </c>
      <c r="AE166" s="61">
        <f t="shared" si="128"/>
        <v>-95.926163287325025</v>
      </c>
      <c r="AF166" s="31" t="str">
        <f t="shared" si="113"/>
        <v>-10.0808080808081</v>
      </c>
      <c r="AG166" s="31" t="str">
        <f t="shared" si="129"/>
        <v>1897.49162780217i</v>
      </c>
      <c r="AH166" s="31">
        <f t="shared" si="130"/>
        <v>1897.4916278021699</v>
      </c>
      <c r="AI166" s="31">
        <f t="shared" si="131"/>
        <v>1.5707963267948966</v>
      </c>
      <c r="AJ166" s="31" t="str">
        <f t="shared" si="114"/>
        <v>0.931129882240978+2.5478322158402i</v>
      </c>
      <c r="AK166" s="31">
        <f t="shared" si="132"/>
        <v>2.7126466518282992</v>
      </c>
      <c r="AL166" s="31">
        <f t="shared" si="133"/>
        <v>1.2204159149405946</v>
      </c>
      <c r="AM166" s="31" t="str">
        <f t="shared" si="115"/>
        <v>1+1880.72083779901i</v>
      </c>
      <c r="AN166" s="31">
        <f t="shared" si="134"/>
        <v>1880.7211036545029</v>
      </c>
      <c r="AO166" s="31">
        <f t="shared" si="135"/>
        <v>1.5702646158223466</v>
      </c>
      <c r="AP166" s="31" t="str">
        <f t="shared" si="116"/>
        <v>1+2.204126274855i</v>
      </c>
      <c r="AQ166" s="31">
        <f t="shared" si="136"/>
        <v>2.4203662192953734</v>
      </c>
      <c r="AR166" s="31">
        <f t="shared" si="137"/>
        <v>1.1448742908885059</v>
      </c>
      <c r="AS166" s="58" t="str">
        <f t="shared" si="138"/>
        <v>-8.88934689960355+0.677549797342926i</v>
      </c>
      <c r="AT166" s="49">
        <f t="shared" si="139"/>
        <v>19.002554652728101</v>
      </c>
      <c r="AU166" s="61">
        <f t="shared" si="140"/>
        <v>175.64131896960356</v>
      </c>
      <c r="AV166" s="58" t="str">
        <f t="shared" si="117"/>
        <v>898.197058195997+4949.90153493803i</v>
      </c>
      <c r="AW166" s="64">
        <f t="shared" si="141"/>
        <v>74.032626849045087</v>
      </c>
      <c r="AX166" s="61">
        <f t="shared" si="142"/>
        <v>79.715155682278507</v>
      </c>
    </row>
    <row r="167" spans="14:50" x14ac:dyDescent="0.4">
      <c r="N167" s="10">
        <v>49</v>
      </c>
      <c r="O167" s="50">
        <f t="shared" si="107"/>
        <v>309.02954325135937</v>
      </c>
      <c r="P167" s="48" t="str">
        <f t="shared" si="108"/>
        <v>5120.19230769231</v>
      </c>
      <c r="Q167" s="17" t="str">
        <f t="shared" si="109"/>
        <v>1+9.07366619636251i</v>
      </c>
      <c r="R167" s="17">
        <f t="shared" si="118"/>
        <v>9.1286043973332358</v>
      </c>
      <c r="S167" s="17">
        <f t="shared" si="119"/>
        <v>1.4610302683012011</v>
      </c>
      <c r="T167" s="17" t="str">
        <f t="shared" si="110"/>
        <v>1+0.0000193974819575572i</v>
      </c>
      <c r="U167" s="17">
        <f t="shared" si="120"/>
        <v>1.0000000001881313</v>
      </c>
      <c r="V167" s="17">
        <f t="shared" si="121"/>
        <v>1.9397481955124353E-5</v>
      </c>
      <c r="W167" s="31" t="str">
        <f t="shared" si="111"/>
        <v>1-0.03145537614739i</v>
      </c>
      <c r="X167" s="17">
        <f t="shared" si="122"/>
        <v>1.000494598030681</v>
      </c>
      <c r="Y167" s="17">
        <f t="shared" si="123"/>
        <v>-3.1445007892280205E-2</v>
      </c>
      <c r="Z167" s="31" t="str">
        <f t="shared" si="112"/>
        <v>0.999961800296559+0.191515165934326i</v>
      </c>
      <c r="AA167" s="17">
        <f t="shared" si="124"/>
        <v>1.0181363665222787</v>
      </c>
      <c r="AB167" s="17">
        <f t="shared" si="125"/>
        <v>0.18923097073344308</v>
      </c>
      <c r="AC167" s="66" t="str">
        <f t="shared" si="126"/>
        <v>-60.9950629787228-547.79113223107i</v>
      </c>
      <c r="AD167" s="64">
        <f t="shared" si="127"/>
        <v>54.825813683660158</v>
      </c>
      <c r="AE167" s="61">
        <f t="shared" si="128"/>
        <v>-96.353558935849023</v>
      </c>
      <c r="AF167" s="31" t="str">
        <f t="shared" si="113"/>
        <v>-10.0808080808081</v>
      </c>
      <c r="AG167" s="31" t="str">
        <f t="shared" si="129"/>
        <v>1941.68988564136i</v>
      </c>
      <c r="AH167" s="31">
        <f t="shared" si="130"/>
        <v>1941.68988564136</v>
      </c>
      <c r="AI167" s="31">
        <f t="shared" si="131"/>
        <v>1.5707963267948966</v>
      </c>
      <c r="AJ167" s="31" t="str">
        <f t="shared" si="114"/>
        <v>0.927884133586901+2.60717885197642i</v>
      </c>
      <c r="AK167" s="31">
        <f t="shared" si="132"/>
        <v>2.7673724959888211</v>
      </c>
      <c r="AL167" s="31">
        <f t="shared" si="133"/>
        <v>1.2288787659201226</v>
      </c>
      <c r="AM167" s="31" t="str">
        <f t="shared" si="115"/>
        <v>1+1924.52845375611i</v>
      </c>
      <c r="AN167" s="31">
        <f t="shared" si="134"/>
        <v>1924.5287135599935</v>
      </c>
      <c r="AO167" s="31">
        <f t="shared" si="135"/>
        <v>1.5702767190395264</v>
      </c>
      <c r="AP167" s="31" t="str">
        <f t="shared" si="116"/>
        <v>1+2.25546697116101i</v>
      </c>
      <c r="AQ167" s="31">
        <f t="shared" si="136"/>
        <v>2.4672112309241423</v>
      </c>
      <c r="AR167" s="31">
        <f t="shared" si="137"/>
        <v>1.1534719394472728</v>
      </c>
      <c r="AS167" s="58" t="str">
        <f t="shared" si="138"/>
        <v>-8.88230263622271+0.675700497543449i</v>
      </c>
      <c r="AT167" s="49">
        <f t="shared" si="139"/>
        <v>18.995571727878882</v>
      </c>
      <c r="AU167" s="61">
        <f t="shared" si="140"/>
        <v>175.64973576524528</v>
      </c>
      <c r="AV167" s="58" t="str">
        <f t="shared" si="117"/>
        <v>911.919349290903+4824.43222351304i</v>
      </c>
      <c r="AW167" s="64">
        <f t="shared" si="141"/>
        <v>73.82138541153904</v>
      </c>
      <c r="AX167" s="61">
        <f t="shared" si="142"/>
        <v>79.296176829396273</v>
      </c>
    </row>
    <row r="168" spans="14:50" x14ac:dyDescent="0.4">
      <c r="N168" s="10">
        <v>50</v>
      </c>
      <c r="O168" s="50">
        <f t="shared" si="107"/>
        <v>316.22776601683825</v>
      </c>
      <c r="P168" s="48" t="str">
        <f t="shared" si="108"/>
        <v>5120.19230769231</v>
      </c>
      <c r="Q168" s="17" t="str">
        <f t="shared" si="109"/>
        <v>1+9.28501903303251i</v>
      </c>
      <c r="R168" s="17">
        <f t="shared" si="118"/>
        <v>9.3387139609143155</v>
      </c>
      <c r="S168" s="17">
        <f t="shared" si="119"/>
        <v>1.4635094997138571</v>
      </c>
      <c r="T168" s="17" t="str">
        <f t="shared" si="110"/>
        <v>1+0.0000198493073550606i</v>
      </c>
      <c r="U168" s="17">
        <f t="shared" si="120"/>
        <v>1.0000000001969975</v>
      </c>
      <c r="V168" s="17">
        <f t="shared" si="121"/>
        <v>1.9849307352453759E-5</v>
      </c>
      <c r="W168" s="31" t="str">
        <f t="shared" si="111"/>
        <v>1-0.0321880659811794i</v>
      </c>
      <c r="X168" s="17">
        <f t="shared" si="122"/>
        <v>1.0005179016847268</v>
      </c>
      <c r="Y168" s="17">
        <f t="shared" si="123"/>
        <v>-3.217695650623828E-2</v>
      </c>
      <c r="Z168" s="31" t="str">
        <f t="shared" si="112"/>
        <v>0.99996+0.195976127216081i</v>
      </c>
      <c r="AA168" s="17">
        <f t="shared" si="124"/>
        <v>1.0189831421758722</v>
      </c>
      <c r="AB168" s="17">
        <f t="shared" si="125"/>
        <v>0.19353102383668147</v>
      </c>
      <c r="AC168" s="66" t="str">
        <f t="shared" si="126"/>
        <v>-63.5913954186565-534.571456573024i</v>
      </c>
      <c r="AD168" s="64">
        <f t="shared" si="127"/>
        <v>54.621141277769915</v>
      </c>
      <c r="AE168" s="61">
        <f t="shared" si="128"/>
        <v>-96.783895005440058</v>
      </c>
      <c r="AF168" s="31" t="str">
        <f t="shared" si="113"/>
        <v>-10.0808080808081</v>
      </c>
      <c r="AG168" s="31" t="str">
        <f t="shared" si="129"/>
        <v>1986.91765315922i</v>
      </c>
      <c r="AH168" s="31">
        <f t="shared" si="130"/>
        <v>1986.91765315922</v>
      </c>
      <c r="AI168" s="31">
        <f t="shared" si="131"/>
        <v>1.5707963267948966</v>
      </c>
      <c r="AJ168" s="31" t="str">
        <f t="shared" si="114"/>
        <v>0.924485417511419+2.66790784885005i</v>
      </c>
      <c r="AK168" s="31">
        <f t="shared" si="132"/>
        <v>2.8235448601265332</v>
      </c>
      <c r="AL168" s="31">
        <f t="shared" si="133"/>
        <v>1.2372244219497621</v>
      </c>
      <c r="AM168" s="31" t="str">
        <f t="shared" si="115"/>
        <v>1+1969.35648017354i</v>
      </c>
      <c r="AN168" s="31">
        <f t="shared" si="134"/>
        <v>1969.3567340635659</v>
      </c>
      <c r="AO168" s="31">
        <f t="shared" si="135"/>
        <v>1.5702885467539947</v>
      </c>
      <c r="AP168" s="31" t="str">
        <f t="shared" si="116"/>
        <v>1+2.30800354590975i</v>
      </c>
      <c r="AQ168" s="31">
        <f t="shared" si="136"/>
        <v>2.5153290774632215</v>
      </c>
      <c r="AR168" s="31">
        <f t="shared" si="137"/>
        <v>1.1619376964284784</v>
      </c>
      <c r="AS168" s="58" t="str">
        <f t="shared" si="138"/>
        <v>-8.87546927072743+0.674002971935571i</v>
      </c>
      <c r="AT168" s="49">
        <f t="shared" si="139"/>
        <v>18.988799798813801</v>
      </c>
      <c r="AU168" s="61">
        <f t="shared" si="140"/>
        <v>175.65729472100588</v>
      </c>
      <c r="AV168" s="58" t="str">
        <f t="shared" si="117"/>
        <v>924.706226363108+4701.71174632017i</v>
      </c>
      <c r="AW168" s="64">
        <f t="shared" si="141"/>
        <v>73.609941076583709</v>
      </c>
      <c r="AX168" s="61">
        <f t="shared" si="142"/>
        <v>78.87339971556581</v>
      </c>
    </row>
    <row r="169" spans="14:50" x14ac:dyDescent="0.4">
      <c r="N169" s="10">
        <v>51</v>
      </c>
      <c r="O169" s="50">
        <f t="shared" si="107"/>
        <v>323.59365692962825</v>
      </c>
      <c r="P169" s="48" t="str">
        <f t="shared" si="108"/>
        <v>5120.19230769231</v>
      </c>
      <c r="Q169" s="17" t="str">
        <f t="shared" si="109"/>
        <v>1+9.50129490969559i</v>
      </c>
      <c r="R169" s="17">
        <f t="shared" si="118"/>
        <v>9.5537743829864077</v>
      </c>
      <c r="S169" s="17">
        <f t="shared" si="119"/>
        <v>1.465933576943008</v>
      </c>
      <c r="T169" s="17" t="str">
        <f t="shared" si="110"/>
        <v>1+0.0000203116571180604i</v>
      </c>
      <c r="U169" s="17">
        <f t="shared" si="120"/>
        <v>1.0000000002062817</v>
      </c>
      <c r="V169" s="17">
        <f t="shared" si="121"/>
        <v>2.031165711526712E-5</v>
      </c>
      <c r="W169" s="31" t="str">
        <f t="shared" si="111"/>
        <v>1-0.0329378223536113i</v>
      </c>
      <c r="X169" s="17">
        <f t="shared" si="122"/>
        <v>1.0005423030244138</v>
      </c>
      <c r="Y169" s="17">
        <f t="shared" si="123"/>
        <v>-3.292591868518311E-2</v>
      </c>
      <c r="Z169" s="31" t="str">
        <f t="shared" si="112"/>
        <v>0.999958114858078+0.200540997634537i</v>
      </c>
      <c r="AA169" s="17">
        <f t="shared" si="124"/>
        <v>1.019869071598299</v>
      </c>
      <c r="AB169" s="17">
        <f t="shared" si="125"/>
        <v>0.19792377098818029</v>
      </c>
      <c r="AC169" s="66" t="str">
        <f t="shared" si="126"/>
        <v>-66.0554548550674-521.61199630541i</v>
      </c>
      <c r="AD169" s="64">
        <f t="shared" si="127"/>
        <v>54.416046512963597</v>
      </c>
      <c r="AE169" s="61">
        <f t="shared" si="128"/>
        <v>-97.21735615331157</v>
      </c>
      <c r="AF169" s="31" t="str">
        <f t="shared" si="113"/>
        <v>-10.0808080808081</v>
      </c>
      <c r="AG169" s="31" t="str">
        <f t="shared" si="129"/>
        <v>2033.19891071675i</v>
      </c>
      <c r="AH169" s="31">
        <f t="shared" si="130"/>
        <v>2033.1989107167501</v>
      </c>
      <c r="AI169" s="31">
        <f t="shared" si="131"/>
        <v>1.5707963267948966</v>
      </c>
      <c r="AJ169" s="31" t="str">
        <f t="shared" si="114"/>
        <v>0.920926524882062+2.73005140577908i</v>
      </c>
      <c r="AK169" s="31">
        <f t="shared" si="132"/>
        <v>2.881195297515891</v>
      </c>
      <c r="AL169" s="31">
        <f t="shared" si="133"/>
        <v>1.2454536597799901</v>
      </c>
      <c r="AM169" s="31" t="str">
        <f t="shared" si="115"/>
        <v>1+2015.22868546428i</v>
      </c>
      <c r="AN169" s="31">
        <f t="shared" si="134"/>
        <v>2015.228933575064</v>
      </c>
      <c r="AO169" s="31">
        <f t="shared" si="135"/>
        <v>1.5703001052369492</v>
      </c>
      <c r="AP169" s="31" t="str">
        <f t="shared" si="116"/>
        <v>1+2.36176385468858i</v>
      </c>
      <c r="AQ169" s="31">
        <f t="shared" si="136"/>
        <v>2.5647472595391267</v>
      </c>
      <c r="AR169" s="31">
        <f t="shared" si="137"/>
        <v>1.1702711955787655</v>
      </c>
      <c r="AS169" s="58" t="str">
        <f t="shared" si="138"/>
        <v>-8.86884157224837+0.67246656256615i</v>
      </c>
      <c r="AT169" s="49">
        <f t="shared" si="139"/>
        <v>18.982234907859421</v>
      </c>
      <c r="AU169" s="61">
        <f t="shared" si="140"/>
        <v>175.66393070690265</v>
      </c>
      <c r="AV169" s="58" t="str">
        <f t="shared" si="117"/>
        <v>936.601990241164+4581.67407275175i</v>
      </c>
      <c r="AW169" s="64">
        <f t="shared" si="141"/>
        <v>73.398281420823025</v>
      </c>
      <c r="AX169" s="61">
        <f t="shared" si="142"/>
        <v>78.446574553591063</v>
      </c>
    </row>
    <row r="170" spans="14:50" x14ac:dyDescent="0.4">
      <c r="N170" s="10">
        <v>52</v>
      </c>
      <c r="O170" s="50">
        <f t="shared" si="107"/>
        <v>331.13112148259137</v>
      </c>
      <c r="P170" s="48" t="str">
        <f t="shared" si="108"/>
        <v>5120.19230769231</v>
      </c>
      <c r="Q170" s="17" t="str">
        <f t="shared" si="109"/>
        <v>1+9.72260849868433i</v>
      </c>
      <c r="R170" s="17">
        <f t="shared" si="118"/>
        <v>9.7738997344298948</v>
      </c>
      <c r="S170" s="17">
        <f t="shared" si="119"/>
        <v>1.4683036712504318</v>
      </c>
      <c r="T170" s="17" t="str">
        <f t="shared" si="110"/>
        <v>1+0.0000207847763905207i</v>
      </c>
      <c r="U170" s="17">
        <f t="shared" si="120"/>
        <v>1.0000000002160034</v>
      </c>
      <c r="V170" s="17">
        <f t="shared" si="121"/>
        <v>2.0784776387527645E-5</v>
      </c>
      <c r="W170" s="31" t="str">
        <f t="shared" si="111"/>
        <v>1-0.033705042795439i</v>
      </c>
      <c r="X170" s="17">
        <f t="shared" si="122"/>
        <v>1.0005678537259941</v>
      </c>
      <c r="Y170" s="17">
        <f t="shared" si="123"/>
        <v>-3.3692288175845818E-2</v>
      </c>
      <c r="Z170" s="31" t="str">
        <f t="shared" si="112"/>
        <v>0.999956140872154+0.205212197544414i</v>
      </c>
      <c r="AA170" s="17">
        <f t="shared" si="124"/>
        <v>1.0207959295025324</v>
      </c>
      <c r="AB170" s="17">
        <f t="shared" si="125"/>
        <v>0.20241086505150077</v>
      </c>
      <c r="AC170" s="66" t="str">
        <f t="shared" si="126"/>
        <v>-68.3921891067232-508.907876236982i</v>
      </c>
      <c r="AD170" s="64">
        <f t="shared" si="127"/>
        <v>54.210520190941374</v>
      </c>
      <c r="AE170" s="61">
        <f t="shared" si="128"/>
        <v>-97.654126735906459</v>
      </c>
      <c r="AF170" s="31" t="str">
        <f t="shared" si="113"/>
        <v>-10.0808080808081</v>
      </c>
      <c r="AG170" s="31" t="str">
        <f t="shared" si="129"/>
        <v>2080.55819724932i</v>
      </c>
      <c r="AH170" s="31">
        <f t="shared" si="130"/>
        <v>2080.5581972493201</v>
      </c>
      <c r="AI170" s="31">
        <f t="shared" si="131"/>
        <v>1.5707963267948966</v>
      </c>
      <c r="AJ170" s="31" t="str">
        <f t="shared" si="114"/>
        <v>0.917199906810414+2.79364247209996i</v>
      </c>
      <c r="AK170" s="31">
        <f t="shared" si="132"/>
        <v>2.9403560891452942</v>
      </c>
      <c r="AL170" s="31">
        <f t="shared" si="133"/>
        <v>1.2535673780600345</v>
      </c>
      <c r="AM170" s="31" t="str">
        <f t="shared" si="115"/>
        <v>1+2062.16939167876i</v>
      </c>
      <c r="AN170" s="31">
        <f t="shared" si="134"/>
        <v>2062.1696341418537</v>
      </c>
      <c r="AO170" s="31">
        <f t="shared" si="135"/>
        <v>1.5703114006168384</v>
      </c>
      <c r="AP170" s="31" t="str">
        <f t="shared" si="116"/>
        <v>1+2.41677640192481i</v>
      </c>
      <c r="AQ170" s="31">
        <f t="shared" si="136"/>
        <v>2.6154938686413756</v>
      </c>
      <c r="AR170" s="31">
        <f t="shared" si="137"/>
        <v>1.1784722244723407</v>
      </c>
      <c r="AS170" s="58" t="str">
        <f t="shared" si="138"/>
        <v>-8.8624141294267+0.671100306654002i</v>
      </c>
      <c r="AT170" s="49">
        <f t="shared" si="139"/>
        <v>18.975872873285159</v>
      </c>
      <c r="AU170" s="61">
        <f t="shared" si="140"/>
        <v>175.66958041416029</v>
      </c>
      <c r="AV170" s="58" t="str">
        <f t="shared" si="117"/>
        <v>947.648134883122+4464.2543338569i</v>
      </c>
      <c r="AW170" s="64">
        <f t="shared" si="141"/>
        <v>73.186393064226522</v>
      </c>
      <c r="AX170" s="61">
        <f t="shared" si="142"/>
        <v>78.01545367825382</v>
      </c>
    </row>
    <row r="171" spans="14:50" x14ac:dyDescent="0.4">
      <c r="N171" s="10">
        <v>53</v>
      </c>
      <c r="O171" s="50">
        <f t="shared" si="107"/>
        <v>338.84415613920277</v>
      </c>
      <c r="P171" s="48" t="str">
        <f t="shared" si="108"/>
        <v>5120.19230769231</v>
      </c>
      <c r="Q171" s="17" t="str">
        <f t="shared" si="109"/>
        <v>1+9.94907714339294i</v>
      </c>
      <c r="R171" s="17">
        <f t="shared" si="118"/>
        <v>9.9992067687984036</v>
      </c>
      <c r="S171" s="17">
        <f t="shared" si="119"/>
        <v>1.4706209327241682</v>
      </c>
      <c r="T171" s="17" t="str">
        <f t="shared" si="110"/>
        <v>1+0.0000212689160265422i</v>
      </c>
      <c r="U171" s="17">
        <f t="shared" si="120"/>
        <v>1.0000000002261835</v>
      </c>
      <c r="V171" s="17">
        <f t="shared" si="121"/>
        <v>2.1268916023335083E-5</v>
      </c>
      <c r="W171" s="31" t="str">
        <f t="shared" si="111"/>
        <v>1-0.0344901340970955i</v>
      </c>
      <c r="X171" s="17">
        <f t="shared" si="122"/>
        <v>1.0005946078957431</v>
      </c>
      <c r="Y171" s="17">
        <f t="shared" si="123"/>
        <v>-3.4476467714569227E-2</v>
      </c>
      <c r="Z171" s="31" t="str">
        <f t="shared" si="112"/>
        <v>0.99995407385514+0.209992203677732i</v>
      </c>
      <c r="AA171" s="17">
        <f t="shared" si="124"/>
        <v>1.0217655677428756</v>
      </c>
      <c r="AB171" s="17">
        <f t="shared" si="125"/>
        <v>0.20699396440691867</v>
      </c>
      <c r="AC171" s="66" t="str">
        <f t="shared" si="126"/>
        <v>-70.606317319965-496.454258496475i</v>
      </c>
      <c r="AD171" s="64">
        <f t="shared" si="127"/>
        <v>54.004552373145088</v>
      </c>
      <c r="AE171" s="61">
        <f t="shared" si="128"/>
        <v>-98.094390727325916</v>
      </c>
      <c r="AF171" s="31" t="str">
        <f t="shared" si="113"/>
        <v>-10.0808080808081</v>
      </c>
      <c r="AG171" s="31" t="str">
        <f t="shared" si="129"/>
        <v>2129.0206232775i</v>
      </c>
      <c r="AH171" s="31">
        <f t="shared" si="130"/>
        <v>2129.0206232774999</v>
      </c>
      <c r="AI171" s="31">
        <f t="shared" si="131"/>
        <v>1.5707963267948966</v>
      </c>
      <c r="AJ171" s="31" t="str">
        <f t="shared" si="114"/>
        <v>0.913297658639911+2.85871476463777i</v>
      </c>
      <c r="AK171" s="31">
        <f t="shared" si="132"/>
        <v>3.0010602657786003</v>
      </c>
      <c r="AL171" s="31">
        <f t="shared" si="133"/>
        <v>1.261566590796346</v>
      </c>
      <c r="AM171" s="31" t="str">
        <f t="shared" si="115"/>
        <v>1+2110.20348740073i</v>
      </c>
      <c r="AN171" s="31">
        <f t="shared" si="134"/>
        <v>2110.2037243446903</v>
      </c>
      <c r="AO171" s="31">
        <f t="shared" si="135"/>
        <v>1.5703224388826105</v>
      </c>
      <c r="AP171" s="31" t="str">
        <f t="shared" si="116"/>
        <v>1+2.47307035599915i</v>
      </c>
      <c r="AQ171" s="31">
        <f t="shared" si="136"/>
        <v>2.6675976056597746</v>
      </c>
      <c r="AR171" s="31">
        <f t="shared" si="137"/>
        <v>1.18654071774834</v>
      </c>
      <c r="AS171" s="58" t="str">
        <f t="shared" si="138"/>
        <v>-8.8561813726984+0.669912942993538i</v>
      </c>
      <c r="AT171" s="49">
        <f t="shared" si="139"/>
        <v>18.969709313464573</v>
      </c>
      <c r="AU171" s="61">
        <f t="shared" si="140"/>
        <v>175.67418234272859</v>
      </c>
      <c r="AV171" s="58" t="str">
        <f t="shared" si="117"/>
        <v>957.883485614955+4349.38887066352i</v>
      </c>
      <c r="AW171" s="64">
        <f t="shared" si="141"/>
        <v>72.974261686609651</v>
      </c>
      <c r="AX171" s="61">
        <f t="shared" si="142"/>
        <v>77.579791615402669</v>
      </c>
    </row>
    <row r="172" spans="14:50" x14ac:dyDescent="0.4">
      <c r="N172" s="10">
        <v>54</v>
      </c>
      <c r="O172" s="50">
        <f t="shared" si="107"/>
        <v>346.73685045253183</v>
      </c>
      <c r="P172" s="48" t="str">
        <f t="shared" si="108"/>
        <v>5120.19230769231</v>
      </c>
      <c r="Q172" s="17" t="str">
        <f t="shared" si="109"/>
        <v>1+10.1808209204946i</v>
      </c>
      <c r="R172" s="17">
        <f t="shared" si="118"/>
        <v>10.229814984406145</v>
      </c>
      <c r="S172" s="17">
        <f t="shared" si="119"/>
        <v>1.4728864904084054</v>
      </c>
      <c r="T172" s="17" t="str">
        <f t="shared" si="110"/>
        <v>1+0.0000217643327233685i</v>
      </c>
      <c r="U172" s="17">
        <f t="shared" si="120"/>
        <v>1.000000000236843</v>
      </c>
      <c r="V172" s="17">
        <f t="shared" si="121"/>
        <v>2.1764332719932013E-5</v>
      </c>
      <c r="W172" s="31" t="str">
        <f t="shared" si="111"/>
        <v>1-0.0352935125243813i</v>
      </c>
      <c r="X172" s="17">
        <f t="shared" si="122"/>
        <v>1.0006226221839623</v>
      </c>
      <c r="Y172" s="17">
        <f t="shared" si="123"/>
        <v>-3.5278869223749093E-2</v>
      </c>
      <c r="Z172" s="31" t="str">
        <f t="shared" si="112"/>
        <v>0.999951909422615+0.214883550457016i</v>
      </c>
      <c r="AA172" s="17">
        <f t="shared" si="124"/>
        <v>1.0227799183670683</v>
      </c>
      <c r="AB172" s="17">
        <f t="shared" si="125"/>
        <v>0.21167473108674401</v>
      </c>
      <c r="AC172" s="66" t="str">
        <f t="shared" si="126"/>
        <v>-72.7023379448561-484.246347875974i</v>
      </c>
      <c r="AD172" s="64">
        <f t="shared" si="127"/>
        <v>53.798132372772059</v>
      </c>
      <c r="AE172" s="61">
        <f t="shared" si="128"/>
        <v>-98.538331631180739</v>
      </c>
      <c r="AF172" s="31" t="str">
        <f t="shared" si="113"/>
        <v>-10.0808080808081</v>
      </c>
      <c r="AG172" s="31" t="str">
        <f t="shared" si="129"/>
        <v>2178.61188422107i</v>
      </c>
      <c r="AH172" s="31">
        <f t="shared" si="130"/>
        <v>2178.6118842210699</v>
      </c>
      <c r="AI172" s="31">
        <f t="shared" si="131"/>
        <v>1.5707963267948966</v>
      </c>
      <c r="AJ172" s="31" t="str">
        <f t="shared" si="114"/>
        <v>0.909211503178996+2.92530278558335i</v>
      </c>
      <c r="AK172" s="31">
        <f t="shared" si="132"/>
        <v>3.0633416304510859</v>
      </c>
      <c r="AL172" s="31">
        <f t="shared" si="133"/>
        <v>1.269452420919249</v>
      </c>
      <c r="AM172" s="31" t="str">
        <f t="shared" si="115"/>
        <v>1+2159.35644094358i</v>
      </c>
      <c r="AN172" s="31">
        <f t="shared" si="134"/>
        <v>2159.3566724940379</v>
      </c>
      <c r="AO172" s="31">
        <f t="shared" si="135"/>
        <v>1.5703332258868892</v>
      </c>
      <c r="AP172" s="31" t="str">
        <f t="shared" si="116"/>
        <v>1+2.5306755647112i</v>
      </c>
      <c r="AQ172" s="31">
        <f t="shared" si="136"/>
        <v>2.7210877997275928</v>
      </c>
      <c r="AR172" s="31">
        <f t="shared" si="137"/>
        <v>1.1944767502741733</v>
      </c>
      <c r="AS172" s="58" t="str">
        <f t="shared" si="138"/>
        <v>-8.850137595237+0.668912919602893i</v>
      </c>
      <c r="AT172" s="49">
        <f t="shared" si="139"/>
        <v>18.963739669996823</v>
      </c>
      <c r="AU172" s="61">
        <f t="shared" si="140"/>
        <v>175.67767677835675</v>
      </c>
      <c r="AV172" s="58" t="str">
        <f t="shared" si="117"/>
        <v>967.344332672152+4237.01527555672i</v>
      </c>
      <c r="AW172" s="64">
        <f t="shared" si="141"/>
        <v>72.761872042768886</v>
      </c>
      <c r="AX172" s="61">
        <f t="shared" si="142"/>
        <v>77.13934514717603</v>
      </c>
    </row>
    <row r="173" spans="14:50" x14ac:dyDescent="0.4">
      <c r="N173" s="10">
        <v>55</v>
      </c>
      <c r="O173" s="50">
        <f t="shared" si="107"/>
        <v>354.81338923357566</v>
      </c>
      <c r="P173" s="48" t="str">
        <f t="shared" si="108"/>
        <v>5120.19230769231</v>
      </c>
      <c r="Q173" s="17" t="str">
        <f t="shared" si="109"/>
        <v>1+10.4179627036074i</v>
      </c>
      <c r="R173" s="17">
        <f t="shared" si="118"/>
        <v>10.465846687858312</v>
      </c>
      <c r="S173" s="17">
        <f t="shared" si="119"/>
        <v>1.4751014524524015</v>
      </c>
      <c r="T173" s="17" t="str">
        <f t="shared" si="110"/>
        <v>1+0.0000222712891574897i</v>
      </c>
      <c r="U173" s="17">
        <f t="shared" si="120"/>
        <v>1.0000000002480052</v>
      </c>
      <c r="V173" s="17">
        <f t="shared" si="121"/>
        <v>2.2271289153807439E-5</v>
      </c>
      <c r="W173" s="31" t="str">
        <f t="shared" si="111"/>
        <v>1-0.0361156040391724i</v>
      </c>
      <c r="X173" s="17">
        <f t="shared" si="122"/>
        <v>1.0006519559043066</v>
      </c>
      <c r="Y173" s="17">
        <f t="shared" si="123"/>
        <v>-3.6099914011927352E-2</v>
      </c>
      <c r="Z173" s="31" t="str">
        <f t="shared" si="112"/>
        <v>0.999949642983528+0.219888831339072i</v>
      </c>
      <c r="AA173" s="17">
        <f t="shared" si="124"/>
        <v>1.0238409967619719</v>
      </c>
      <c r="AB173" s="17">
        <f t="shared" si="125"/>
        <v>0.2164548287647492</v>
      </c>
      <c r="AC173" s="66" t="str">
        <f t="shared" si="126"/>
        <v>-74.6845365340358-472.279396800509i</v>
      </c>
      <c r="AD173" s="64">
        <f t="shared" si="127"/>
        <v>53.591248746504611</v>
      </c>
      <c r="AE173" s="61">
        <f t="shared" si="128"/>
        <v>-98.986132385383115</v>
      </c>
      <c r="AF173" s="31" t="str">
        <f t="shared" si="113"/>
        <v>-10.0808080808081</v>
      </c>
      <c r="AG173" s="31" t="str">
        <f t="shared" si="129"/>
        <v>2229.35827402299i</v>
      </c>
      <c r="AH173" s="31">
        <f t="shared" si="130"/>
        <v>2229.3582740229899</v>
      </c>
      <c r="AI173" s="31">
        <f t="shared" si="131"/>
        <v>1.5707963267948966</v>
      </c>
      <c r="AJ173" s="31" t="str">
        <f t="shared" si="114"/>
        <v>0.904932773144099+2.99344184078681i</v>
      </c>
      <c r="AK173" s="31">
        <f t="shared" si="132"/>
        <v>3.1272347814136685</v>
      </c>
      <c r="AL173" s="31">
        <f t="shared" si="133"/>
        <v>1.2772260939787907</v>
      </c>
      <c r="AM173" s="31" t="str">
        <f t="shared" si="115"/>
        <v>1+2209.65431385387i</v>
      </c>
      <c r="AN173" s="31">
        <f t="shared" si="134"/>
        <v>2209.6545401335966</v>
      </c>
      <c r="AO173" s="31">
        <f t="shared" si="135"/>
        <v>1.5703437673490772</v>
      </c>
      <c r="AP173" s="31" t="str">
        <f t="shared" si="116"/>
        <v>1+2.58962257110511i</v>
      </c>
      <c r="AQ173" s="31">
        <f t="shared" si="136"/>
        <v>2.775994427367793</v>
      </c>
      <c r="AR173" s="31">
        <f t="shared" si="137"/>
        <v>1.202280530272547</v>
      </c>
      <c r="AS173" s="58" t="str">
        <f t="shared" si="138"/>
        <v>-8.84427697252759+0.668108402468175i</v>
      </c>
      <c r="AT173" s="49">
        <f t="shared" si="139"/>
        <v>18.957959229721354</v>
      </c>
      <c r="AU173" s="61">
        <f t="shared" si="140"/>
        <v>175.6800057601792</v>
      </c>
      <c r="AV173" s="58" t="str">
        <f t="shared" si="117"/>
        <v>976.06455998689+4127.07242732913i</v>
      </c>
      <c r="AW173" s="64">
        <f t="shared" si="141"/>
        <v>72.549207976225958</v>
      </c>
      <c r="AX173" s="61">
        <f t="shared" si="142"/>
        <v>76.693873374796084</v>
      </c>
    </row>
    <row r="174" spans="14:50" x14ac:dyDescent="0.4">
      <c r="N174" s="10">
        <v>56</v>
      </c>
      <c r="O174" s="50">
        <f t="shared" si="107"/>
        <v>363.07805477010152</v>
      </c>
      <c r="P174" s="48" t="str">
        <f t="shared" si="108"/>
        <v>5120.19230769231</v>
      </c>
      <c r="Q174" s="17" t="str">
        <f t="shared" si="109"/>
        <v>1+10.6606282284438i</v>
      </c>
      <c r="R174" s="17">
        <f t="shared" si="118"/>
        <v>10.707427059060116</v>
      </c>
      <c r="S174" s="17">
        <f t="shared" si="119"/>
        <v>1.4772669062767043</v>
      </c>
      <c r="T174" s="17" t="str">
        <f t="shared" si="110"/>
        <v>1+0.0000227900541239176i</v>
      </c>
      <c r="U174" s="17">
        <f t="shared" si="120"/>
        <v>1.0000000002596932</v>
      </c>
      <c r="V174" s="17">
        <f t="shared" si="121"/>
        <v>2.2790054119971986E-5</v>
      </c>
      <c r="W174" s="31" t="str">
        <f t="shared" si="111"/>
        <v>1-0.0369568445252718i</v>
      </c>
      <c r="X174" s="17">
        <f t="shared" si="122"/>
        <v>1.0006826711586772</v>
      </c>
      <c r="Y174" s="17">
        <f t="shared" si="123"/>
        <v>-3.6940032977564007E-2</v>
      </c>
      <c r="Z174" s="31" t="str">
        <f t="shared" si="112"/>
        <v>0.999947269730458+0.225010700190078i</v>
      </c>
      <c r="AA174" s="17">
        <f t="shared" si="124"/>
        <v>1.0249509048932182</v>
      </c>
      <c r="AB174" s="17">
        <f t="shared" si="125"/>
        <v>0.22133592059318363</v>
      </c>
      <c r="AC174" s="66" t="str">
        <f t="shared" si="126"/>
        <v>-76.5569933654463-460.548709949735i</v>
      </c>
      <c r="AD174" s="64">
        <f t="shared" si="127"/>
        <v>53.383889286021564</v>
      </c>
      <c r="AE174" s="61">
        <f t="shared" si="128"/>
        <v>-99.437975259407963</v>
      </c>
      <c r="AF174" s="31" t="str">
        <f t="shared" si="113"/>
        <v>-10.0808080808081</v>
      </c>
      <c r="AG174" s="31" t="str">
        <f t="shared" si="129"/>
        <v>2281.28669909085i</v>
      </c>
      <c r="AH174" s="31">
        <f t="shared" si="130"/>
        <v>2281.2866990908501</v>
      </c>
      <c r="AI174" s="31">
        <f t="shared" si="131"/>
        <v>1.5707963267948966</v>
      </c>
      <c r="AJ174" s="31" t="str">
        <f t="shared" si="114"/>
        <v>0.900452392775154+3.06316805847715i</v>
      </c>
      <c r="AK174" s="31">
        <f t="shared" si="132"/>
        <v>3.1927751355410501</v>
      </c>
      <c r="AL174" s="31">
        <f t="shared" si="133"/>
        <v>1.284888931988216</v>
      </c>
      <c r="AM174" s="31" t="str">
        <f t="shared" si="115"/>
        <v>1+2261.12377472961i</v>
      </c>
      <c r="AN174" s="31">
        <f t="shared" si="134"/>
        <v>2261.1239958585816</v>
      </c>
      <c r="AO174" s="31">
        <f t="shared" si="135"/>
        <v>1.5703540688583879</v>
      </c>
      <c r="AP174" s="31" t="str">
        <f t="shared" si="116"/>
        <v>1+2.64994262966393i</v>
      </c>
      <c r="AQ174" s="31">
        <f t="shared" si="136"/>
        <v>2.8323481319410906</v>
      </c>
      <c r="AR174" s="31">
        <f t="shared" si="137"/>
        <v>1.2099523924469673</v>
      </c>
      <c r="AS174" s="58" t="str">
        <f t="shared" si="138"/>
        <v>-8.83859358055862+0.667507285241402i</v>
      </c>
      <c r="AT174" s="49">
        <f t="shared" si="139"/>
        <v>18.952363145574957</v>
      </c>
      <c r="AU174" s="61">
        <f t="shared" si="140"/>
        <v>175.68111303975311</v>
      </c>
      <c r="AV174" s="58" t="str">
        <f t="shared" si="117"/>
        <v>984.07576920668+4019.50052048867i</v>
      </c>
      <c r="AW174" s="64">
        <f t="shared" si="141"/>
        <v>72.33625243159652</v>
      </c>
      <c r="AX174" s="61">
        <f t="shared" si="142"/>
        <v>76.243137780345137</v>
      </c>
    </row>
    <row r="175" spans="14:50" x14ac:dyDescent="0.4">
      <c r="N175" s="10">
        <v>57</v>
      </c>
      <c r="O175" s="50">
        <f t="shared" si="107"/>
        <v>371.53522909717265</v>
      </c>
      <c r="P175" s="48" t="str">
        <f t="shared" si="108"/>
        <v>5120.19230769231</v>
      </c>
      <c r="Q175" s="17" t="str">
        <f t="shared" si="109"/>
        <v>1+10.9089461594769i</v>
      </c>
      <c r="R175" s="17">
        <f t="shared" si="118"/>
        <v>10.954684217738356</v>
      </c>
      <c r="S175" s="17">
        <f t="shared" si="119"/>
        <v>1.4793839187550304</v>
      </c>
      <c r="T175" s="17" t="str">
        <f t="shared" si="110"/>
        <v>1+0.000023320902678704i</v>
      </c>
      <c r="U175" s="17">
        <f t="shared" si="120"/>
        <v>1.0000000002719323</v>
      </c>
      <c r="V175" s="17">
        <f t="shared" si="121"/>
        <v>2.3320902674476199E-5</v>
      </c>
      <c r="W175" s="31" t="str">
        <f t="shared" si="111"/>
        <v>1-0.0378176800195199i</v>
      </c>
      <c r="X175" s="17">
        <f t="shared" si="122"/>
        <v>1.0007148329679434</v>
      </c>
      <c r="Y175" s="17">
        <f t="shared" si="123"/>
        <v>-3.7799666816499052E-2</v>
      </c>
      <c r="Z175" s="31" t="str">
        <f t="shared" si="112"/>
        <v>0.999944784629416+0.230251872692692i</v>
      </c>
      <c r="AA175" s="17">
        <f t="shared" si="124"/>
        <v>1.0261118346389251</v>
      </c>
      <c r="AB175" s="17">
        <f t="shared" si="125"/>
        <v>0.2263196668808134</v>
      </c>
      <c r="AC175" s="66" t="str">
        <f t="shared" si="126"/>
        <v>-78.3235908913204-449.049648556063i</v>
      </c>
      <c r="AD175" s="64">
        <f t="shared" si="127"/>
        <v>53.176041009364226</v>
      </c>
      <c r="AE175" s="61">
        <f t="shared" si="128"/>
        <v>-99.894041743553657</v>
      </c>
      <c r="AF175" s="31" t="str">
        <f t="shared" si="113"/>
        <v>-10.0808080808081</v>
      </c>
      <c r="AG175" s="31" t="str">
        <f t="shared" si="129"/>
        <v>2334.42469256296i</v>
      </c>
      <c r="AH175" s="31">
        <f t="shared" si="130"/>
        <v>2334.42469256296</v>
      </c>
      <c r="AI175" s="31">
        <f t="shared" si="131"/>
        <v>1.5707963267948966</v>
      </c>
      <c r="AJ175" s="31" t="str">
        <f t="shared" si="114"/>
        <v>0.895760858584706+3.13451840841791i</v>
      </c>
      <c r="AK175" s="31">
        <f t="shared" si="132"/>
        <v>3.2599989522211752</v>
      </c>
      <c r="AL175" s="31">
        <f t="shared" si="133"/>
        <v>1.2924423474309386</v>
      </c>
      <c r="AM175" s="31" t="str">
        <f t="shared" si="115"/>
        <v>1+2313.79211336022i</v>
      </c>
      <c r="AN175" s="31">
        <f t="shared" si="134"/>
        <v>2313.7923294556822</v>
      </c>
      <c r="AO175" s="31">
        <f t="shared" si="135"/>
        <v>1.570364135876809</v>
      </c>
      <c r="AP175" s="31" t="str">
        <f t="shared" si="116"/>
        <v>1+2.71166772288114i</v>
      </c>
      <c r="AQ175" s="31">
        <f t="shared" si="136"/>
        <v>2.8901802433957973</v>
      </c>
      <c r="AR175" s="31">
        <f t="shared" si="137"/>
        <v>1.2174927911375748</v>
      </c>
      <c r="AS175" s="58" t="str">
        <f t="shared" si="138"/>
        <v>-8.83308141262734+0.667117199756731i</v>
      </c>
      <c r="AT175" s="49">
        <f t="shared" si="139"/>
        <v>18.946946456252547</v>
      </c>
      <c r="AU175" s="61">
        <f t="shared" si="140"/>
        <v>175.68094403246184</v>
      </c>
      <c r="AV175" s="58" t="str">
        <f t="shared" si="117"/>
        <v>991.407398968815+3914.24108937709i</v>
      </c>
      <c r="AW175" s="64">
        <f t="shared" si="141"/>
        <v>72.122987465616774</v>
      </c>
      <c r="AX175" s="61">
        <f t="shared" si="142"/>
        <v>75.78690228890818</v>
      </c>
    </row>
    <row r="176" spans="14:50" x14ac:dyDescent="0.4">
      <c r="N176" s="10">
        <v>58</v>
      </c>
      <c r="O176" s="50">
        <f t="shared" si="107"/>
        <v>380.18939632056163</v>
      </c>
      <c r="P176" s="48" t="str">
        <f t="shared" si="108"/>
        <v>5120.19230769231</v>
      </c>
      <c r="Q176" s="17" t="str">
        <f t="shared" si="109"/>
        <v>1+11.1630481581608i</v>
      </c>
      <c r="R176" s="17">
        <f t="shared" si="118"/>
        <v>11.207749291513315</v>
      </c>
      <c r="S176" s="17">
        <f t="shared" si="119"/>
        <v>1.4814535364102877</v>
      </c>
      <c r="T176" s="17" t="str">
        <f t="shared" si="110"/>
        <v>1+0.0000238641162847793i</v>
      </c>
      <c r="U176" s="17">
        <f t="shared" si="120"/>
        <v>1.000000000284748</v>
      </c>
      <c r="V176" s="17">
        <f t="shared" si="121"/>
        <v>2.3864116280249126E-5</v>
      </c>
      <c r="W176" s="31" t="str">
        <f t="shared" si="111"/>
        <v>1-0.0386985669482906i</v>
      </c>
      <c r="X176" s="17">
        <f t="shared" si="122"/>
        <v>1.0007485094087583</v>
      </c>
      <c r="Y176" s="17">
        <f t="shared" si="123"/>
        <v>-3.8679266233120797E-2</v>
      </c>
      <c r="Z176" s="31" t="str">
        <f t="shared" si="112"/>
        <v>0.99994218240917+0.235615127785952i</v>
      </c>
      <c r="AA176" s="17">
        <f t="shared" si="124"/>
        <v>1.0273260712173151</v>
      </c>
      <c r="AB176" s="17">
        <f t="shared" si="125"/>
        <v>0.23140772260553955</v>
      </c>
      <c r="AC176" s="66" t="str">
        <f t="shared" si="126"/>
        <v>-79.9880210170154-437.77763440202i</v>
      </c>
      <c r="AD176" s="64">
        <f t="shared" si="127"/>
        <v>52.967690152234553</v>
      </c>
      <c r="AE176" s="61">
        <f t="shared" si="128"/>
        <v>-100.35451242974744</v>
      </c>
      <c r="AF176" s="31" t="str">
        <f t="shared" si="113"/>
        <v>-10.0808080808081</v>
      </c>
      <c r="AG176" s="31" t="str">
        <f t="shared" si="129"/>
        <v>2388.80042890683i</v>
      </c>
      <c r="AH176" s="31">
        <f t="shared" si="130"/>
        <v>2388.8004289068299</v>
      </c>
      <c r="AI176" s="31">
        <f t="shared" si="131"/>
        <v>1.5707963267948966</v>
      </c>
      <c r="AJ176" s="31" t="str">
        <f t="shared" si="114"/>
        <v>0.890848219199731+3.20753072150907i</v>
      </c>
      <c r="AK176" s="31">
        <f t="shared" si="132"/>
        <v>3.328943357745191</v>
      </c>
      <c r="AL176" s="31">
        <f t="shared" si="133"/>
        <v>1.2998878374445479</v>
      </c>
      <c r="AM176" s="31" t="str">
        <f t="shared" si="115"/>
        <v>1+2367.68725519599i</v>
      </c>
      <c r="AN176" s="31">
        <f t="shared" si="134"/>
        <v>2367.6874663725193</v>
      </c>
      <c r="AO176" s="31">
        <f t="shared" si="135"/>
        <v>1.5703739737419988</v>
      </c>
      <c r="AP176" s="31" t="str">
        <f t="shared" si="116"/>
        <v>1+2.77483057821818i</v>
      </c>
      <c r="AQ176" s="31">
        <f t="shared" si="136"/>
        <v>2.9495227983208809</v>
      </c>
      <c r="AR176" s="31">
        <f t="shared" si="137"/>
        <v>1.2249022935362472</v>
      </c>
      <c r="AS176" s="58" t="str">
        <f t="shared" si="138"/>
        <v>-8.82773439476688+0.666945527237432i</v>
      </c>
      <c r="AT176" s="49">
        <f t="shared" si="139"/>
        <v>18.941704104647791</v>
      </c>
      <c r="AU176" s="61">
        <f t="shared" si="140"/>
        <v>175.6794457621659</v>
      </c>
      <c r="AV176" s="58" t="str">
        <f t="shared" si="117"/>
        <v>998.086839490254+3811.23702762052i</v>
      </c>
      <c r="AW176" s="64">
        <f t="shared" si="141"/>
        <v>71.909394256882351</v>
      </c>
      <c r="AX176" s="61">
        <f t="shared" si="142"/>
        <v>75.324933332418425</v>
      </c>
    </row>
    <row r="177" spans="14:50" x14ac:dyDescent="0.4">
      <c r="N177" s="10">
        <v>59</v>
      </c>
      <c r="O177" s="50">
        <f t="shared" si="107"/>
        <v>389.04514499428063</v>
      </c>
      <c r="P177" s="48" t="str">
        <f t="shared" si="108"/>
        <v>5120.19230769231</v>
      </c>
      <c r="Q177" s="17" t="str">
        <f t="shared" si="109"/>
        <v>1+11.4230689527385i</v>
      </c>
      <c r="R177" s="17">
        <f t="shared" si="118"/>
        <v>11.466756485555026</v>
      </c>
      <c r="S177" s="17">
        <f t="shared" si="119"/>
        <v>1.4834767856232962</v>
      </c>
      <c r="T177" s="17" t="str">
        <f t="shared" si="110"/>
        <v>1+0.0000244199829611876i</v>
      </c>
      <c r="U177" s="17">
        <f t="shared" si="120"/>
        <v>1.0000000002981677</v>
      </c>
      <c r="V177" s="17">
        <f t="shared" si="121"/>
        <v>2.4419982956333429E-5</v>
      </c>
      <c r="W177" s="31" t="str">
        <f t="shared" si="111"/>
        <v>1-0.0395999723694934i</v>
      </c>
      <c r="X177" s="17">
        <f t="shared" si="122"/>
        <v>1.0007837717567489</v>
      </c>
      <c r="Y177" s="17">
        <f t="shared" si="123"/>
        <v>-3.9579292155241724E-2</v>
      </c>
      <c r="Z177" s="31" t="str">
        <f t="shared" si="112"/>
        <v>0.999939457550063+0.241103309138699i</v>
      </c>
      <c r="AA177" s="17">
        <f t="shared" si="124"/>
        <v>1.0285959967077187</v>
      </c>
      <c r="AB177" s="17">
        <f t="shared" si="125"/>
        <v>0.23660173475520729</v>
      </c>
      <c r="AC177" s="66" t="str">
        <f t="shared" si="126"/>
        <v>-81.553792214304-426.728153538283i</v>
      </c>
      <c r="AD177" s="64">
        <f t="shared" si="127"/>
        <v>52.758822159313183</v>
      </c>
      <c r="AE177" s="61">
        <f t="shared" si="128"/>
        <v>-100.819566883447</v>
      </c>
      <c r="AF177" s="31" t="str">
        <f t="shared" si="113"/>
        <v>-10.0808080808081</v>
      </c>
      <c r="AG177" s="31" t="str">
        <f t="shared" si="129"/>
        <v>2444.44273885762i</v>
      </c>
      <c r="AH177" s="31">
        <f t="shared" si="130"/>
        <v>2444.44273885762</v>
      </c>
      <c r="AI177" s="31">
        <f t="shared" si="131"/>
        <v>1.5707963267948966</v>
      </c>
      <c r="AJ177" s="31" t="str">
        <f t="shared" si="114"/>
        <v>0.885704054253444+3.28224370984546i</v>
      </c>
      <c r="AK177" s="31">
        <f t="shared" si="132"/>
        <v>3.3996463702186843</v>
      </c>
      <c r="AL177" s="31">
        <f t="shared" si="133"/>
        <v>1.3072269781931023</v>
      </c>
      <c r="AM177" s="31" t="str">
        <f t="shared" si="115"/>
        <v>1+2422.83777615451i</v>
      </c>
      <c r="AN177" s="31">
        <f t="shared" si="134"/>
        <v>2422.8379825240754</v>
      </c>
      <c r="AO177" s="31">
        <f t="shared" si="135"/>
        <v>1.570383587670116</v>
      </c>
      <c r="AP177" s="31" t="str">
        <f t="shared" si="116"/>
        <v>1+2.83946468545701i</v>
      </c>
      <c r="AQ177" s="31">
        <f t="shared" si="136"/>
        <v>3.0104085603049753</v>
      </c>
      <c r="AR177" s="31">
        <f t="shared" si="137"/>
        <v>1.2321815729870322</v>
      </c>
      <c r="AS177" s="58" t="str">
        <f t="shared" si="138"/>
        <v>-8.82254639981088+0.666999410072696i</v>
      </c>
      <c r="AT177" s="49">
        <f t="shared" si="139"/>
        <v>18.936630955060629</v>
      </c>
      <c r="AU177" s="61">
        <f t="shared" si="140"/>
        <v>175.67656679995329</v>
      </c>
      <c r="AV177" s="58" t="str">
        <f t="shared" si="117"/>
        <v>1004.13954256268+3710.43260340099i</v>
      </c>
      <c r="AW177" s="64">
        <f t="shared" si="141"/>
        <v>71.695453114373805</v>
      </c>
      <c r="AX177" s="61">
        <f t="shared" si="142"/>
        <v>74.856999916506254</v>
      </c>
    </row>
    <row r="178" spans="14:50" x14ac:dyDescent="0.4">
      <c r="N178" s="10">
        <v>60</v>
      </c>
      <c r="O178" s="50">
        <f t="shared" si="107"/>
        <v>398.10717055349761</v>
      </c>
      <c r="P178" s="48" t="str">
        <f t="shared" si="108"/>
        <v>5120.19230769231</v>
      </c>
      <c r="Q178" s="17" t="str">
        <f t="shared" si="109"/>
        <v>1+11.6891464096771i</v>
      </c>
      <c r="R178" s="17">
        <f t="shared" si="118"/>
        <v>11.731843153864062</v>
      </c>
      <c r="S178" s="17">
        <f t="shared" si="119"/>
        <v>1.4854546728528917</v>
      </c>
      <c r="T178" s="17" t="str">
        <f t="shared" si="110"/>
        <v>1+0.0000249887974357987i</v>
      </c>
      <c r="U178" s="17">
        <f t="shared" si="120"/>
        <v>1.00000000031222</v>
      </c>
      <c r="V178" s="17">
        <f t="shared" si="121"/>
        <v>2.4988797430597366E-5</v>
      </c>
      <c r="W178" s="31" t="str">
        <f t="shared" si="111"/>
        <v>1-0.040522374220214i</v>
      </c>
      <c r="X178" s="17">
        <f t="shared" si="122"/>
        <v>1.0008206946363785</v>
      </c>
      <c r="Y178" s="17">
        <f t="shared" si="123"/>
        <v>-4.0500215952687789E-2</v>
      </c>
      <c r="Z178" s="31" t="str">
        <f t="shared" si="112"/>
        <v>0.999936604272302+0.246719326657331i</v>
      </c>
      <c r="AA178" s="17">
        <f t="shared" si="124"/>
        <v>1.029924093664125</v>
      </c>
      <c r="AB178" s="17">
        <f t="shared" si="125"/>
        <v>0.24190333949043899</v>
      </c>
      <c r="AC178" s="66" t="str">
        <f t="shared" si="126"/>
        <v>-83.0242364746833-415.896759742101i</v>
      </c>
      <c r="AD178" s="64">
        <f t="shared" si="127"/>
        <v>52.549421675687853</v>
      </c>
      <c r="AE178" s="61">
        <f t="shared" si="128"/>
        <v>-101.28938350620915</v>
      </c>
      <c r="AF178" s="31" t="str">
        <f t="shared" si="113"/>
        <v>-10.0808080808081</v>
      </c>
      <c r="AG178" s="31" t="str">
        <f t="shared" si="129"/>
        <v>2501.38112470457i</v>
      </c>
      <c r="AH178" s="31">
        <f t="shared" si="130"/>
        <v>2501.3811247045701</v>
      </c>
      <c r="AI178" s="31">
        <f t="shared" si="131"/>
        <v>1.5707963267948966</v>
      </c>
      <c r="AJ178" s="31" t="str">
        <f t="shared" si="114"/>
        <v>0.880317452282305+3.35869698724245i</v>
      </c>
      <c r="AK178" s="31">
        <f t="shared" si="132"/>
        <v>3.4721469250169008</v>
      </c>
      <c r="AL178" s="31">
        <f t="shared" si="133"/>
        <v>1.3144614194369102</v>
      </c>
      <c r="AM178" s="31" t="str">
        <f t="shared" si="115"/>
        <v>1+2479.27291777199i</v>
      </c>
      <c r="AN178" s="31">
        <f t="shared" si="134"/>
        <v>2479.2731194440107</v>
      </c>
      <c r="AO178" s="31">
        <f t="shared" si="135"/>
        <v>1.5703929827585854</v>
      </c>
      <c r="AP178" s="31" t="str">
        <f t="shared" si="116"/>
        <v>1+2.90560431445683i</v>
      </c>
      <c r="AQ178" s="31">
        <f t="shared" si="136"/>
        <v>3.07287104060521</v>
      </c>
      <c r="AR178" s="31">
        <f t="shared" si="137"/>
        <v>1.2393314023951532</v>
      </c>
      <c r="AS178" s="58" t="str">
        <f t="shared" si="138"/>
        <v>-8.81751126011881+0.66728576405315i</v>
      </c>
      <c r="AT178" s="49">
        <f t="shared" si="139"/>
        <v>18.93172180916882</v>
      </c>
      <c r="AU178" s="61">
        <f t="shared" si="140"/>
        <v>175.67225719778892</v>
      </c>
      <c r="AV178" s="58" t="str">
        <f t="shared" si="117"/>
        <v>1009.58912707002+3611.77347100196i</v>
      </c>
      <c r="AW178" s="64">
        <f t="shared" si="141"/>
        <v>71.481143484856659</v>
      </c>
      <c r="AX178" s="61">
        <f t="shared" si="142"/>
        <v>74.382873691579832</v>
      </c>
    </row>
    <row r="179" spans="14:50" x14ac:dyDescent="0.4">
      <c r="N179" s="10">
        <v>61</v>
      </c>
      <c r="O179" s="50">
        <f t="shared" si="107"/>
        <v>407.38027780411272</v>
      </c>
      <c r="P179" s="48" t="str">
        <f t="shared" si="108"/>
        <v>5120.19230769231</v>
      </c>
      <c r="Q179" s="17" t="str">
        <f t="shared" si="109"/>
        <v>1+11.9614216067664i</v>
      </c>
      <c r="R179" s="17">
        <f t="shared" si="118"/>
        <v>12.003149872213465</v>
      </c>
      <c r="S179" s="17">
        <f t="shared" si="119"/>
        <v>1.4873881848661561</v>
      </c>
      <c r="T179" s="17" t="str">
        <f t="shared" si="110"/>
        <v>1+0.0000255708613015761i</v>
      </c>
      <c r="U179" s="17">
        <f t="shared" si="120"/>
        <v>1.0000000003269345</v>
      </c>
      <c r="V179" s="17">
        <f t="shared" si="121"/>
        <v>2.5570861296002768E-5</v>
      </c>
      <c r="W179" s="31" t="str">
        <f t="shared" si="111"/>
        <v>1-0.0414662615701233i</v>
      </c>
      <c r="X179" s="17">
        <f t="shared" si="122"/>
        <v>1.0008593561777808</v>
      </c>
      <c r="Y179" s="17">
        <f t="shared" si="123"/>
        <v>-4.1442519659594834E-2</v>
      </c>
      <c r="Z179" s="31" t="str">
        <f t="shared" si="112"/>
        <v>0.999933616523702+0.252466158028673i</v>
      </c>
      <c r="AA179" s="17">
        <f t="shared" si="124"/>
        <v>1.0313129488200605</v>
      </c>
      <c r="AB179" s="17">
        <f t="shared" si="125"/>
        <v>0.24731415912351681</v>
      </c>
      <c r="AC179" s="66" t="str">
        <f t="shared" si="126"/>
        <v>-84.402516109094-405.279077734473i</v>
      </c>
      <c r="AD179" s="64">
        <f t="shared" si="127"/>
        <v>52.339472538492949</v>
      </c>
      <c r="AE179" s="61">
        <f t="shared" si="128"/>
        <v>-101.76413938851128</v>
      </c>
      <c r="AF179" s="31" t="str">
        <f t="shared" si="113"/>
        <v>-10.0808080808081</v>
      </c>
      <c r="AG179" s="31" t="str">
        <f t="shared" si="129"/>
        <v>2559.64577593354i</v>
      </c>
      <c r="AH179" s="31">
        <f t="shared" si="130"/>
        <v>2559.6457759335399</v>
      </c>
      <c r="AI179" s="31">
        <f t="shared" si="131"/>
        <v>1.5707963267948966</v>
      </c>
      <c r="AJ179" s="31" t="str">
        <f t="shared" si="114"/>
        <v>0.874676987581337+3.43693109023967i</v>
      </c>
      <c r="AK179" s="31">
        <f t="shared" si="132"/>
        <v>3.5464849008081809</v>
      </c>
      <c r="AL179" s="31">
        <f t="shared" si="133"/>
        <v>1.3215928793070326</v>
      </c>
      <c r="AM179" s="31" t="str">
        <f t="shared" si="115"/>
        <v>1+2537.02260270754i</v>
      </c>
      <c r="AN179" s="31">
        <f t="shared" si="134"/>
        <v>2537.0227997889456</v>
      </c>
      <c r="AO179" s="31">
        <f t="shared" si="135"/>
        <v>1.5704021639888008</v>
      </c>
      <c r="AP179" s="31" t="str">
        <f t="shared" si="116"/>
        <v>1+2.9732845333244i</v>
      </c>
      <c r="AQ179" s="31">
        <f t="shared" si="136"/>
        <v>3.1369445191310117</v>
      </c>
      <c r="AR179" s="31">
        <f t="shared" si="137"/>
        <v>1.246352647765119</v>
      </c>
      <c r="AS179" s="58" t="str">
        <f t="shared" si="138"/>
        <v>-8.81262277899204+0.667811290960128i</v>
      </c>
      <c r="AT179" s="49">
        <f t="shared" si="139"/>
        <v>18.926971420770403</v>
      </c>
      <c r="AU179" s="61">
        <f t="shared" si="140"/>
        <v>175.66646841783094</v>
      </c>
      <c r="AV179" s="58" t="str">
        <f t="shared" si="117"/>
        <v>1014.45748016823+3515.20667904861i</v>
      </c>
      <c r="AW179" s="64">
        <f t="shared" si="141"/>
        <v>71.26644395926337</v>
      </c>
      <c r="AX179" s="61">
        <f t="shared" si="142"/>
        <v>73.902329029319702</v>
      </c>
    </row>
    <row r="180" spans="14:50" x14ac:dyDescent="0.4">
      <c r="N180" s="10">
        <v>62</v>
      </c>
      <c r="O180" s="50">
        <f t="shared" si="107"/>
        <v>416.86938347033572</v>
      </c>
      <c r="P180" s="48" t="str">
        <f t="shared" si="108"/>
        <v>5120.19230769231</v>
      </c>
      <c r="Q180" s="17" t="str">
        <f t="shared" si="109"/>
        <v>1+12.2400389079196i</v>
      </c>
      <c r="R180" s="17">
        <f t="shared" si="118"/>
        <v>12.280820512790894</v>
      </c>
      <c r="S180" s="17">
        <f t="shared" si="119"/>
        <v>1.4892782889776173</v>
      </c>
      <c r="T180" s="17" t="str">
        <f t="shared" si="110"/>
        <v>1+0.000026166483176486i</v>
      </c>
      <c r="U180" s="17">
        <f t="shared" si="120"/>
        <v>1.0000000003423424</v>
      </c>
      <c r="V180" s="17">
        <f t="shared" si="121"/>
        <v>2.6166483170514069E-5</v>
      </c>
      <c r="W180" s="31" t="str">
        <f t="shared" si="111"/>
        <v>1-0.042432134880788i</v>
      </c>
      <c r="X180" s="17">
        <f t="shared" si="122"/>
        <v>1.0008998381808949</v>
      </c>
      <c r="Y180" s="17">
        <f t="shared" si="123"/>
        <v>-4.2406696200400149E-2</v>
      </c>
      <c r="Z180" s="31" t="str">
        <f t="shared" si="112"/>
        <v>0.99993048796685+0.258346850298787i</v>
      </c>
      <c r="AA180" s="17">
        <f t="shared" si="124"/>
        <v>1.0327652568831538</v>
      </c>
      <c r="AB180" s="17">
        <f t="shared" si="125"/>
        <v>0.25283579890766361</v>
      </c>
      <c r="AC180" s="66" t="str">
        <f t="shared" si="126"/>
        <v>-85.69163040122-394.87080617297i</v>
      </c>
      <c r="AD180" s="64">
        <f t="shared" si="127"/>
        <v>52.12895776886878</v>
      </c>
      <c r="AE180" s="61">
        <f t="shared" si="128"/>
        <v>-102.24401015243555</v>
      </c>
      <c r="AF180" s="31" t="str">
        <f t="shared" si="113"/>
        <v>-10.0808080808081</v>
      </c>
      <c r="AG180" s="31" t="str">
        <f t="shared" si="129"/>
        <v>2619.26758523383i</v>
      </c>
      <c r="AH180" s="31">
        <f t="shared" si="130"/>
        <v>2619.2675852338298</v>
      </c>
      <c r="AI180" s="31">
        <f t="shared" si="131"/>
        <v>1.5707963267948966</v>
      </c>
      <c r="AJ180" s="31" t="str">
        <f t="shared" si="114"/>
        <v>0.86877069596868+3.51698749959411i</v>
      </c>
      <c r="AK180" s="31">
        <f t="shared" si="132"/>
        <v>3.6227011461718912</v>
      </c>
      <c r="AL180" s="31">
        <f t="shared" si="133"/>
        <v>1.3286231392899654</v>
      </c>
      <c r="AM180" s="31" t="str">
        <f t="shared" si="115"/>
        <v>1+2596.11745060851i</v>
      </c>
      <c r="AN180" s="31">
        <f t="shared" si="134"/>
        <v>2596.1176432037955</v>
      </c>
      <c r="AO180" s="31">
        <f t="shared" si="135"/>
        <v>1.5704111362287656</v>
      </c>
      <c r="AP180" s="31" t="str">
        <f t="shared" si="116"/>
        <v>1+3.04254122700762i</v>
      </c>
      <c r="AQ180" s="31">
        <f t="shared" si="136"/>
        <v>3.2026640657491749</v>
      </c>
      <c r="AR180" s="31">
        <f t="shared" si="137"/>
        <v>1.253246261885864</v>
      </c>
      <c r="AS180" s="58" t="str">
        <f t="shared" si="138"/>
        <v>-8.8078747408158+0.668582491413819i</v>
      </c>
      <c r="AT180" s="49">
        <f t="shared" si="139"/>
        <v>18.922374509311958</v>
      </c>
      <c r="AU180" s="61">
        <f t="shared" si="140"/>
        <v>175.65915325812239</v>
      </c>
      <c r="AV180" s="58" t="str">
        <f t="shared" si="117"/>
        <v>1018.76485428794+3420.68067582951i</v>
      </c>
      <c r="AW180" s="64">
        <f t="shared" si="141"/>
        <v>71.051332278180737</v>
      </c>
      <c r="AX180" s="61">
        <f t="shared" si="142"/>
        <v>73.415143105686766</v>
      </c>
    </row>
    <row r="181" spans="14:50" x14ac:dyDescent="0.4">
      <c r="N181" s="10">
        <v>63</v>
      </c>
      <c r="O181" s="50">
        <f t="shared" si="107"/>
        <v>426.57951880159294</v>
      </c>
      <c r="P181" s="48" t="str">
        <f t="shared" si="108"/>
        <v>5120.19230769231</v>
      </c>
      <c r="Q181" s="17" t="str">
        <f t="shared" si="109"/>
        <v>1+12.5251460397179i</v>
      </c>
      <c r="R181" s="17">
        <f t="shared" si="118"/>
        <v>12.565002320583192</v>
      </c>
      <c r="S181" s="17">
        <f t="shared" si="119"/>
        <v>1.4911259332963485</v>
      </c>
      <c r="T181" s="17" t="str">
        <f t="shared" si="110"/>
        <v>1+0.0000267759788671303i</v>
      </c>
      <c r="U181" s="17">
        <f t="shared" si="120"/>
        <v>1.0000000003584764</v>
      </c>
      <c r="V181" s="17">
        <f t="shared" si="121"/>
        <v>2.6775978860731261E-5</v>
      </c>
      <c r="W181" s="31" t="str">
        <f t="shared" si="111"/>
        <v>1-0.0434205062710221i</v>
      </c>
      <c r="X181" s="17">
        <f t="shared" si="122"/>
        <v>1.0009422262872276</v>
      </c>
      <c r="Y181" s="17">
        <f t="shared" si="123"/>
        <v>-4.3393249619512804E-2</v>
      </c>
      <c r="Z181" s="31" t="str">
        <f t="shared" si="112"/>
        <v>0.999927211965656+0.264364521488554i</v>
      </c>
      <c r="AA181" s="17">
        <f t="shared" si="124"/>
        <v>1.0342838244173027</v>
      </c>
      <c r="AB181" s="17">
        <f t="shared" si="125"/>
        <v>0.25846984363143699</v>
      </c>
      <c r="AC181" s="66" t="str">
        <f t="shared" si="126"/>
        <v>-86.8944221221279-384.667720435392i</v>
      </c>
      <c r="AD181" s="64">
        <f t="shared" si="127"/>
        <v>51.917859564352902</v>
      </c>
      <c r="AE181" s="61">
        <f t="shared" si="128"/>
        <v>-102.72916978384897</v>
      </c>
      <c r="AF181" s="31" t="str">
        <f t="shared" si="113"/>
        <v>-10.0808080808081</v>
      </c>
      <c r="AG181" s="31" t="str">
        <f t="shared" si="129"/>
        <v>2680.27816487791i</v>
      </c>
      <c r="AH181" s="31">
        <f t="shared" si="130"/>
        <v>2680.2781648779101</v>
      </c>
      <c r="AI181" s="31">
        <f t="shared" si="131"/>
        <v>1.5707963267948966</v>
      </c>
      <c r="AJ181" s="31" t="str">
        <f t="shared" si="114"/>
        <v>0.862586049407954+3.59890866227367i</v>
      </c>
      <c r="AK181" s="31">
        <f t="shared" si="132"/>
        <v>3.7008375068383748</v>
      </c>
      <c r="AL181" s="31">
        <f t="shared" si="133"/>
        <v>1.335554039426289</v>
      </c>
      <c r="AM181" s="31" t="str">
        <f t="shared" si="115"/>
        <v>1+2656.58879434546i</v>
      </c>
      <c r="AN181" s="31">
        <f t="shared" si="134"/>
        <v>2656.5889825567419</v>
      </c>
      <c r="AO181" s="31">
        <f t="shared" si="135"/>
        <v>1.5704199042356743</v>
      </c>
      <c r="AP181" s="31" t="str">
        <f t="shared" si="116"/>
        <v>1+3.11341111632218i</v>
      </c>
      <c r="AQ181" s="31">
        <f t="shared" si="136"/>
        <v>3.270065561917455</v>
      </c>
      <c r="AR181" s="31">
        <f t="shared" si="137"/>
        <v>1.2600132781783457</v>
      </c>
      <c r="AS181" s="58" t="str">
        <f t="shared" si="138"/>
        <v>-8.80326091996663+0.669605677891662i</v>
      </c>
      <c r="AT181" s="49">
        <f t="shared" si="139"/>
        <v>18.917925772224471</v>
      </c>
      <c r="AU181" s="61">
        <f t="shared" si="140"/>
        <v>175.6502657753305</v>
      </c>
      <c r="AV181" s="58" t="str">
        <f t="shared" si="117"/>
        <v>1022.52996013599+3328.14531205144i</v>
      </c>
      <c r="AW181" s="64">
        <f t="shared" si="141"/>
        <v>70.835785336577374</v>
      </c>
      <c r="AX181" s="61">
        <f t="shared" si="142"/>
        <v>72.92109599148155</v>
      </c>
    </row>
    <row r="182" spans="14:50" x14ac:dyDescent="0.4">
      <c r="N182" s="10">
        <v>64</v>
      </c>
      <c r="O182" s="50">
        <f t="shared" si="107"/>
        <v>436.51583224016622</v>
      </c>
      <c r="P182" s="48" t="str">
        <f t="shared" si="108"/>
        <v>5120.19230769231</v>
      </c>
      <c r="Q182" s="17" t="str">
        <f t="shared" si="109"/>
        <v>1+12.8168941697364i</v>
      </c>
      <c r="R182" s="17">
        <f t="shared" si="118"/>
        <v>12.855845991541084</v>
      </c>
      <c r="S182" s="17">
        <f t="shared" si="119"/>
        <v>1.4929320469799459</v>
      </c>
      <c r="T182" s="17" t="str">
        <f t="shared" si="110"/>
        <v>1+0.000027399671536192i</v>
      </c>
      <c r="U182" s="17">
        <f t="shared" si="120"/>
        <v>1.0000000003753708</v>
      </c>
      <c r="V182" s="17">
        <f t="shared" si="121"/>
        <v>2.7399671529335306E-5</v>
      </c>
      <c r="W182" s="31" t="str">
        <f t="shared" si="111"/>
        <v>1-0.0444318997884194i</v>
      </c>
      <c r="X182" s="17">
        <f t="shared" si="122"/>
        <v>1.0009866101596006</v>
      </c>
      <c r="Y182" s="17">
        <f t="shared" si="123"/>
        <v>-4.4402695314636503E-2</v>
      </c>
      <c r="Z182" s="31" t="str">
        <f t="shared" si="112"/>
        <v>0.999923781571281+0.270522362246891i</v>
      </c>
      <c r="AA182" s="17">
        <f t="shared" si="124"/>
        <v>1.0358715738099242</v>
      </c>
      <c r="AB182" s="17">
        <f t="shared" si="125"/>
        <v>0.26421785401341863</v>
      </c>
      <c r="AC182" s="66" t="str">
        <f t="shared" si="126"/>
        <v>-88.0135839146499-374.665675208286i</v>
      </c>
      <c r="AD182" s="64">
        <f t="shared" si="127"/>
        <v>51.706159291830581</v>
      </c>
      <c r="AE182" s="61">
        <f t="shared" si="128"/>
        <v>-103.21979045374557</v>
      </c>
      <c r="AF182" s="31" t="str">
        <f t="shared" si="113"/>
        <v>-10.0808080808081</v>
      </c>
      <c r="AG182" s="31" t="str">
        <f t="shared" si="129"/>
        <v>2742.70986348268i</v>
      </c>
      <c r="AH182" s="31">
        <f t="shared" si="130"/>
        <v>2742.7098634826798</v>
      </c>
      <c r="AI182" s="31">
        <f t="shared" si="131"/>
        <v>1.5707963267948966</v>
      </c>
      <c r="AJ182" s="31" t="str">
        <f t="shared" si="114"/>
        <v>0.856109929434613+3.68273801396315i</v>
      </c>
      <c r="AK182" s="31">
        <f t="shared" si="132"/>
        <v>3.7809368535808394</v>
      </c>
      <c r="AL182" s="31">
        <f t="shared" si="133"/>
        <v>1.3423874737256167</v>
      </c>
      <c r="AM182" s="31" t="str">
        <f t="shared" si="115"/>
        <v>1+2718.46869662528i</v>
      </c>
      <c r="AN182" s="31">
        <f t="shared" si="134"/>
        <v>2718.4688805523501</v>
      </c>
      <c r="AO182" s="31">
        <f t="shared" si="135"/>
        <v>1.5704284726584352</v>
      </c>
      <c r="AP182" s="31" t="str">
        <f t="shared" si="116"/>
        <v>1+3.18593177742148i</v>
      </c>
      <c r="AQ182" s="31">
        <f t="shared" si="136"/>
        <v>3.3391857226551491</v>
      </c>
      <c r="AR182" s="31">
        <f t="shared" si="137"/>
        <v>1.2666548047186956</v>
      </c>
      <c r="AS182" s="58" t="str">
        <f t="shared" si="138"/>
        <v>-8.79877508852825+0.670886987837513i</v>
      </c>
      <c r="AT182" s="49">
        <f t="shared" si="139"/>
        <v>18.913619896094815</v>
      </c>
      <c r="AU182" s="61">
        <f t="shared" si="140"/>
        <v>175.63976120514658</v>
      </c>
      <c r="AV182" s="58" t="str">
        <f t="shared" si="117"/>
        <v>1025.77005588691+3237.551841348i</v>
      </c>
      <c r="AW182" s="64">
        <f t="shared" si="141"/>
        <v>70.619779187925403</v>
      </c>
      <c r="AX182" s="61">
        <f t="shared" si="142"/>
        <v>72.419970751400953</v>
      </c>
    </row>
    <row r="183" spans="14:50" x14ac:dyDescent="0.4">
      <c r="N183" s="10">
        <v>65</v>
      </c>
      <c r="O183" s="50">
        <f t="shared" si="107"/>
        <v>446.68359215096331</v>
      </c>
      <c r="P183" s="48" t="str">
        <f t="shared" si="108"/>
        <v>5120.19230769231</v>
      </c>
      <c r="Q183" s="17" t="str">
        <f t="shared" si="109"/>
        <v>1+13.1154379866953i</v>
      </c>
      <c r="R183" s="17">
        <f t="shared" si="118"/>
        <v>13.153505752568401</v>
      </c>
      <c r="S183" s="17">
        <f t="shared" si="119"/>
        <v>1.4946975404944658</v>
      </c>
      <c r="T183" s="17" t="str">
        <f t="shared" si="110"/>
        <v>1+0.0000280378918737797i</v>
      </c>
      <c r="U183" s="17">
        <f t="shared" si="120"/>
        <v>1.0000000003930616</v>
      </c>
      <c r="V183" s="17">
        <f t="shared" si="121"/>
        <v>2.8037891866432617E-5</v>
      </c>
      <c r="W183" s="31" t="str">
        <f t="shared" si="111"/>
        <v>1-0.0454668516872103i</v>
      </c>
      <c r="X183" s="17">
        <f t="shared" si="122"/>
        <v>1.0010330836702386</v>
      </c>
      <c r="Y183" s="17">
        <f t="shared" si="123"/>
        <v>-4.5435560273710214E-2</v>
      </c>
      <c r="Z183" s="31" t="str">
        <f t="shared" si="112"/>
        <v>0.999920189507401+0.27682363754248i</v>
      </c>
      <c r="AA183" s="17">
        <f t="shared" si="124"/>
        <v>1.037531547321221</v>
      </c>
      <c r="AB183" s="17">
        <f t="shared" si="125"/>
        <v>0.27008136289293183</v>
      </c>
      <c r="AC183" s="66" t="str">
        <f t="shared" si="126"/>
        <v>-89.0516645562999-364.860606892551i</v>
      </c>
      <c r="AD183" s="64">
        <f t="shared" si="127"/>
        <v>51.493837481173102</v>
      </c>
      <c r="AE183" s="61">
        <f t="shared" si="128"/>
        <v>-103.71604232844899</v>
      </c>
      <c r="AF183" s="31" t="str">
        <f t="shared" si="113"/>
        <v>-10.0808080808081</v>
      </c>
      <c r="AG183" s="31" t="str">
        <f t="shared" si="129"/>
        <v>2806.59578316113i</v>
      </c>
      <c r="AH183" s="31">
        <f t="shared" si="130"/>
        <v>2806.5957831611299</v>
      </c>
      <c r="AI183" s="31">
        <f t="shared" si="131"/>
        <v>1.5707963267948966</v>
      </c>
      <c r="AJ183" s="31" t="str">
        <f t="shared" si="114"/>
        <v>0.849328599329925+3.76852000209443i</v>
      </c>
      <c r="AK183" s="31">
        <f t="shared" si="132"/>
        <v>3.8630431107904473</v>
      </c>
      <c r="AL183" s="31">
        <f t="shared" si="133"/>
        <v>1.3491253857987866</v>
      </c>
      <c r="AM183" s="31" t="str">
        <f t="shared" si="115"/>
        <v>1+2781.78996699125i</v>
      </c>
      <c r="AN183" s="31">
        <f t="shared" si="134"/>
        <v>2781.7901467316296</v>
      </c>
      <c r="AO183" s="31">
        <f t="shared" si="135"/>
        <v>1.5704368460401341</v>
      </c>
      <c r="AP183" s="31" t="str">
        <f t="shared" si="116"/>
        <v>1+3.26014166171997i</v>
      </c>
      <c r="AQ183" s="31">
        <f t="shared" si="136"/>
        <v>3.4100621188597495</v>
      </c>
      <c r="AR183" s="31">
        <f t="shared" si="137"/>
        <v>1.2731720184477779</v>
      </c>
      <c r="AS183" s="58" t="str">
        <f t="shared" si="138"/>
        <v>-8.79441102286027+0.672432396789043i</v>
      </c>
      <c r="AT183" s="49">
        <f t="shared" si="139"/>
        <v>18.90945156670454</v>
      </c>
      <c r="AU183" s="61">
        <f t="shared" si="140"/>
        <v>175.62759588091646</v>
      </c>
      <c r="AV183" s="58" t="str">
        <f t="shared" si="117"/>
        <v>1028.50103276464+3148.85291882769i</v>
      </c>
      <c r="AW183" s="64">
        <f t="shared" si="141"/>
        <v>70.403289047877649</v>
      </c>
      <c r="AX183" s="61">
        <f t="shared" si="142"/>
        <v>71.911553552467481</v>
      </c>
    </row>
    <row r="184" spans="14:50" x14ac:dyDescent="0.4">
      <c r="N184" s="10">
        <v>66</v>
      </c>
      <c r="O184" s="50">
        <f t="shared" ref="O184:O218" si="143">10^(2+(N184/100))</f>
        <v>457.0881896148756</v>
      </c>
      <c r="P184" s="48" t="str">
        <f t="shared" si="108"/>
        <v>5120.19230769231</v>
      </c>
      <c r="Q184" s="17" t="str">
        <f t="shared" si="109"/>
        <v>1+13.4209357824781i</v>
      </c>
      <c r="R184" s="17">
        <f t="shared" si="118"/>
        <v>13.458139443377791</v>
      </c>
      <c r="S184" s="17">
        <f t="shared" si="119"/>
        <v>1.4964233058794485</v>
      </c>
      <c r="T184" s="17" t="str">
        <f t="shared" si="110"/>
        <v>1+0.0000286909782727643i</v>
      </c>
      <c r="U184" s="17">
        <f t="shared" si="120"/>
        <v>1.0000000004115861</v>
      </c>
      <c r="V184" s="17">
        <f t="shared" si="121"/>
        <v>2.8690978264891763E-5</v>
      </c>
      <c r="W184" s="31" t="str">
        <f t="shared" si="111"/>
        <v>1-0.0465259107125907i</v>
      </c>
      <c r="X184" s="17">
        <f t="shared" si="122"/>
        <v>1.00108174509759</v>
      </c>
      <c r="Y184" s="17">
        <f t="shared" si="123"/>
        <v>-4.6492383315424102E-2</v>
      </c>
      <c r="Z184" s="31" t="str">
        <f t="shared" si="112"/>
        <v>0.999916428154766+0.283271688394887i</v>
      </c>
      <c r="AA184" s="17">
        <f t="shared" si="124"/>
        <v>1.0392669112118771</v>
      </c>
      <c r="AB184" s="17">
        <f t="shared" si="125"/>
        <v>0.27606187121315617</v>
      </c>
      <c r="AC184" s="66" t="str">
        <f t="shared" si="126"/>
        <v>-90.0110751099563-355.248535837068i</v>
      </c>
      <c r="AD184" s="64">
        <f t="shared" si="127"/>
        <v>51.280873819705349</v>
      </c>
      <c r="AE184" s="61">
        <f t="shared" si="128"/>
        <v>-104.21809336841811</v>
      </c>
      <c r="AF184" s="31" t="str">
        <f t="shared" si="113"/>
        <v>-10.0808080808081</v>
      </c>
      <c r="AG184" s="31" t="str">
        <f t="shared" si="129"/>
        <v>2871.9697970735i</v>
      </c>
      <c r="AH184" s="31">
        <f t="shared" si="130"/>
        <v>2871.9697970735001</v>
      </c>
      <c r="AI184" s="31">
        <f t="shared" si="131"/>
        <v>1.5707963267948966</v>
      </c>
      <c r="AJ184" s="31" t="str">
        <f t="shared" si="114"/>
        <v>0.842227674983549+3.85630010941308i</v>
      </c>
      <c r="AK184" s="31">
        <f t="shared" si="132"/>
        <v>3.94720128576787</v>
      </c>
      <c r="AL184" s="31">
        <f t="shared" si="133"/>
        <v>1.3557697647070341</v>
      </c>
      <c r="AM184" s="31" t="str">
        <f t="shared" si="115"/>
        <v>1+2846.58617921906i</v>
      </c>
      <c r="AN184" s="31">
        <f t="shared" si="134"/>
        <v>2846.5863548680486</v>
      </c>
      <c r="AO184" s="31">
        <f t="shared" si="135"/>
        <v>1.5704450288204443</v>
      </c>
      <c r="AP184" s="31" t="str">
        <f t="shared" si="116"/>
        <v>1+3.33608011628058i</v>
      </c>
      <c r="AQ184" s="31">
        <f t="shared" si="136"/>
        <v>3.4827331999799598</v>
      </c>
      <c r="AR184" s="31">
        <f t="shared" si="137"/>
        <v>1.2795661595759771</v>
      </c>
      <c r="AS184" s="58" t="str">
        <f t="shared" si="138"/>
        <v>-8.79016250906819+0.674247731458088i</v>
      </c>
      <c r="AT184" s="49">
        <f t="shared" si="139"/>
        <v>18.905415477974053</v>
      </c>
      <c r="AU184" s="61">
        <f t="shared" si="140"/>
        <v>175.61372715102135</v>
      </c>
      <c r="AV184" s="58" t="str">
        <f t="shared" si="117"/>
        <v>1030.73749722441+3062.00259791737i</v>
      </c>
      <c r="AW184" s="64">
        <f t="shared" si="141"/>
        <v>70.186289297679409</v>
      </c>
      <c r="AX184" s="61">
        <f t="shared" si="142"/>
        <v>71.395633782603241</v>
      </c>
    </row>
    <row r="185" spans="14:50" x14ac:dyDescent="0.4">
      <c r="N185" s="10">
        <v>67</v>
      </c>
      <c r="O185" s="50">
        <f t="shared" si="143"/>
        <v>467.7351412871983</v>
      </c>
      <c r="P185" s="48" t="str">
        <f t="shared" si="108"/>
        <v>5120.19230769231</v>
      </c>
      <c r="Q185" s="17" t="str">
        <f t="shared" si="109"/>
        <v>1+13.7335495360598i</v>
      </c>
      <c r="R185" s="17">
        <f t="shared" si="118"/>
        <v>13.769908600256153</v>
      </c>
      <c r="S185" s="17">
        <f t="shared" si="119"/>
        <v>1.4981102170172256</v>
      </c>
      <c r="T185" s="17" t="str">
        <f t="shared" si="110"/>
        <v>1+0.0000293592770081991i</v>
      </c>
      <c r="U185" s="17">
        <f t="shared" si="120"/>
        <v>1.0000000004309835</v>
      </c>
      <c r="V185" s="17">
        <f t="shared" si="121"/>
        <v>2.9359276999763521E-5</v>
      </c>
      <c r="W185" s="31" t="str">
        <f t="shared" si="111"/>
        <v>1-0.0476096383916741i</v>
      </c>
      <c r="X185" s="17">
        <f t="shared" si="122"/>
        <v>1.0011326973322698</v>
      </c>
      <c r="Y185" s="17">
        <f t="shared" si="123"/>
        <v>-4.7573715333258056E-2</v>
      </c>
      <c r="Z185" s="31" t="str">
        <f t="shared" si="112"/>
        <v>0.999912489535042+0.289869933646025i</v>
      </c>
      <c r="AA185" s="17">
        <f t="shared" si="124"/>
        <v>1.0410809599450546</v>
      </c>
      <c r="AB185" s="17">
        <f t="shared" si="125"/>
        <v>0.28216084379380557</v>
      </c>
      <c r="AC185" s="66" t="str">
        <f t="shared" si="126"/>
        <v>-90.894094971787-345.825568409727i</v>
      </c>
      <c r="AD185" s="64">
        <f t="shared" si="127"/>
        <v>51.067247147650683</v>
      </c>
      <c r="AE185" s="61">
        <f t="shared" si="128"/>
        <v>-104.72610911544086</v>
      </c>
      <c r="AF185" s="31" t="str">
        <f t="shared" si="113"/>
        <v>-10.0808080808081</v>
      </c>
      <c r="AG185" s="31" t="str">
        <f t="shared" si="129"/>
        <v>2938.86656738729i</v>
      </c>
      <c r="AH185" s="31">
        <f t="shared" si="130"/>
        <v>2938.8665673872902</v>
      </c>
      <c r="AI185" s="31">
        <f t="shared" si="131"/>
        <v>1.5707963267948966</v>
      </c>
      <c r="AJ185" s="31" t="str">
        <f t="shared" si="114"/>
        <v>0.834792094382909+3.94612487809391i</v>
      </c>
      <c r="AK185" s="31">
        <f t="shared" si="132"/>
        <v>4.0334574987665208</v>
      </c>
      <c r="AL185" s="31">
        <f t="shared" si="133"/>
        <v>1.3623226410268101</v>
      </c>
      <c r="AM185" s="31" t="str">
        <f t="shared" si="115"/>
        <v>1+2912.8916891181i</v>
      </c>
      <c r="AN185" s="31">
        <f t="shared" si="134"/>
        <v>2912.8918607688306</v>
      </c>
      <c r="AO185" s="31">
        <f t="shared" si="135"/>
        <v>1.57045302533798</v>
      </c>
      <c r="AP185" s="31" t="str">
        <f t="shared" si="116"/>
        <v>1+3.41378740467708i</v>
      </c>
      <c r="AQ185" s="31">
        <f t="shared" si="136"/>
        <v>3.5572383170560657</v>
      </c>
      <c r="AR185" s="31">
        <f t="shared" si="137"/>
        <v>1.2858385261901151</v>
      </c>
      <c r="AS185" s="58" t="str">
        <f t="shared" si="138"/>
        <v>-8.78602334742145+0.676338682705712i</v>
      </c>
      <c r="AT185" s="49">
        <f t="shared" si="139"/>
        <v>18.90150633985073</v>
      </c>
      <c r="AU185" s="61">
        <f t="shared" si="140"/>
        <v>175.59811329548154</v>
      </c>
      <c r="AV185" s="58" t="str">
        <f t="shared" si="117"/>
        <v>1032.49284994905+2976.95632572421i</v>
      </c>
      <c r="AW185" s="64">
        <f t="shared" si="141"/>
        <v>69.968753487501402</v>
      </c>
      <c r="AX185" s="61">
        <f t="shared" si="142"/>
        <v>70.872004180040719</v>
      </c>
    </row>
    <row r="186" spans="14:50" x14ac:dyDescent="0.4">
      <c r="N186" s="10">
        <v>68</v>
      </c>
      <c r="O186" s="50">
        <f t="shared" si="143"/>
        <v>478.63009232263886</v>
      </c>
      <c r="P186" s="48" t="str">
        <f t="shared" si="108"/>
        <v>5120.19230769231</v>
      </c>
      <c r="Q186" s="17" t="str">
        <f t="shared" si="109"/>
        <v>1+14.0534449993906i</v>
      </c>
      <c r="R186" s="17">
        <f t="shared" si="118"/>
        <v>14.088978541785655</v>
      </c>
      <c r="S186" s="17">
        <f t="shared" si="119"/>
        <v>1.4997591299057671</v>
      </c>
      <c r="T186" s="17" t="str">
        <f t="shared" si="110"/>
        <v>1+0.0000300431424209196i</v>
      </c>
      <c r="U186" s="17">
        <f t="shared" si="120"/>
        <v>1.0000000004512952</v>
      </c>
      <c r="V186" s="17">
        <f t="shared" si="121"/>
        <v>3.0043142411880716E-5</v>
      </c>
      <c r="W186" s="31" t="str">
        <f t="shared" si="111"/>
        <v>1-0.0487186093312209i</v>
      </c>
      <c r="X186" s="17">
        <f t="shared" si="122"/>
        <v>1.0011860480925452</v>
      </c>
      <c r="Y186" s="17">
        <f t="shared" si="123"/>
        <v>-4.8680119542979267E-2</v>
      </c>
      <c r="Z186" s="31" t="str">
        <f t="shared" si="112"/>
        <v>0.999908365293889+0.296621871772865i</v>
      </c>
      <c r="AA186" s="17">
        <f t="shared" si="124"/>
        <v>1.0429771204579394</v>
      </c>
      <c r="AB186" s="17">
        <f t="shared" si="125"/>
        <v>0.28837970489135101</v>
      </c>
      <c r="AC186" s="66" t="str">
        <f t="shared" si="126"/>
        <v>-91.7028778261002-336.587898913716i</v>
      </c>
      <c r="AD186" s="64">
        <f t="shared" si="127"/>
        <v>50.852935454709169</v>
      </c>
      <c r="AE186" s="61">
        <f t="shared" si="128"/>
        <v>-105.24025246805714</v>
      </c>
      <c r="AF186" s="31" t="str">
        <f t="shared" si="113"/>
        <v>-10.0808080808081</v>
      </c>
      <c r="AG186" s="31" t="str">
        <f t="shared" si="129"/>
        <v>3007.32156365561i</v>
      </c>
      <c r="AH186" s="31">
        <f t="shared" si="130"/>
        <v>3007.3215636556101</v>
      </c>
      <c r="AI186" s="31">
        <f t="shared" si="131"/>
        <v>1.5707963267948966</v>
      </c>
      <c r="AJ186" s="31" t="str">
        <f t="shared" si="114"/>
        <v>0.827006085664646+4.03804193441825i</v>
      </c>
      <c r="AK186" s="31">
        <f t="shared" si="132"/>
        <v>4.1218590138245439</v>
      </c>
      <c r="AL186" s="31">
        <f t="shared" si="133"/>
        <v>1.3687860831279344</v>
      </c>
      <c r="AM186" s="31" t="str">
        <f t="shared" si="115"/>
        <v>1+2980.74165274741i</v>
      </c>
      <c r="AN186" s="31">
        <f t="shared" si="134"/>
        <v>2980.7418204908931</v>
      </c>
      <c r="AO186" s="31">
        <f t="shared" si="135"/>
        <v>1.5704608398325961</v>
      </c>
      <c r="AP186" s="31" t="str">
        <f t="shared" si="116"/>
        <v>1+3.49330472834236i</v>
      </c>
      <c r="AQ186" s="31">
        <f t="shared" si="136"/>
        <v>3.6336177461393886</v>
      </c>
      <c r="AR186" s="31">
        <f t="shared" si="137"/>
        <v>1.2919904690676243</v>
      </c>
      <c r="AS186" s="58" t="str">
        <f t="shared" si="138"/>
        <v>-8.78198735576882+0.678710818360398i</v>
      </c>
      <c r="AT186" s="49">
        <f t="shared" si="139"/>
        <v>18.89771888518391</v>
      </c>
      <c r="AU186" s="61">
        <f t="shared" si="140"/>
        <v>175.58071344220727</v>
      </c>
      <c r="AV186" s="58" t="str">
        <f t="shared" si="117"/>
        <v>1033.77936187836+2893.67093710969i</v>
      </c>
      <c r="AW186" s="64">
        <f t="shared" si="141"/>
        <v>69.750654339893075</v>
      </c>
      <c r="AX186" s="61">
        <f t="shared" si="142"/>
        <v>70.340460974150091</v>
      </c>
    </row>
    <row r="187" spans="14:50" x14ac:dyDescent="0.4">
      <c r="N187" s="10">
        <v>69</v>
      </c>
      <c r="O187" s="50">
        <f t="shared" si="143"/>
        <v>489.77881936844625</v>
      </c>
      <c r="P187" s="48" t="str">
        <f t="shared" si="108"/>
        <v>5120.19230769231</v>
      </c>
      <c r="Q187" s="17" t="str">
        <f t="shared" si="109"/>
        <v>1+14.3807917852795i</v>
      </c>
      <c r="R187" s="17">
        <f t="shared" si="118"/>
        <v>14.41551845656487</v>
      </c>
      <c r="S187" s="17">
        <f t="shared" si="119"/>
        <v>1.5013708829343808</v>
      </c>
      <c r="T187" s="17" t="str">
        <f t="shared" si="110"/>
        <v>1+0.0000307429371054197i</v>
      </c>
      <c r="U187" s="17">
        <f t="shared" si="120"/>
        <v>1.000000000472564</v>
      </c>
      <c r="V187" s="17">
        <f t="shared" si="121"/>
        <v>3.0742937095734362E-5</v>
      </c>
      <c r="W187" s="31" t="str">
        <f t="shared" si="111"/>
        <v>1-0.0498534115223022i</v>
      </c>
      <c r="X187" s="17">
        <f t="shared" si="122"/>
        <v>1.001241910149796</v>
      </c>
      <c r="Y187" s="17">
        <f t="shared" si="123"/>
        <v>-4.9812171733523175E-2</v>
      </c>
      <c r="Z187" s="31" t="str">
        <f t="shared" si="112"/>
        <v>0.999904046683239+0.303531082742373i</v>
      </c>
      <c r="AA187" s="17">
        <f t="shared" si="124"/>
        <v>1.0449589564974664</v>
      </c>
      <c r="AB187" s="17">
        <f t="shared" si="125"/>
        <v>0.29471983354580678</v>
      </c>
      <c r="AC187" s="66" t="str">
        <f t="shared" si="126"/>
        <v>-92.4394575169072-327.531811355546i</v>
      </c>
      <c r="AD187" s="64">
        <f t="shared" si="127"/>
        <v>50.637915877935839</v>
      </c>
      <c r="AE187" s="61">
        <f t="shared" si="128"/>
        <v>-105.76068344510922</v>
      </c>
      <c r="AF187" s="31" t="str">
        <f t="shared" si="113"/>
        <v>-10.0808080808081</v>
      </c>
      <c r="AG187" s="31" t="str">
        <f t="shared" si="129"/>
        <v>3077.37108162359i</v>
      </c>
      <c r="AH187" s="31">
        <f t="shared" si="130"/>
        <v>3077.3710816235898</v>
      </c>
      <c r="AI187" s="31">
        <f t="shared" si="131"/>
        <v>1.5707963267948966</v>
      </c>
      <c r="AJ187" s="31" t="str">
        <f t="shared" si="114"/>
        <v>0.818853133660378+4.13210001402601i</v>
      </c>
      <c r="AK187" s="31">
        <f t="shared" si="132"/>
        <v>4.2124542704246863</v>
      </c>
      <c r="AL187" s="31">
        <f t="shared" si="133"/>
        <v>1.3751621936619456</v>
      </c>
      <c r="AM187" s="31" t="str">
        <f t="shared" si="115"/>
        <v>1+3050.17204505578i</v>
      </c>
      <c r="AN187" s="31">
        <f t="shared" si="134"/>
        <v>3050.172208980955</v>
      </c>
      <c r="AO187" s="31">
        <f t="shared" si="135"/>
        <v>1.5704684764476375</v>
      </c>
      <c r="AP187" s="31" t="str">
        <f t="shared" si="116"/>
        <v>1+3.57467424841396i</v>
      </c>
      <c r="AQ187" s="31">
        <f t="shared" si="136"/>
        <v>3.711912712103278</v>
      </c>
      <c r="AR187" s="31">
        <f t="shared" si="137"/>
        <v>1.2980233867015036</v>
      </c>
      <c r="AS187" s="58" t="str">
        <f t="shared" si="138"/>
        <v>-8.77804837199931+0.681369595833226i</v>
      </c>
      <c r="AT187" s="49">
        <f t="shared" si="139"/>
        <v>18.89404787563042</v>
      </c>
      <c r="AU187" s="61">
        <f t="shared" si="140"/>
        <v>175.56148748328249</v>
      </c>
      <c r="AV187" s="58" t="str">
        <f t="shared" si="117"/>
        <v>1034.60824749064+2812.1046476402i</v>
      </c>
      <c r="AW187" s="64">
        <f t="shared" si="141"/>
        <v>69.531963753566259</v>
      </c>
      <c r="AX187" s="61">
        <f t="shared" si="142"/>
        <v>69.800804038173254</v>
      </c>
    </row>
    <row r="188" spans="14:50" x14ac:dyDescent="0.4">
      <c r="N188" s="10">
        <v>70</v>
      </c>
      <c r="O188" s="50">
        <f t="shared" si="143"/>
        <v>501.18723362727269</v>
      </c>
      <c r="P188" s="48" t="str">
        <f t="shared" si="108"/>
        <v>5120.19230769231</v>
      </c>
      <c r="Q188" s="17" t="str">
        <f t="shared" si="109"/>
        <v>1+14.7157634573251i</v>
      </c>
      <c r="R188" s="17">
        <f t="shared" si="118"/>
        <v>14.74970149297757</v>
      </c>
      <c r="S188" s="17">
        <f t="shared" si="119"/>
        <v>1.5029462971616243</v>
      </c>
      <c r="T188" s="17" t="str">
        <f t="shared" si="110"/>
        <v>1+0.0000314590321021039i</v>
      </c>
      <c r="U188" s="17">
        <f t="shared" si="120"/>
        <v>1.0000000004948353</v>
      </c>
      <c r="V188" s="17">
        <f t="shared" si="121"/>
        <v>3.1459032091725868E-5</v>
      </c>
      <c r="W188" s="31" t="str">
        <f t="shared" si="111"/>
        <v>1-0.0510146466520603i</v>
      </c>
      <c r="X188" s="17">
        <f t="shared" si="122"/>
        <v>1.0013004015644029</v>
      </c>
      <c r="Y188" s="17">
        <f t="shared" si="123"/>
        <v>-5.0970460521171171E-2</v>
      </c>
      <c r="Z188" s="31" t="str">
        <f t="shared" si="112"/>
        <v>0.99989952454274+0.31060122990966i</v>
      </c>
      <c r="AA188" s="17">
        <f t="shared" si="124"/>
        <v>1.0470301730142217</v>
      </c>
      <c r="AB188" s="17">
        <f t="shared" si="125"/>
        <v>0.30118255871420213</v>
      </c>
      <c r="AC188" s="66" t="str">
        <f t="shared" si="126"/>
        <v>-93.1057538459541-318.653681069669i</v>
      </c>
      <c r="AD188" s="64">
        <f t="shared" si="127"/>
        <v>50.42216470109058</v>
      </c>
      <c r="AE188" s="61">
        <f t="shared" si="128"/>
        <v>-106.28755893738564</v>
      </c>
      <c r="AF188" s="31" t="str">
        <f t="shared" si="113"/>
        <v>-10.0808080808081</v>
      </c>
      <c r="AG188" s="31" t="str">
        <f t="shared" si="129"/>
        <v>3149.05226247286i</v>
      </c>
      <c r="AH188" s="31">
        <f t="shared" si="130"/>
        <v>3149.0522624728601</v>
      </c>
      <c r="AI188" s="31">
        <f t="shared" si="131"/>
        <v>1.5707963267948966</v>
      </c>
      <c r="AJ188" s="31" t="str">
        <f t="shared" si="114"/>
        <v>0.810315944865822+4.22834898775602i</v>
      </c>
      <c r="AK188" s="31">
        <f t="shared" si="132"/>
        <v>4.3052929160233857</v>
      </c>
      <c r="AL188" s="31">
        <f t="shared" si="133"/>
        <v>1.3814531062567725</v>
      </c>
      <c r="AM188" s="31" t="str">
        <f t="shared" si="115"/>
        <v>1+3121.21967895623i</v>
      </c>
      <c r="AN188" s="31">
        <f t="shared" si="134"/>
        <v>3121.2198391500128</v>
      </c>
      <c r="AO188" s="31">
        <f t="shared" si="135"/>
        <v>1.5704759392321352</v>
      </c>
      <c r="AP188" s="31" t="str">
        <f t="shared" si="116"/>
        <v>1+3.65793910808848i</v>
      </c>
      <c r="AQ188" s="31">
        <f t="shared" si="136"/>
        <v>3.792165412858878</v>
      </c>
      <c r="AR188" s="31">
        <f t="shared" si="137"/>
        <v>1.3039387205381154</v>
      </c>
      <c r="AS188" s="58" t="str">
        <f t="shared" si="138"/>
        <v>-8.77420025559614+0.684320374490584i</v>
      </c>
      <c r="AT188" s="49">
        <f t="shared" si="139"/>
        <v>18.890488106635242</v>
      </c>
      <c r="AU188" s="61">
        <f t="shared" si="140"/>
        <v>175.54039599161709</v>
      </c>
      <c r="AV188" s="58" t="str">
        <f t="shared" si="117"/>
        <v>1034.98973555504+2732.21704554905i</v>
      </c>
      <c r="AW188" s="64">
        <f t="shared" si="141"/>
        <v>69.312652807725826</v>
      </c>
      <c r="AX188" s="61">
        <f t="shared" si="142"/>
        <v>69.252837054231478</v>
      </c>
    </row>
    <row r="189" spans="14:50" x14ac:dyDescent="0.4">
      <c r="N189" s="10">
        <v>71</v>
      </c>
      <c r="O189" s="50">
        <f t="shared" si="143"/>
        <v>512.86138399136519</v>
      </c>
      <c r="P189" s="48" t="str">
        <f t="shared" si="108"/>
        <v>5120.19230769231</v>
      </c>
      <c r="Q189" s="17" t="str">
        <f t="shared" si="109"/>
        <v>1+15.058537621942i</v>
      </c>
      <c r="R189" s="17">
        <f t="shared" si="118"/>
        <v>15.091704851057836</v>
      </c>
      <c r="S189" s="17">
        <f t="shared" si="119"/>
        <v>1.5044861765948503</v>
      </c>
      <c r="T189" s="17" t="str">
        <f t="shared" si="110"/>
        <v>1+0.0000321918070940182i</v>
      </c>
      <c r="U189" s="17">
        <f t="shared" si="120"/>
        <v>1.0000000005181562</v>
      </c>
      <c r="V189" s="17">
        <f t="shared" si="121"/>
        <v>3.2191807082897947E-5</v>
      </c>
      <c r="W189" s="31" t="str">
        <f t="shared" si="111"/>
        <v>1-0.0522029304227321i</v>
      </c>
      <c r="X189" s="17">
        <f t="shared" si="122"/>
        <v>1.0013616459325374</v>
      </c>
      <c r="Y189" s="17">
        <f t="shared" si="123"/>
        <v>-5.2155587606924916E-2</v>
      </c>
      <c r="Z189" s="31" t="str">
        <f t="shared" si="112"/>
        <v>0.999894789280324+0.317836061960338i</v>
      </c>
      <c r="AA189" s="17">
        <f t="shared" si="124"/>
        <v>1.0491946206078258</v>
      </c>
      <c r="AB189" s="17">
        <f t="shared" si="125"/>
        <v>0.30776915419210682</v>
      </c>
      <c r="AC189" s="66" t="str">
        <f t="shared" si="126"/>
        <v>-93.7035783068863-309.949976203162i</v>
      </c>
      <c r="AD189" s="64">
        <f t="shared" si="127"/>
        <v>50.20565735564152</v>
      </c>
      <c r="AE189" s="61">
        <f t="shared" si="128"/>
        <v>-106.82103244739838</v>
      </c>
      <c r="AF189" s="31" t="str">
        <f t="shared" si="113"/>
        <v>-10.0808080808081</v>
      </c>
      <c r="AG189" s="31" t="str">
        <f t="shared" si="129"/>
        <v>3222.40311251433i</v>
      </c>
      <c r="AH189" s="31">
        <f t="shared" si="130"/>
        <v>3222.4031125143301</v>
      </c>
      <c r="AI189" s="31">
        <f t="shared" si="131"/>
        <v>1.5707963267948966</v>
      </c>
      <c r="AJ189" s="31" t="str">
        <f t="shared" si="114"/>
        <v>0.801376410758942+4.32683988808816i</v>
      </c>
      <c r="AK189" s="31">
        <f t="shared" si="132"/>
        <v>4.4004258394923141</v>
      </c>
      <c r="AL189" s="31">
        <f t="shared" si="133"/>
        <v>1.3876609824132247</v>
      </c>
      <c r="AM189" s="31" t="str">
        <f t="shared" si="115"/>
        <v>1+3193.92222484469i</v>
      </c>
      <c r="AN189" s="31">
        <f t="shared" si="134"/>
        <v>3193.9223813920171</v>
      </c>
      <c r="AO189" s="31">
        <f t="shared" si="135"/>
        <v>1.5704832321429527</v>
      </c>
      <c r="AP189" s="31" t="str">
        <f t="shared" si="116"/>
        <v>1+3.74314345549665i</v>
      </c>
      <c r="AQ189" s="31">
        <f t="shared" si="136"/>
        <v>3.8744190439893567</v>
      </c>
      <c r="AR189" s="31">
        <f t="shared" si="137"/>
        <v>1.3097379504285505</v>
      </c>
      <c r="AS189" s="58" t="str">
        <f t="shared" si="138"/>
        <v>-8.77043688833103+0.687568427749089i</v>
      </c>
      <c r="AT189" s="49">
        <f t="shared" si="139"/>
        <v>18.88703441153309</v>
      </c>
      <c r="AU189" s="61">
        <f t="shared" si="140"/>
        <v>175.51740013827086</v>
      </c>
      <c r="AV189" s="58" t="str">
        <f t="shared" si="117"/>
        <v>1034.93313757021+2653.96908281861i</v>
      </c>
      <c r="AW189" s="64">
        <f t="shared" si="141"/>
        <v>69.092691767174614</v>
      </c>
      <c r="AX189" s="61">
        <f t="shared" si="142"/>
        <v>68.696367690872421</v>
      </c>
    </row>
    <row r="190" spans="14:50" x14ac:dyDescent="0.4">
      <c r="N190" s="10">
        <v>72</v>
      </c>
      <c r="O190" s="50">
        <f t="shared" si="143"/>
        <v>524.80746024977248</v>
      </c>
      <c r="P190" s="48" t="str">
        <f t="shared" si="108"/>
        <v>5120.19230769231</v>
      </c>
      <c r="Q190" s="17" t="str">
        <f t="shared" si="109"/>
        <v>1+15.4092960225293i</v>
      </c>
      <c r="R190" s="17">
        <f t="shared" si="118"/>
        <v>15.441709876498045</v>
      </c>
      <c r="S190" s="17">
        <f t="shared" si="119"/>
        <v>1.505991308470831</v>
      </c>
      <c r="T190" s="17" t="str">
        <f t="shared" si="110"/>
        <v>1+0.0000329416506081627i</v>
      </c>
      <c r="U190" s="17">
        <f t="shared" si="120"/>
        <v>1.0000000005425762</v>
      </c>
      <c r="V190" s="17">
        <f t="shared" si="121"/>
        <v>3.2941650596247125E-5</v>
      </c>
      <c r="W190" s="31" t="str">
        <f t="shared" si="111"/>
        <v>1-0.0534188928781017i</v>
      </c>
      <c r="X190" s="17">
        <f t="shared" si="122"/>
        <v>1.0014257726443443</v>
      </c>
      <c r="Y190" s="17">
        <f t="shared" si="123"/>
        <v>-5.3368168036959276E-2</v>
      </c>
      <c r="Z190" s="31" t="str">
        <f t="shared" si="112"/>
        <v>0.999889830851866+0.325239414898126i</v>
      </c>
      <c r="AA190" s="17">
        <f t="shared" si="124"/>
        <v>1.0514563000164334</v>
      </c>
      <c r="AB190" s="17">
        <f t="shared" si="125"/>
        <v>0.31448083332598803</v>
      </c>
      <c r="AC190" s="66" t="str">
        <f t="shared" si="126"/>
        <v>-94.2346397649743-301.417259062461i</v>
      </c>
      <c r="AD190" s="64">
        <f t="shared" si="127"/>
        <v>49.988368423610716</v>
      </c>
      <c r="AE190" s="61">
        <f t="shared" si="128"/>
        <v>-107.36125381741265</v>
      </c>
      <c r="AF190" s="31" t="str">
        <f t="shared" si="113"/>
        <v>-10.0808080808081</v>
      </c>
      <c r="AG190" s="31" t="str">
        <f t="shared" si="129"/>
        <v>3297.46252333961i</v>
      </c>
      <c r="AH190" s="31">
        <f t="shared" si="130"/>
        <v>3297.46252333961</v>
      </c>
      <c r="AI190" s="31">
        <f t="shared" si="131"/>
        <v>1.5707963267948966</v>
      </c>
      <c r="AJ190" s="31" t="str">
        <f t="shared" si="114"/>
        <v>0.792015569389352+4.42762493620145i</v>
      </c>
      <c r="AK190" s="31">
        <f t="shared" si="132"/>
        <v>4.4979052055182347</v>
      </c>
      <c r="AL190" s="31">
        <f t="shared" si="133"/>
        <v>1.3937880085982699</v>
      </c>
      <c r="AM190" s="31" t="str">
        <f t="shared" si="115"/>
        <v>1+3268.31823057334i</v>
      </c>
      <c r="AN190" s="31">
        <f t="shared" si="134"/>
        <v>3268.3183835572154</v>
      </c>
      <c r="AO190" s="31">
        <f t="shared" si="135"/>
        <v>1.5704903590468848</v>
      </c>
      <c r="AP190" s="31" t="str">
        <f t="shared" si="116"/>
        <v>1+3.83033246711129i</v>
      </c>
      <c r="AQ190" s="31">
        <f t="shared" si="136"/>
        <v>3.9587178238170577</v>
      </c>
      <c r="AR190" s="31">
        <f t="shared" si="137"/>
        <v>1.3154225902931171</v>
      </c>
      <c r="AS190" s="58" t="str">
        <f t="shared" si="138"/>
        <v>-8.76675217414426+0.691118954863068i</v>
      </c>
      <c r="AT190" s="49">
        <f t="shared" si="139"/>
        <v>18.883681664816166</v>
      </c>
      <c r="AU190" s="61">
        <f t="shared" si="140"/>
        <v>175.49246161070931</v>
      </c>
      <c r="AV190" s="58" t="str">
        <f t="shared" si="117"/>
        <v>1034.44691410023+2577.32306546417i</v>
      </c>
      <c r="AW190" s="64">
        <f t="shared" si="141"/>
        <v>68.872050088426889</v>
      </c>
      <c r="AX190" s="61">
        <f t="shared" si="142"/>
        <v>68.131207793296653</v>
      </c>
    </row>
    <row r="191" spans="14:50" x14ac:dyDescent="0.4">
      <c r="N191" s="10">
        <v>73</v>
      </c>
      <c r="O191" s="50">
        <f t="shared" si="143"/>
        <v>537.03179637025301</v>
      </c>
      <c r="P191" s="48" t="str">
        <f t="shared" si="108"/>
        <v>5120.19230769231</v>
      </c>
      <c r="Q191" s="17" t="str">
        <f t="shared" si="109"/>
        <v>1+15.7682246358339i</v>
      </c>
      <c r="R191" s="17">
        <f t="shared" si="118"/>
        <v>15.799902156852713</v>
      </c>
      <c r="S191" s="17">
        <f t="shared" si="119"/>
        <v>1.5074624635369773</v>
      </c>
      <c r="T191" s="17" t="str">
        <f t="shared" si="110"/>
        <v>1+0.0000337089602214939i</v>
      </c>
      <c r="U191" s="17">
        <f t="shared" si="120"/>
        <v>1.0000000005681469</v>
      </c>
      <c r="V191" s="17">
        <f t="shared" si="121"/>
        <v>3.3708960208726139E-5</v>
      </c>
      <c r="W191" s="31" t="str">
        <f t="shared" si="111"/>
        <v>1-0.0546631787375576i</v>
      </c>
      <c r="X191" s="17">
        <f t="shared" si="122"/>
        <v>1.0014929171540328</v>
      </c>
      <c r="Y191" s="17">
        <f t="shared" si="123"/>
        <v>-5.4608830466025098E-2</v>
      </c>
      <c r="Z191" s="31" t="str">
        <f t="shared" si="112"/>
        <v>0.999884638739875+0.332815214078745i</v>
      </c>
      <c r="AA191" s="17">
        <f t="shared" si="124"/>
        <v>1.0538193666422397</v>
      </c>
      <c r="AB191" s="17">
        <f t="shared" si="125"/>
        <v>0.32131874352070094</v>
      </c>
      <c r="AC191" s="66" t="str">
        <f t="shared" si="126"/>
        <v>-94.7005500915028-293.052187322627i</v>
      </c>
      <c r="AD191" s="64">
        <f t="shared" si="127"/>
        <v>49.770271642457082</v>
      </c>
      <c r="AE191" s="61">
        <f t="shared" si="128"/>
        <v>-107.90836894594221</v>
      </c>
      <c r="AF191" s="31" t="str">
        <f t="shared" si="113"/>
        <v>-10.0808080808081</v>
      </c>
      <c r="AG191" s="31" t="str">
        <f t="shared" si="129"/>
        <v>3374.27029244183i</v>
      </c>
      <c r="AH191" s="31">
        <f t="shared" si="130"/>
        <v>3374.27029244183</v>
      </c>
      <c r="AI191" s="31">
        <f t="shared" si="131"/>
        <v>1.5707963267948966</v>
      </c>
      <c r="AJ191" s="31" t="str">
        <f t="shared" si="114"/>
        <v>0.782213565157479+4.53075756966247i</v>
      </c>
      <c r="AK191" s="31">
        <f t="shared" si="132"/>
        <v>4.5977844900093059</v>
      </c>
      <c r="AL191" s="31">
        <f t="shared" si="133"/>
        <v>1.3998363935296294</v>
      </c>
      <c r="AM191" s="31" t="str">
        <f t="shared" si="115"/>
        <v>1+3344.44714188912i</v>
      </c>
      <c r="AN191" s="31">
        <f t="shared" si="134"/>
        <v>3344.4472913906575</v>
      </c>
      <c r="AO191" s="31">
        <f t="shared" si="135"/>
        <v>1.5704973237227076</v>
      </c>
      <c r="AP191" s="31" t="str">
        <f t="shared" si="116"/>
        <v>1+3.91955237170043i</v>
      </c>
      <c r="AQ191" s="31">
        <f t="shared" si="136"/>
        <v>4.0451070189183458</v>
      </c>
      <c r="AR191" s="31">
        <f t="shared" si="137"/>
        <v>1.320994183997432</v>
      </c>
      <c r="AS191" s="58" t="str">
        <f t="shared" si="138"/>
        <v>-8.76314003825424+0.694977092378587i</v>
      </c>
      <c r="AT191" s="49">
        <f t="shared" si="139"/>
        <v>18.880424784612771</v>
      </c>
      <c r="AU191" s="61">
        <f t="shared" si="140"/>
        <v>175.46554253222106</v>
      </c>
      <c r="AV191" s="58" t="str">
        <f t="shared" si="117"/>
        <v>1033.53873921221+2502.24264307565i</v>
      </c>
      <c r="AW191" s="64">
        <f t="shared" si="141"/>
        <v>68.65069642706986</v>
      </c>
      <c r="AX191" s="61">
        <f t="shared" si="142"/>
        <v>67.557173586278907</v>
      </c>
    </row>
    <row r="192" spans="14:50" x14ac:dyDescent="0.4">
      <c r="N192" s="10">
        <v>74</v>
      </c>
      <c r="O192" s="50">
        <f t="shared" si="143"/>
        <v>549.54087385762534</v>
      </c>
      <c r="P192" s="48" t="str">
        <f t="shared" si="108"/>
        <v>5120.19230769231</v>
      </c>
      <c r="Q192" s="17" t="str">
        <f t="shared" si="109"/>
        <v>1+16.1355137705576i</v>
      </c>
      <c r="R192" s="17">
        <f t="shared" si="118"/>
        <v>16.166471619987274</v>
      </c>
      <c r="S192" s="17">
        <f t="shared" si="119"/>
        <v>1.5089003963326864</v>
      </c>
      <c r="T192" s="17" t="str">
        <f t="shared" si="110"/>
        <v>1+0.0000344941427717255i</v>
      </c>
      <c r="U192" s="17">
        <f t="shared" si="120"/>
        <v>1.0000000005949228</v>
      </c>
      <c r="V192" s="17">
        <f t="shared" si="121"/>
        <v>3.4494142758044595E-5</v>
      </c>
      <c r="W192" s="31" t="str">
        <f t="shared" si="111"/>
        <v>1-0.0559364477379331i</v>
      </c>
      <c r="X192" s="17">
        <f t="shared" si="122"/>
        <v>1.0015632212624117</v>
      </c>
      <c r="Y192" s="17">
        <f t="shared" si="123"/>
        <v>-5.5878217423655376E-2</v>
      </c>
      <c r="Z192" s="31" t="str">
        <f t="shared" si="112"/>
        <v>0.999879201931184+0.340567476291199i</v>
      </c>
      <c r="AA192" s="17">
        <f t="shared" si="124"/>
        <v>1.0562881351041948</v>
      </c>
      <c r="AB192" s="17">
        <f t="shared" si="125"/>
        <v>0.32828396054812353</v>
      </c>
      <c r="AC192" s="66" t="str">
        <f t="shared" si="126"/>
        <v>-95.102829761465-284.851515098234i</v>
      </c>
      <c r="AD192" s="64">
        <f t="shared" si="127"/>
        <v>49.551339912198877</v>
      </c>
      <c r="AE192" s="61">
        <f t="shared" si="128"/>
        <v>-108.46251949301869</v>
      </c>
      <c r="AF192" s="31" t="str">
        <f t="shared" si="113"/>
        <v>-10.0808080808081</v>
      </c>
      <c r="AG192" s="31" t="str">
        <f t="shared" si="129"/>
        <v>3452.86714431686i</v>
      </c>
      <c r="AH192" s="31">
        <f t="shared" si="130"/>
        <v>3452.86714431686</v>
      </c>
      <c r="AI192" s="31">
        <f t="shared" si="131"/>
        <v>1.5707963267948966</v>
      </c>
      <c r="AJ192" s="31" t="str">
        <f t="shared" si="114"/>
        <v>0.771949606698168+4.63629247075859i</v>
      </c>
      <c r="AK192" s="31">
        <f t="shared" si="132"/>
        <v>4.7001185165583061</v>
      </c>
      <c r="AL192" s="31">
        <f t="shared" si="133"/>
        <v>1.4058083656458427</v>
      </c>
      <c r="AM192" s="31" t="str">
        <f t="shared" si="115"/>
        <v>1+3422.34932334854i</v>
      </c>
      <c r="AN192" s="31">
        <f t="shared" si="134"/>
        <v>3422.3494694470073</v>
      </c>
      <c r="AO192" s="31">
        <f t="shared" si="135"/>
        <v>1.5705041298631814</v>
      </c>
      <c r="AP192" s="31" t="str">
        <f t="shared" si="116"/>
        <v>1+4.01085047483847i</v>
      </c>
      <c r="AQ192" s="31">
        <f t="shared" si="136"/>
        <v>4.133632970101722</v>
      </c>
      <c r="AR192" s="31">
        <f t="shared" si="137"/>
        <v>1.3264543014376877</v>
      </c>
      <c r="AS192" s="58" t="str">
        <f t="shared" si="138"/>
        <v>-8.75959442553934+0.699147925232692i</v>
      </c>
      <c r="AT192" s="49">
        <f t="shared" si="139"/>
        <v>18.877258734421403</v>
      </c>
      <c r="AU192" s="61">
        <f t="shared" si="140"/>
        <v>175.43660538268864</v>
      </c>
      <c r="AV192" s="58" t="str">
        <f t="shared" si="117"/>
        <v>1032.21556321186+2428.69279764944i</v>
      </c>
      <c r="AW192" s="64">
        <f t="shared" si="141"/>
        <v>68.428598646620259</v>
      </c>
      <c r="AX192" s="61">
        <f t="shared" si="142"/>
        <v>66.97408588967005</v>
      </c>
    </row>
    <row r="193" spans="14:50" x14ac:dyDescent="0.4">
      <c r="N193" s="10">
        <v>75</v>
      </c>
      <c r="O193" s="50">
        <f t="shared" si="143"/>
        <v>562.34132519034927</v>
      </c>
      <c r="P193" s="48" t="str">
        <f t="shared" si="108"/>
        <v>5120.19230769231</v>
      </c>
      <c r="Q193" s="17" t="str">
        <f t="shared" si="109"/>
        <v>1+16.5113581682612i</v>
      </c>
      <c r="R193" s="17">
        <f t="shared" si="118"/>
        <v>16.541612634825114</v>
      </c>
      <c r="S193" s="17">
        <f t="shared" si="119"/>
        <v>1.5103058454703984</v>
      </c>
      <c r="T193" s="17" t="str">
        <f t="shared" si="110"/>
        <v>1+0.0000352976145730385i</v>
      </c>
      <c r="U193" s="17">
        <f t="shared" si="120"/>
        <v>1.0000000006229608</v>
      </c>
      <c r="V193" s="17">
        <f t="shared" si="121"/>
        <v>3.5297614558379146E-5</v>
      </c>
      <c r="W193" s="31" t="str">
        <f t="shared" si="111"/>
        <v>1-0.0572393749833056i</v>
      </c>
      <c r="X193" s="17">
        <f t="shared" si="122"/>
        <v>1.0016368334124297</v>
      </c>
      <c r="Y193" s="17">
        <f t="shared" si="123"/>
        <v>-5.7176985583003416E-2</v>
      </c>
      <c r="Z193" s="31" t="str">
        <f t="shared" si="112"/>
        <v>0.999873508893593+0.348500311887525i</v>
      </c>
      <c r="AA193" s="17">
        <f t="shared" si="124"/>
        <v>1.058867083808392</v>
      </c>
      <c r="AB193" s="17">
        <f t="shared" si="125"/>
        <v>0.33537748266474748</v>
      </c>
      <c r="AC193" s="66" t="str">
        <f t="shared" si="126"/>
        <v>-95.4429134226161-276.812093873548i</v>
      </c>
      <c r="AD193" s="64">
        <f t="shared" si="127"/>
        <v>49.331545304983173</v>
      </c>
      <c r="AE193" s="61">
        <f t="shared" si="128"/>
        <v>-109.02384257464867</v>
      </c>
      <c r="AF193" s="31" t="str">
        <f t="shared" si="113"/>
        <v>-10.0808080808081</v>
      </c>
      <c r="AG193" s="31" t="str">
        <f t="shared" si="129"/>
        <v>3533.2947520559i</v>
      </c>
      <c r="AH193" s="31">
        <f t="shared" si="130"/>
        <v>3533.2947520559001</v>
      </c>
      <c r="AI193" s="31">
        <f t="shared" si="131"/>
        <v>1.5707963267948966</v>
      </c>
      <c r="AJ193" s="31" t="str">
        <f t="shared" si="114"/>
        <v>0.761201922779417+4.74428559549128i</v>
      </c>
      <c r="AK193" s="31">
        <f t="shared" si="132"/>
        <v>4.8049634940162784</v>
      </c>
      <c r="AL193" s="31">
        <f t="shared" si="133"/>
        <v>1.4117061707556795</v>
      </c>
      <c r="AM193" s="31" t="str">
        <f t="shared" si="115"/>
        <v>1+3502.06607971934i</v>
      </c>
      <c r="AN193" s="31">
        <f t="shared" si="134"/>
        <v>3502.0662224922003</v>
      </c>
      <c r="AO193" s="31">
        <f t="shared" si="135"/>
        <v>1.5705107810770096</v>
      </c>
      <c r="AP193" s="31" t="str">
        <f t="shared" si="116"/>
        <v>1+4.10427518398814i</v>
      </c>
      <c r="AQ193" s="31">
        <f t="shared" si="136"/>
        <v>4.2243431188648577</v>
      </c>
      <c r="AR193" s="31">
        <f t="shared" si="137"/>
        <v>1.3318045348318288</v>
      </c>
      <c r="AS193" s="58" t="str">
        <f t="shared" si="138"/>
        <v>-8.75610929823095+0.703636497479364i</v>
      </c>
      <c r="AT193" s="49">
        <f t="shared" si="139"/>
        <v>18.874178524142245</v>
      </c>
      <c r="AU193" s="61">
        <f t="shared" si="140"/>
        <v>175.40561292087946</v>
      </c>
      <c r="AV193" s="58" t="str">
        <f t="shared" si="117"/>
        <v>1030.48367386313+2356.63983171904i</v>
      </c>
      <c r="AW193" s="64">
        <f t="shared" si="141"/>
        <v>68.205723829125432</v>
      </c>
      <c r="AX193" s="61">
        <f t="shared" si="142"/>
        <v>66.381770346230908</v>
      </c>
    </row>
    <row r="194" spans="14:50" x14ac:dyDescent="0.4">
      <c r="N194" s="10">
        <v>76</v>
      </c>
      <c r="O194" s="50">
        <f t="shared" si="143"/>
        <v>575.43993733715706</v>
      </c>
      <c r="P194" s="48" t="str">
        <f t="shared" si="108"/>
        <v>5120.19230769231</v>
      </c>
      <c r="Q194" s="17" t="str">
        <f t="shared" si="109"/>
        <v>1+16.8959571066193i</v>
      </c>
      <c r="R194" s="17">
        <f t="shared" si="118"/>
        <v>16.925524114446773</v>
      </c>
      <c r="S194" s="17">
        <f t="shared" si="119"/>
        <v>1.5116795339159834</v>
      </c>
      <c r="T194" s="17" t="str">
        <f t="shared" si="110"/>
        <v>1+0.0000361198016368173i</v>
      </c>
      <c r="U194" s="17">
        <f t="shared" si="120"/>
        <v>1.00000000065232</v>
      </c>
      <c r="V194" s="17">
        <f t="shared" si="121"/>
        <v>3.6119801621109523E-5</v>
      </c>
      <c r="W194" s="31" t="str">
        <f t="shared" si="111"/>
        <v>1-0.0585726513029469i</v>
      </c>
      <c r="X194" s="17">
        <f t="shared" si="122"/>
        <v>1.0017139089983009</v>
      </c>
      <c r="Y194" s="17">
        <f t="shared" si="123"/>
        <v>-5.8505806032133845E-2</v>
      </c>
      <c r="Z194" s="31" t="str">
        <f t="shared" si="112"/>
        <v>0.999867547551407+0.356617926962162i</v>
      </c>
      <c r="AA194" s="17">
        <f t="shared" si="124"/>
        <v>1.061560859525847</v>
      </c>
      <c r="AB194" s="17">
        <f t="shared" si="125"/>
        <v>0.34260022454806993</v>
      </c>
      <c r="AC194" s="66" t="str">
        <f t="shared" si="126"/>
        <v>-95.7221554432192-268.930873288212i</v>
      </c>
      <c r="AD194" s="64">
        <f t="shared" si="127"/>
        <v>49.110859077312668</v>
      </c>
      <c r="AE194" s="61">
        <f t="shared" si="128"/>
        <v>-109.5924704469905</v>
      </c>
      <c r="AF194" s="31" t="str">
        <f t="shared" si="113"/>
        <v>-10.0808080808081</v>
      </c>
      <c r="AG194" s="31" t="str">
        <f t="shared" si="129"/>
        <v>3615.59575944117i</v>
      </c>
      <c r="AH194" s="31">
        <f t="shared" si="130"/>
        <v>3615.5957594411698</v>
      </c>
      <c r="AI194" s="31">
        <f t="shared" si="131"/>
        <v>1.5707963267948966</v>
      </c>
      <c r="AJ194" s="31" t="str">
        <f t="shared" si="114"/>
        <v>0.749947716122664+4.85479420324475i</v>
      </c>
      <c r="AK194" s="31">
        <f t="shared" si="132"/>
        <v>4.9123770552326729</v>
      </c>
      <c r="AL194" s="31">
        <f t="shared" si="133"/>
        <v>1.4175320698605514</v>
      </c>
      <c r="AM194" s="31" t="str">
        <f t="shared" si="115"/>
        <v>1+3583.63967788094i</v>
      </c>
      <c r="AN194" s="31">
        <f t="shared" si="134"/>
        <v>3583.6398174038932</v>
      </c>
      <c r="AO194" s="31">
        <f t="shared" si="135"/>
        <v>1.5705172808907515</v>
      </c>
      <c r="AP194" s="31" t="str">
        <f t="shared" si="116"/>
        <v>1+4.19987603416687i</v>
      </c>
      <c r="AQ194" s="31">
        <f t="shared" si="136"/>
        <v>4.3172860343471839</v>
      </c>
      <c r="AR194" s="31">
        <f t="shared" si="137"/>
        <v>1.3370464952126977</v>
      </c>
      <c r="AS194" s="58" t="str">
        <f t="shared" si="138"/>
        <v>-8.75267863295773+0.708447822627037i</v>
      </c>
      <c r="AT194" s="49">
        <f t="shared" si="139"/>
        <v>18.871179210449355</v>
      </c>
      <c r="AU194" s="61">
        <f t="shared" si="140"/>
        <v>175.3725281083949</v>
      </c>
      <c r="AV194" s="58" t="str">
        <f t="shared" si="117"/>
        <v>1028.34875626674+2286.05135577148i</v>
      </c>
      <c r="AW194" s="64">
        <f t="shared" si="141"/>
        <v>67.982038287762009</v>
      </c>
      <c r="AX194" s="61">
        <f t="shared" si="142"/>
        <v>65.780057661404499</v>
      </c>
    </row>
    <row r="195" spans="14:50" x14ac:dyDescent="0.4">
      <c r="N195" s="10">
        <v>77</v>
      </c>
      <c r="O195" s="50">
        <f t="shared" si="143"/>
        <v>588.84365535558959</v>
      </c>
      <c r="P195" s="48" t="str">
        <f t="shared" si="108"/>
        <v>5120.19230769231</v>
      </c>
      <c r="Q195" s="17" t="str">
        <f t="shared" si="109"/>
        <v>1+17.2895145050798i</v>
      </c>
      <c r="R195" s="17">
        <f t="shared" si="118"/>
        <v>17.318409621595304</v>
      </c>
      <c r="S195" s="17">
        <f t="shared" si="119"/>
        <v>1.5130221692681007</v>
      </c>
      <c r="T195" s="17" t="str">
        <f t="shared" si="110"/>
        <v>1+0.0000369611398975261i</v>
      </c>
      <c r="U195" s="17">
        <f t="shared" si="120"/>
        <v>1.0000000006830629</v>
      </c>
      <c r="V195" s="17">
        <f t="shared" si="121"/>
        <v>3.6961139880694912E-5</v>
      </c>
      <c r="W195" s="31" t="str">
        <f t="shared" si="111"/>
        <v>1-0.0599369836176098i</v>
      </c>
      <c r="X195" s="17">
        <f t="shared" si="122"/>
        <v>1.0017946106888265</v>
      </c>
      <c r="Y195" s="17">
        <f t="shared" si="123"/>
        <v>-5.9865364547555568E-2</v>
      </c>
      <c r="Z195" s="31" t="str">
        <f t="shared" si="112"/>
        <v>0.999861305259819+0.36492462558207i</v>
      </c>
      <c r="AA195" s="17">
        <f t="shared" si="124"/>
        <v>1.0643742819666786</v>
      </c>
      <c r="AB195" s="17">
        <f t="shared" si="125"/>
        <v>0.34995301106372045</v>
      </c>
      <c r="AC195" s="66" t="str">
        <f t="shared" si="126"/>
        <v>-95.9418354449987-261.204901773479i</v>
      </c>
      <c r="AD195" s="64">
        <f t="shared" si="127"/>
        <v>48.889251685147428</v>
      </c>
      <c r="AE195" s="61">
        <f t="shared" si="128"/>
        <v>-110.16853018090265</v>
      </c>
      <c r="AF195" s="31" t="str">
        <f t="shared" si="113"/>
        <v>-10.0808080808081</v>
      </c>
      <c r="AG195" s="31" t="str">
        <f t="shared" si="129"/>
        <v>3699.81380355616i</v>
      </c>
      <c r="AH195" s="31">
        <f t="shared" si="130"/>
        <v>3699.8138035561601</v>
      </c>
      <c r="AI195" s="31">
        <f t="shared" si="131"/>
        <v>1.5707963267948966</v>
      </c>
      <c r="AJ195" s="31" t="str">
        <f t="shared" si="114"/>
        <v>0.738163115046714+4.96787688714559i</v>
      </c>
      <c r="AK195" s="31">
        <f t="shared" si="132"/>
        <v>5.0224182970209501</v>
      </c>
      <c r="AL195" s="31">
        <f t="shared" si="133"/>
        <v>1.4232883371433904</v>
      </c>
      <c r="AM195" s="31" t="str">
        <f t="shared" si="115"/>
        <v>1+3667.11336923482i</v>
      </c>
      <c r="AN195" s="31">
        <f t="shared" si="134"/>
        <v>3667.1135055818427</v>
      </c>
      <c r="AO195" s="31">
        <f t="shared" si="135"/>
        <v>1.5705236327506922</v>
      </c>
      <c r="AP195" s="31" t="str">
        <f t="shared" si="116"/>
        <v>1+4.29770371421084i</v>
      </c>
      <c r="AQ195" s="31">
        <f t="shared" si="136"/>
        <v>4.4125114407944199</v>
      </c>
      <c r="AR195" s="31">
        <f t="shared" si="137"/>
        <v>1.3421818091185758</v>
      </c>
      <c r="AS195" s="58" t="str">
        <f t="shared" si="138"/>
        <v>-8.74929641717498+0.713586893575636i</v>
      </c>
      <c r="AT195" s="49">
        <f t="shared" si="139"/>
        <v>18.868255896541811</v>
      </c>
      <c r="AU195" s="61">
        <f t="shared" si="140"/>
        <v>175.33731403538732</v>
      </c>
      <c r="AV195" s="58" t="str">
        <f t="shared" si="117"/>
        <v>1025.81595155938+2216.8962749161i</v>
      </c>
      <c r="AW195" s="64">
        <f t="shared" si="141"/>
        <v>67.757507581689239</v>
      </c>
      <c r="AX195" s="61">
        <f t="shared" si="142"/>
        <v>65.168783854484772</v>
      </c>
    </row>
    <row r="196" spans="14:50" x14ac:dyDescent="0.4">
      <c r="N196" s="10">
        <v>78</v>
      </c>
      <c r="O196" s="50">
        <f t="shared" si="143"/>
        <v>602.55958607435832</v>
      </c>
      <c r="P196" s="48" t="str">
        <f t="shared" si="108"/>
        <v>5120.19230769231</v>
      </c>
      <c r="Q196" s="17" t="str">
        <f t="shared" si="109"/>
        <v>1+17.6922390329846i</v>
      </c>
      <c r="R196" s="17">
        <f t="shared" si="118"/>
        <v>17.720477476644465</v>
      </c>
      <c r="S196" s="17">
        <f t="shared" si="119"/>
        <v>1.5143344440362116</v>
      </c>
      <c r="T196" s="17" t="str">
        <f t="shared" si="110"/>
        <v>1+0.000037822075443847i</v>
      </c>
      <c r="U196" s="17">
        <f t="shared" si="120"/>
        <v>1.0000000007152547</v>
      </c>
      <c r="V196" s="17">
        <f t="shared" si="121"/>
        <v>3.7822075425812058E-5</v>
      </c>
      <c r="W196" s="31" t="str">
        <f t="shared" si="111"/>
        <v>1-0.0613330953143464i</v>
      </c>
      <c r="X196" s="17">
        <f t="shared" si="122"/>
        <v>1.001879108765543</v>
      </c>
      <c r="Y196" s="17">
        <f t="shared" si="123"/>
        <v>-6.1256361869768572E-2</v>
      </c>
      <c r="Z196" s="31" t="str">
        <f t="shared" si="112"/>
        <v>0.999854768778092+0.373424812068811i</v>
      </c>
      <c r="AA196" s="17">
        <f t="shared" si="124"/>
        <v>1.0673123483390037</v>
      </c>
      <c r="AB196" s="17">
        <f t="shared" si="125"/>
        <v>0.3574365708775859</v>
      </c>
      <c r="AC196" s="66" t="str">
        <f t="shared" si="126"/>
        <v>-96.1031638267699-253.631327032544i</v>
      </c>
      <c r="AD196" s="64">
        <f t="shared" si="127"/>
        <v>48.666692802095291</v>
      </c>
      <c r="AE196" s="61">
        <f t="shared" si="128"/>
        <v>-110.75214332764871</v>
      </c>
      <c r="AF196" s="31" t="str">
        <f t="shared" si="113"/>
        <v>-10.0808080808081</v>
      </c>
      <c r="AG196" s="31" t="str">
        <f t="shared" si="129"/>
        <v>3785.99353792262i</v>
      </c>
      <c r="AH196" s="31">
        <f t="shared" si="130"/>
        <v>3785.9935379226199</v>
      </c>
      <c r="AI196" s="31">
        <f t="shared" si="131"/>
        <v>1.5707963267948966</v>
      </c>
      <c r="AJ196" s="31" t="str">
        <f t="shared" si="114"/>
        <v>0.725823122832696+5.08359360512961i</v>
      </c>
      <c r="AK196" s="31">
        <f t="shared" si="132"/>
        <v>5.1351478214120849</v>
      </c>
      <c r="AL196" s="31">
        <f t="shared" si="133"/>
        <v>1.4289772581173861</v>
      </c>
      <c r="AM196" s="31" t="str">
        <f t="shared" si="115"/>
        <v>1+3752.53141263706i</v>
      </c>
      <c r="AN196" s="31">
        <f t="shared" si="134"/>
        <v>3752.5315458804457</v>
      </c>
      <c r="AO196" s="31">
        <f t="shared" si="135"/>
        <v>1.5705298400246699</v>
      </c>
      <c r="AP196" s="31" t="str">
        <f t="shared" si="116"/>
        <v>1+4.39781009365092i</v>
      </c>
      <c r="AQ196" s="31">
        <f t="shared" si="136"/>
        <v>4.510070245552491</v>
      </c>
      <c r="AR196" s="31">
        <f t="shared" si="137"/>
        <v>1.347212115476073</v>
      </c>
      <c r="AS196" s="58" t="str">
        <f t="shared" si="138"/>
        <v>-8.7459566450142+0.719058692142767i</v>
      </c>
      <c r="AT196" s="49">
        <f t="shared" si="139"/>
        <v>18.865403731313435</v>
      </c>
      <c r="AU196" s="61">
        <f t="shared" si="140"/>
        <v>175.2999338481375</v>
      </c>
      <c r="AV196" s="58" t="str">
        <f t="shared" si="117"/>
        <v>1022.88991458008+2149.14477475199i</v>
      </c>
      <c r="AW196" s="64">
        <f t="shared" si="141"/>
        <v>67.532096533408733</v>
      </c>
      <c r="AX196" s="61">
        <f t="shared" si="142"/>
        <v>64.547790520488832</v>
      </c>
    </row>
    <row r="197" spans="14:50" x14ac:dyDescent="0.4">
      <c r="N197" s="10">
        <v>79</v>
      </c>
      <c r="O197" s="50">
        <f t="shared" si="143"/>
        <v>616.59500186148273</v>
      </c>
      <c r="P197" s="48" t="str">
        <f t="shared" si="108"/>
        <v>5120.19230769231</v>
      </c>
      <c r="Q197" s="17" t="str">
        <f t="shared" si="109"/>
        <v>1+18.1043442202091i</v>
      </c>
      <c r="R197" s="17">
        <f t="shared" si="118"/>
        <v>18.131940868087415</v>
      </c>
      <c r="S197" s="17">
        <f t="shared" si="119"/>
        <v>1.5156170359169576</v>
      </c>
      <c r="T197" s="17" t="str">
        <f t="shared" si="110"/>
        <v>1+0.0000387030647552027i</v>
      </c>
      <c r="U197" s="17">
        <f t="shared" si="120"/>
        <v>1.0000000007489636</v>
      </c>
      <c r="V197" s="17">
        <f t="shared" si="121"/>
        <v>3.8703064735877905E-5</v>
      </c>
      <c r="W197" s="31" t="str">
        <f t="shared" si="111"/>
        <v>1-0.0627617266300583i</v>
      </c>
      <c r="X197" s="17">
        <f t="shared" si="122"/>
        <v>1.00196758147636</v>
      </c>
      <c r="Y197" s="17">
        <f t="shared" si="123"/>
        <v>-6.267951398057274E-2</v>
      </c>
      <c r="Z197" s="31" t="str">
        <f t="shared" si="112"/>
        <v>0.999847924241472+0.382122993333772i</v>
      </c>
      <c r="AA197" s="17">
        <f t="shared" si="124"/>
        <v>1.0703802378801386</v>
      </c>
      <c r="AB197" s="17">
        <f t="shared" si="125"/>
        <v>0.36505152992957179</v>
      </c>
      <c r="AC197" s="66" t="str">
        <f t="shared" si="126"/>
        <v>-96.2072872831394-246.207396357537i</v>
      </c>
      <c r="AD197" s="64">
        <f t="shared" si="127"/>
        <v>48.443151340911214</v>
      </c>
      <c r="AE197" s="61">
        <f t="shared" si="128"/>
        <v>-111.34342557668195</v>
      </c>
      <c r="AF197" s="31" t="str">
        <f t="shared" si="113"/>
        <v>-10.0808080808081</v>
      </c>
      <c r="AG197" s="31" t="str">
        <f t="shared" si="129"/>
        <v>3874.18065617644i</v>
      </c>
      <c r="AH197" s="31">
        <f t="shared" si="130"/>
        <v>3874.1806561764402</v>
      </c>
      <c r="AI197" s="31">
        <f t="shared" si="131"/>
        <v>1.5707963267948966</v>
      </c>
      <c r="AJ197" s="31" t="str">
        <f t="shared" si="114"/>
        <v>0.71290156470267+5.20200571173238i</v>
      </c>
      <c r="AK197" s="31">
        <f t="shared" si="132"/>
        <v>5.25062777826155</v>
      </c>
      <c r="AL197" s="31">
        <f t="shared" si="133"/>
        <v>1.434601127927877</v>
      </c>
      <c r="AM197" s="31" t="str">
        <f t="shared" si="115"/>
        <v>1+3839.9390978649i</v>
      </c>
      <c r="AN197" s="31">
        <f t="shared" si="134"/>
        <v>3839.9392280752963</v>
      </c>
      <c r="AO197" s="31">
        <f t="shared" si="135"/>
        <v>1.5705359060038613</v>
      </c>
      <c r="AP197" s="31" t="str">
        <f t="shared" si="116"/>
        <v>1+4.50024825021456i</v>
      </c>
      <c r="AQ197" s="31">
        <f t="shared" si="136"/>
        <v>4.6100145676081343</v>
      </c>
      <c r="AR197" s="31">
        <f t="shared" si="137"/>
        <v>1.3521390626698753</v>
      </c>
      <c r="AS197" s="58" t="str">
        <f t="shared" si="138"/>
        <v>-8.74265331258282+0.724868198171274i</v>
      </c>
      <c r="AT197" s="49">
        <f t="shared" si="139"/>
        <v>18.862617907976254</v>
      </c>
      <c r="AU197" s="61">
        <f t="shared" si="140"/>
        <v>175.26035067856031</v>
      </c>
      <c r="AV197" s="58" t="str">
        <f t="shared" si="117"/>
        <v>1019.57487063467+2082.76830636374i</v>
      </c>
      <c r="AW197" s="64">
        <f t="shared" si="141"/>
        <v>67.305769248887472</v>
      </c>
      <c r="AX197" s="61">
        <f t="shared" si="142"/>
        <v>63.916925101878498</v>
      </c>
    </row>
    <row r="198" spans="14:50" x14ac:dyDescent="0.4">
      <c r="N198" s="10">
        <v>80</v>
      </c>
      <c r="O198" s="50">
        <f t="shared" si="143"/>
        <v>630.95734448019323</v>
      </c>
      <c r="P198" s="48" t="str">
        <f t="shared" si="108"/>
        <v>5120.19230769231</v>
      </c>
      <c r="Q198" s="17" t="str">
        <f t="shared" si="109"/>
        <v>1+18.5260485703786i</v>
      </c>
      <c r="R198" s="17">
        <f t="shared" si="118"/>
        <v>18.553017965604056</v>
      </c>
      <c r="S198" s="17">
        <f t="shared" si="119"/>
        <v>1.5168706080686341</v>
      </c>
      <c r="T198" s="17" t="str">
        <f t="shared" si="110"/>
        <v>1+0.0000396045749437871i</v>
      </c>
      <c r="U198" s="17">
        <f t="shared" si="120"/>
        <v>1.0000000007842611</v>
      </c>
      <c r="V198" s="17">
        <f t="shared" si="121"/>
        <v>3.9604574923080215E-5</v>
      </c>
      <c r="W198" s="31" t="str">
        <f t="shared" si="111"/>
        <v>1-0.064223635043979i</v>
      </c>
      <c r="X198" s="17">
        <f t="shared" si="122"/>
        <v>1.0020602154053728</v>
      </c>
      <c r="Y198" s="17">
        <f t="shared" si="123"/>
        <v>-6.4135552381855879E-2</v>
      </c>
      <c r="Z198" s="31" t="str">
        <f t="shared" si="112"/>
        <v>0.999840757131779+0.391023781267793i</v>
      </c>
      <c r="AA198" s="17">
        <f t="shared" si="124"/>
        <v>1.0735833163470883</v>
      </c>
      <c r="AB198" s="17">
        <f t="shared" si="125"/>
        <v>0.37279840478822635</v>
      </c>
      <c r="AC198" s="66" t="str">
        <f t="shared" si="126"/>
        <v>-96.2552943213297-238.930456774437i</v>
      </c>
      <c r="AD198" s="64">
        <f t="shared" si="127"/>
        <v>48.218595478518651</v>
      </c>
      <c r="AE198" s="61">
        <f t="shared" si="128"/>
        <v>-111.94248640657871</v>
      </c>
      <c r="AF198" s="31" t="str">
        <f t="shared" si="113"/>
        <v>-10.0808080808081</v>
      </c>
      <c r="AG198" s="31" t="str">
        <f t="shared" si="129"/>
        <v>3964.421916295i</v>
      </c>
      <c r="AH198" s="31">
        <f t="shared" si="130"/>
        <v>3964.4219162949998</v>
      </c>
      <c r="AI198" s="31">
        <f t="shared" si="131"/>
        <v>1.5707963267948966</v>
      </c>
      <c r="AJ198" s="31" t="str">
        <f t="shared" si="114"/>
        <v>0.699371032299423+5.3231759906202i</v>
      </c>
      <c r="AK198" s="31">
        <f t="shared" si="132"/>
        <v>5.3689219092788925</v>
      </c>
      <c r="AL198" s="31">
        <f t="shared" si="133"/>
        <v>1.4401622498006823</v>
      </c>
      <c r="AM198" s="31" t="str">
        <f t="shared" si="115"/>
        <v>1+3929.38276963003i</v>
      </c>
      <c r="AN198" s="31">
        <f t="shared" si="134"/>
        <v>3929.3828968764756</v>
      </c>
      <c r="AO198" s="31">
        <f t="shared" si="135"/>
        <v>1.5705418339045272</v>
      </c>
      <c r="AP198" s="31" t="str">
        <f t="shared" si="116"/>
        <v>1+4.60507249796827i</v>
      </c>
      <c r="AQ198" s="31">
        <f t="shared" si="136"/>
        <v>4.7123977666941199</v>
      </c>
      <c r="AR198" s="31">
        <f t="shared" si="137"/>
        <v>1.3569643057935343</v>
      </c>
      <c r="AS198" s="58" t="str">
        <f t="shared" si="138"/>
        <v>-8.73938041274409+0.731020398211899i</v>
      </c>
      <c r="AT198" s="49">
        <f t="shared" si="139"/>
        <v>18.85989366217304</v>
      </c>
      <c r="AU198" s="61">
        <f t="shared" si="140"/>
        <v>175.21852757569039</v>
      </c>
      <c r="AV198" s="58" t="str">
        <f t="shared" si="117"/>
        <v>1015.87467147095+2017.73957035773i</v>
      </c>
      <c r="AW198" s="64">
        <f t="shared" si="141"/>
        <v>67.078489140691687</v>
      </c>
      <c r="AX198" s="61">
        <f t="shared" si="142"/>
        <v>63.276041169111586</v>
      </c>
    </row>
    <row r="199" spans="14:50" x14ac:dyDescent="0.4">
      <c r="N199" s="10">
        <v>81</v>
      </c>
      <c r="O199" s="50">
        <f t="shared" si="143"/>
        <v>645.65422903465594</v>
      </c>
      <c r="P199" s="48" t="str">
        <f t="shared" si="108"/>
        <v>5120.19230769231</v>
      </c>
      <c r="Q199" s="17" t="str">
        <f t="shared" si="109"/>
        <v>1+18.9575756767213i</v>
      </c>
      <c r="R199" s="17">
        <f t="shared" si="118"/>
        <v>18.983932035766856</v>
      </c>
      <c r="S199" s="17">
        <f t="shared" si="119"/>
        <v>1.5180958093835193</v>
      </c>
      <c r="T199" s="17" t="str">
        <f t="shared" si="110"/>
        <v>1+0.0000405270840022353i</v>
      </c>
      <c r="U199" s="17">
        <f t="shared" si="120"/>
        <v>1.0000000008212222</v>
      </c>
      <c r="V199" s="17">
        <f t="shared" si="121"/>
        <v>4.0527083980047471E-5</v>
      </c>
      <c r="W199" s="31" t="str">
        <f t="shared" si="111"/>
        <v>1-0.0657195956793003i</v>
      </c>
      <c r="X199" s="17">
        <f t="shared" si="122"/>
        <v>1.0021572058595651</v>
      </c>
      <c r="Y199" s="17">
        <f t="shared" si="123"/>
        <v>-6.562522437555772E-2</v>
      </c>
      <c r="Z199" s="31" t="str">
        <f t="shared" si="112"/>
        <v>0.999833252246612+0.400131895186455i</v>
      </c>
      <c r="AA199" s="17">
        <f t="shared" si="124"/>
        <v>1.076927140452659</v>
      </c>
      <c r="AB199" s="17">
        <f t="shared" si="125"/>
        <v>0.38067759590809336</v>
      </c>
      <c r="AC199" s="66" t="str">
        <f t="shared" si="126"/>
        <v>-96.248220777815-231.797955006316i</v>
      </c>
      <c r="AD199" s="64">
        <f t="shared" si="127"/>
        <v>47.992992684768041</v>
      </c>
      <c r="AE199" s="61">
        <f t="shared" si="128"/>
        <v>-112.54942873034321</v>
      </c>
      <c r="AF199" s="31" t="str">
        <f t="shared" si="113"/>
        <v>-10.0808080808081</v>
      </c>
      <c r="AG199" s="31" t="str">
        <f t="shared" si="129"/>
        <v>4056.76516538891i</v>
      </c>
      <c r="AH199" s="31">
        <f t="shared" si="130"/>
        <v>4056.7651653889102</v>
      </c>
      <c r="AI199" s="31">
        <f t="shared" si="131"/>
        <v>1.5707963267948966</v>
      </c>
      <c r="AJ199" s="31" t="str">
        <f t="shared" si="114"/>
        <v>0.685202825549654+5.44716868787881i</v>
      </c>
      <c r="AK199" s="31">
        <f t="shared" si="132"/>
        <v>5.4900955935528657</v>
      </c>
      <c r="AL199" s="31">
        <f t="shared" si="133"/>
        <v>1.4456629336301778</v>
      </c>
      <c r="AM199" s="31" t="str">
        <f t="shared" si="115"/>
        <v>1+4020.90985215115i</v>
      </c>
      <c r="AN199" s="31">
        <f t="shared" si="134"/>
        <v>4020.9099765011133</v>
      </c>
      <c r="AO199" s="31">
        <f t="shared" si="135"/>
        <v>1.5705476268697174</v>
      </c>
      <c r="AP199" s="31" t="str">
        <f t="shared" si="116"/>
        <v>1+4.71233841611576i</v>
      </c>
      <c r="AQ199" s="31">
        <f t="shared" si="136"/>
        <v>4.8172744729774735</v>
      </c>
      <c r="AR199" s="31">
        <f t="shared" si="137"/>
        <v>1.3616895040752228</v>
      </c>
      <c r="AS199" s="58" t="str">
        <f t="shared" si="138"/>
        <v>-8.73613192940337+0.73752029377597i</v>
      </c>
      <c r="AT199" s="49">
        <f t="shared" si="139"/>
        <v>18.857226269610848</v>
      </c>
      <c r="AU199" s="61">
        <f t="shared" si="140"/>
        <v>175.17442743918392</v>
      </c>
      <c r="AV199" s="58" t="str">
        <f t="shared" si="117"/>
        <v>1011.79285055826+1954.03249983761i</v>
      </c>
      <c r="AW199" s="64">
        <f t="shared" si="141"/>
        <v>66.850218954378875</v>
      </c>
      <c r="AX199" s="61">
        <f t="shared" si="142"/>
        <v>62.624998708840685</v>
      </c>
    </row>
    <row r="200" spans="14:50" x14ac:dyDescent="0.4">
      <c r="N200" s="10">
        <v>82</v>
      </c>
      <c r="O200" s="50">
        <f t="shared" si="143"/>
        <v>660.69344800759643</v>
      </c>
      <c r="P200" s="48" t="str">
        <f t="shared" si="108"/>
        <v>5120.19230769231</v>
      </c>
      <c r="Q200" s="17" t="str">
        <f t="shared" si="109"/>
        <v>1+19.399154340621i</v>
      </c>
      <c r="R200" s="17">
        <f t="shared" si="118"/>
        <v>19.424911560448209</v>
      </c>
      <c r="S200" s="17">
        <f t="shared" si="119"/>
        <v>1.5192932747578491</v>
      </c>
      <c r="T200" s="17" t="str">
        <f t="shared" si="110"/>
        <v>1+0.0000414710810570608i</v>
      </c>
      <c r="U200" s="17">
        <f t="shared" si="120"/>
        <v>1.0000000008599252</v>
      </c>
      <c r="V200" s="17">
        <f t="shared" si="121"/>
        <v>4.1471081033286109E-5</v>
      </c>
      <c r="W200" s="31" t="str">
        <f t="shared" si="111"/>
        <v>1-0.0672504017141526i</v>
      </c>
      <c r="X200" s="17">
        <f t="shared" si="122"/>
        <v>1.0022587572731478</v>
      </c>
      <c r="Y200" s="17">
        <f t="shared" si="123"/>
        <v>-6.7149293344469077E-2</v>
      </c>
      <c r="Z200" s="31" t="str">
        <f t="shared" si="112"/>
        <v>0.999825393667104+0.409452164332317i</v>
      </c>
      <c r="AA200" s="17">
        <f t="shared" si="124"/>
        <v>1.0804174622330012</v>
      </c>
      <c r="AB200" s="17">
        <f t="shared" si="125"/>
        <v>0.38868938081442861</v>
      </c>
      <c r="AC200" s="66" t="str">
        <f t="shared" si="126"/>
        <v>-96.1870553348185-224.807437244284i</v>
      </c>
      <c r="AD200" s="64">
        <f t="shared" si="127"/>
        <v>47.766309755136433</v>
      </c>
      <c r="AE200" s="61">
        <f t="shared" si="128"/>
        <v>-113.16434853646349</v>
      </c>
      <c r="AF200" s="31" t="str">
        <f t="shared" si="113"/>
        <v>-10.0808080808081</v>
      </c>
      <c r="AG200" s="31" t="str">
        <f t="shared" si="129"/>
        <v>4151.25936507115i</v>
      </c>
      <c r="AH200" s="31">
        <f t="shared" si="130"/>
        <v>4151.2593650711497</v>
      </c>
      <c r="AI200" s="31">
        <f t="shared" si="131"/>
        <v>1.5707963267948966</v>
      </c>
      <c r="AJ200" s="31" t="str">
        <f t="shared" si="114"/>
        <v>0.670366891787283+5.57404954607754i</v>
      </c>
      <c r="AK200" s="31">
        <f t="shared" si="132"/>
        <v>5.6142158946492051</v>
      </c>
      <c r="AL200" s="31">
        <f t="shared" si="133"/>
        <v>1.4511054947004485</v>
      </c>
      <c r="AM200" s="31" t="str">
        <f t="shared" si="115"/>
        <v>1+4114.56887429892i</v>
      </c>
      <c r="AN200" s="31">
        <f t="shared" si="134"/>
        <v>4114.568995818332</v>
      </c>
      <c r="AO200" s="31">
        <f t="shared" si="135"/>
        <v>1.570553287970937</v>
      </c>
      <c r="AP200" s="31" t="str">
        <f t="shared" si="116"/>
        <v>1+4.82210287846665i</v>
      </c>
      <c r="AQ200" s="31">
        <f t="shared" si="136"/>
        <v>4.9247006173488712</v>
      </c>
      <c r="AR200" s="31">
        <f t="shared" si="137"/>
        <v>1.3663163184721547</v>
      </c>
      <c r="AS200" s="58" t="str">
        <f t="shared" si="138"/>
        <v>-8.73290183132458+0.744372909154463i</v>
      </c>
      <c r="AT200" s="49">
        <f t="shared" si="139"/>
        <v>18.85461104324521</v>
      </c>
      <c r="AU200" s="61">
        <f t="shared" si="140"/>
        <v>175.12801295485707</v>
      </c>
      <c r="AV200" s="58" t="str">
        <f t="shared" si="117"/>
        <v>1007.33267774424+1891.62224220341i</v>
      </c>
      <c r="AW200" s="64">
        <f t="shared" si="141"/>
        <v>66.620920798381619</v>
      </c>
      <c r="AX200" s="61">
        <f t="shared" si="142"/>
        <v>61.963664418393584</v>
      </c>
    </row>
    <row r="201" spans="14:50" x14ac:dyDescent="0.4">
      <c r="N201" s="10">
        <v>83</v>
      </c>
      <c r="O201" s="50">
        <f t="shared" si="143"/>
        <v>676.08297539198213</v>
      </c>
      <c r="P201" s="48" t="str">
        <f t="shared" si="108"/>
        <v>5120.19230769231</v>
      </c>
      <c r="Q201" s="17" t="str">
        <f t="shared" si="109"/>
        <v>1+19.8510186929302i</v>
      </c>
      <c r="R201" s="17">
        <f t="shared" si="118"/>
        <v>19.876190357990243</v>
      </c>
      <c r="S201" s="17">
        <f t="shared" si="119"/>
        <v>1.5204636253592341</v>
      </c>
      <c r="T201" s="17" t="str">
        <f t="shared" si="110"/>
        <v>1+0.0000424370666279975i</v>
      </c>
      <c r="U201" s="17">
        <f t="shared" si="120"/>
        <v>1.0000000009004522</v>
      </c>
      <c r="V201" s="17">
        <f t="shared" si="121"/>
        <v>4.2437066602522461E-5</v>
      </c>
      <c r="W201" s="31" t="str">
        <f t="shared" si="111"/>
        <v>1-0.068816864802158i</v>
      </c>
      <c r="X201" s="17">
        <f t="shared" si="122"/>
        <v>1.00236508363031</v>
      </c>
      <c r="Y201" s="17">
        <f t="shared" si="123"/>
        <v>-6.8708539033498203E-2</v>
      </c>
      <c r="Z201" s="31" t="str">
        <f t="shared" si="112"/>
        <v>0.999817164724154+0.418989530435448i</v>
      </c>
      <c r="AA201" s="17">
        <f t="shared" si="124"/>
        <v>1.084060233331877</v>
      </c>
      <c r="AB201" s="17">
        <f t="shared" si="125"/>
        <v>0.39683390724278267</v>
      </c>
      <c r="AC201" s="66" t="str">
        <f t="shared" si="126"/>
        <v>-96.0727450350581-217.956548714892i</v>
      </c>
      <c r="AD201" s="64">
        <f t="shared" si="127"/>
        <v>47.538512847568903</v>
      </c>
      <c r="AE201" s="61">
        <f t="shared" si="128"/>
        <v>-113.78733452726006</v>
      </c>
      <c r="AF201" s="31" t="str">
        <f t="shared" si="113"/>
        <v>-10.0808080808081</v>
      </c>
      <c r="AG201" s="31" t="str">
        <f t="shared" si="129"/>
        <v>4247.95461741716i</v>
      </c>
      <c r="AH201" s="31">
        <f t="shared" si="130"/>
        <v>4247.9546174171601</v>
      </c>
      <c r="AI201" s="31">
        <f t="shared" si="131"/>
        <v>1.5707963267948966</v>
      </c>
      <c r="AJ201" s="31" t="str">
        <f t="shared" si="114"/>
        <v>0.654831762007712+5.70388583912687i</v>
      </c>
      <c r="AK201" s="31">
        <f t="shared" si="132"/>
        <v>5.741351609362221</v>
      </c>
      <c r="AL201" s="31">
        <f t="shared" si="133"/>
        <v>1.4564922525329362</v>
      </c>
      <c r="AM201" s="31" t="str">
        <f t="shared" si="115"/>
        <v>1+4210.40949532659i</v>
      </c>
      <c r="AN201" s="31">
        <f t="shared" si="134"/>
        <v>4210.4096140798838</v>
      </c>
      <c r="AO201" s="31">
        <f t="shared" si="135"/>
        <v>1.5705588202097753</v>
      </c>
      <c r="AP201" s="31" t="str">
        <f t="shared" si="116"/>
        <v>1+4.93442408359178i</v>
      </c>
      <c r="AQ201" s="31">
        <f t="shared" si="136"/>
        <v>5.0347334623324969</v>
      </c>
      <c r="AR201" s="31">
        <f t="shared" si="137"/>
        <v>1.3708464094272668</v>
      </c>
      <c r="AS201" s="58" t="str">
        <f t="shared" si="138"/>
        <v>-8.7296840654999+0.751583298800325i</v>
      </c>
      <c r="AT201" s="49">
        <f t="shared" si="139"/>
        <v>18.852043330043863</v>
      </c>
      <c r="AU201" s="61">
        <f t="shared" si="140"/>
        <v>175.07924653227155</v>
      </c>
      <c r="AV201" s="58" t="str">
        <f t="shared" si="117"/>
        <v>1002.49721333965+1830.48513964949i</v>
      </c>
      <c r="AW201" s="64">
        <f t="shared" si="141"/>
        <v>66.390556177612737</v>
      </c>
      <c r="AX201" s="61">
        <f t="shared" si="142"/>
        <v>61.291912005011532</v>
      </c>
    </row>
    <row r="202" spans="14:50" x14ac:dyDescent="0.4">
      <c r="N202" s="10">
        <v>84</v>
      </c>
      <c r="O202" s="50">
        <f t="shared" si="143"/>
        <v>691.83097091893671</v>
      </c>
      <c r="P202" s="48" t="str">
        <f t="shared" si="108"/>
        <v>5120.19230769231</v>
      </c>
      <c r="Q202" s="17" t="str">
        <f t="shared" si="109"/>
        <v>1+20.3134083181097i</v>
      </c>
      <c r="R202" s="17">
        <f t="shared" si="118"/>
        <v>20.338007707202994</v>
      </c>
      <c r="S202" s="17">
        <f t="shared" si="119"/>
        <v>1.5216074688913488</v>
      </c>
      <c r="T202" s="17" t="str">
        <f t="shared" si="110"/>
        <v>1+0.0000434255528933813i</v>
      </c>
      <c r="U202" s="17">
        <f t="shared" si="120"/>
        <v>1.0000000009428893</v>
      </c>
      <c r="V202" s="17">
        <f t="shared" si="121"/>
        <v>4.3425552866084306E-5</v>
      </c>
      <c r="W202" s="31" t="str">
        <f t="shared" si="111"/>
        <v>1-0.0704198155027803i</v>
      </c>
      <c r="X202" s="17">
        <f t="shared" si="122"/>
        <v>1.0024764089071851</v>
      </c>
      <c r="Y202" s="17">
        <f t="shared" si="123"/>
        <v>-7.0303757831001609E-2</v>
      </c>
      <c r="Z202" s="31" t="str">
        <f t="shared" si="112"/>
        <v>0.999808547963071+0.428749050333597i</v>
      </c>
      <c r="AA202" s="17">
        <f t="shared" si="124"/>
        <v>1.0878616091865663</v>
      </c>
      <c r="AB202" s="17">
        <f t="shared" si="125"/>
        <v>0.40511118626382897</v>
      </c>
      <c r="AC202" s="66" t="str">
        <f t="shared" si="126"/>
        <v>-95.9062007912589-211.243033032093i</v>
      </c>
      <c r="AD202" s="64">
        <f t="shared" si="127"/>
        <v>47.309567523648838</v>
      </c>
      <c r="AE202" s="61">
        <f t="shared" si="128"/>
        <v>-114.41846775623752</v>
      </c>
      <c r="AF202" s="31" t="str">
        <f t="shared" si="113"/>
        <v>-10.0808080808081</v>
      </c>
      <c r="AG202" s="31" t="str">
        <f t="shared" si="129"/>
        <v>4346.90219152965i</v>
      </c>
      <c r="AH202" s="31">
        <f t="shared" si="130"/>
        <v>4346.9021915296498</v>
      </c>
      <c r="AI202" s="31">
        <f t="shared" si="131"/>
        <v>1.5707963267948966</v>
      </c>
      <c r="AJ202" s="31" t="str">
        <f t="shared" si="114"/>
        <v>0.638564484117848+5.83674640794795i</v>
      </c>
      <c r="AK202" s="31">
        <f t="shared" si="132"/>
        <v>5.8715733182061172</v>
      </c>
      <c r="AL202" s="31">
        <f t="shared" si="133"/>
        <v>1.4618255298540872</v>
      </c>
      <c r="AM202" s="31" t="str">
        <f t="shared" si="115"/>
        <v>1+4308.48253120005i</v>
      </c>
      <c r="AN202" s="31">
        <f t="shared" si="134"/>
        <v>4308.4826472501891</v>
      </c>
      <c r="AO202" s="31">
        <f t="shared" si="135"/>
        <v>1.5705642265194977</v>
      </c>
      <c r="AP202" s="31" t="str">
        <f t="shared" si="116"/>
        <v>1+5.04936158568084i</v>
      </c>
      <c r="AQ202" s="31">
        <f t="shared" si="136"/>
        <v>5.1474316336352954</v>
      </c>
      <c r="AR202" s="31">
        <f t="shared" si="137"/>
        <v>1.3752814347816389</v>
      </c>
      <c r="AS202" s="58" t="str">
        <f t="shared" si="138"/>
        <v>-8.72647255009184+0.759156554271692i</v>
      </c>
      <c r="AT202" s="49">
        <f t="shared" si="139"/>
        <v>18.84951850735527</v>
      </c>
      <c r="AU202" s="61">
        <f t="shared" si="140"/>
        <v>175.02809024436556</v>
      </c>
      <c r="AV202" s="58" t="str">
        <f t="shared" si="117"/>
        <v>997.289361659062+1770.59870822672i</v>
      </c>
      <c r="AW202" s="64">
        <f t="shared" si="141"/>
        <v>66.159086031004108</v>
      </c>
      <c r="AX202" s="61">
        <f t="shared" si="142"/>
        <v>60.609622488128011</v>
      </c>
    </row>
    <row r="203" spans="14:50" x14ac:dyDescent="0.4">
      <c r="N203" s="10">
        <v>85</v>
      </c>
      <c r="O203" s="50">
        <f t="shared" si="143"/>
        <v>707.94578438413873</v>
      </c>
      <c r="P203" s="48" t="str">
        <f t="shared" si="108"/>
        <v>5120.19230769231</v>
      </c>
      <c r="Q203" s="17" t="str">
        <f t="shared" si="109"/>
        <v>1+20.7865683812593i</v>
      </c>
      <c r="R203" s="17">
        <f t="shared" si="118"/>
        <v>20.81060847425584</v>
      </c>
      <c r="S203" s="17">
        <f t="shared" si="119"/>
        <v>1.5227253998557371</v>
      </c>
      <c r="T203" s="17" t="str">
        <f t="shared" si="110"/>
        <v>1+0.0000444370639617143i</v>
      </c>
      <c r="U203" s="17">
        <f t="shared" si="120"/>
        <v>1.0000000009873262</v>
      </c>
      <c r="V203" s="17">
        <f t="shared" si="121"/>
        <v>4.4437063932465043E-5</v>
      </c>
      <c r="W203" s="31" t="str">
        <f t="shared" si="111"/>
        <v>1-0.0720601037216988i</v>
      </c>
      <c r="X203" s="17">
        <f t="shared" si="122"/>
        <v>1.0025929675338752</v>
      </c>
      <c r="Y203" s="17">
        <f t="shared" si="123"/>
        <v>-7.1935763049737866E-2</v>
      </c>
      <c r="Z203" s="31" t="str">
        <f t="shared" si="112"/>
        <v>0.999799525106549+0.438735898653399i</v>
      </c>
      <c r="AA203" s="17">
        <f t="shared" si="124"/>
        <v>1.0918279530999773</v>
      </c>
      <c r="AB203" s="17">
        <f t="shared" si="125"/>
        <v>0.41352108542676574</v>
      </c>
      <c r="AC203" s="66" t="str">
        <f t="shared" si="126"/>
        <v>-95.6883028849714-204.664731321498i</v>
      </c>
      <c r="AD203" s="64">
        <f t="shared" si="127"/>
        <v>47.079438794271589</v>
      </c>
      <c r="AE203" s="61">
        <f t="shared" si="128"/>
        <v>-115.05782126631269</v>
      </c>
      <c r="AF203" s="31" t="str">
        <f t="shared" si="113"/>
        <v>-10.0808080808081</v>
      </c>
      <c r="AG203" s="31" t="str">
        <f t="shared" si="129"/>
        <v>4448.15455072215i</v>
      </c>
      <c r="AH203" s="31">
        <f t="shared" si="130"/>
        <v>4448.1545507221499</v>
      </c>
      <c r="AI203" s="31">
        <f t="shared" si="131"/>
        <v>1.5707963267948966</v>
      </c>
      <c r="AJ203" s="31" t="str">
        <f t="shared" si="114"/>
        <v>0.621530553040294+5.97270169697301i</v>
      </c>
      <c r="AK203" s="31">
        <f t="shared" si="132"/>
        <v>6.0049534377367859</v>
      </c>
      <c r="AL203" s="31">
        <f t="shared" si="133"/>
        <v>1.4671076516766126</v>
      </c>
      <c r="AM203" s="31" t="str">
        <f t="shared" si="115"/>
        <v>1+4408.83998154106i</v>
      </c>
      <c r="AN203" s="31">
        <f t="shared" si="134"/>
        <v>4408.8400949495754</v>
      </c>
      <c r="AO203" s="31">
        <f t="shared" si="135"/>
        <v>1.5705695097665993</v>
      </c>
      <c r="AP203" s="31" t="str">
        <f t="shared" si="116"/>
        <v>1+5.16697632611885i</v>
      </c>
      <c r="AQ203" s="31">
        <f t="shared" si="136"/>
        <v>5.2628551523552929</v>
      </c>
      <c r="AR203" s="31">
        <f t="shared" si="137"/>
        <v>1.3796230478361076</v>
      </c>
      <c r="AS203" s="58" t="str">
        <f t="shared" si="138"/>
        <v>-8.72326116696622+0.76709781073378i</v>
      </c>
      <c r="AT203" s="49">
        <f t="shared" si="139"/>
        <v>18.847031978906319</v>
      </c>
      <c r="AU203" s="61">
        <f t="shared" si="140"/>
        <v>174.97450576912195</v>
      </c>
      <c r="AV203" s="58" t="str">
        <f t="shared" si="117"/>
        <v>991.711924020511+1711.94161532851i</v>
      </c>
      <c r="AW203" s="64">
        <f t="shared" si="141"/>
        <v>65.926470773177911</v>
      </c>
      <c r="AX203" s="61">
        <f t="shared" si="142"/>
        <v>59.916684502809318</v>
      </c>
    </row>
    <row r="204" spans="14:50" x14ac:dyDescent="0.4">
      <c r="N204" s="10">
        <v>86</v>
      </c>
      <c r="O204" s="50">
        <f t="shared" si="143"/>
        <v>724.43596007499025</v>
      </c>
      <c r="P204" s="48" t="str">
        <f t="shared" si="108"/>
        <v>5120.19230769231</v>
      </c>
      <c r="Q204" s="17" t="str">
        <f t="shared" si="109"/>
        <v>1+21.2707497581073i</v>
      </c>
      <c r="R204" s="17">
        <f t="shared" si="118"/>
        <v>21.294243242529699</v>
      </c>
      <c r="S204" s="17">
        <f t="shared" si="119"/>
        <v>1.5238179998105921</v>
      </c>
      <c r="T204" s="17" t="str">
        <f t="shared" si="110"/>
        <v>1+0.0000454721361495539i</v>
      </c>
      <c r="U204" s="17">
        <f t="shared" si="120"/>
        <v>1.0000000010338574</v>
      </c>
      <c r="V204" s="17">
        <f t="shared" si="121"/>
        <v>4.5472136118212758E-5</v>
      </c>
      <c r="W204" s="31" t="str">
        <f t="shared" si="111"/>
        <v>1-0.0737385991614387i</v>
      </c>
      <c r="X204" s="17">
        <f t="shared" si="122"/>
        <v>1.0027150048774034</v>
      </c>
      <c r="Y204" s="17">
        <f t="shared" si="123"/>
        <v>-7.3605385206964261E-2</v>
      </c>
      <c r="Z204" s="31" t="str">
        <f t="shared" si="112"/>
        <v>0.9997900770159+0.448955370554022i</v>
      </c>
      <c r="AA204" s="17">
        <f t="shared" si="124"/>
        <v>1.0959658401833328</v>
      </c>
      <c r="AB204" s="17">
        <f t="shared" si="125"/>
        <v>0.42206332195752849</v>
      </c>
      <c r="AC204" s="66" t="str">
        <f t="shared" si="126"/>
        <v>-95.4199064471706-198.219581104516i</v>
      </c>
      <c r="AD204" s="64">
        <f t="shared" si="127"/>
        <v>46.848091169980314</v>
      </c>
      <c r="AE204" s="61">
        <f t="shared" si="128"/>
        <v>-115.70545973096004</v>
      </c>
      <c r="AF204" s="31" t="str">
        <f t="shared" si="113"/>
        <v>-10.0808080808081</v>
      </c>
      <c r="AG204" s="31" t="str">
        <f t="shared" si="129"/>
        <v>4551.76538033572i</v>
      </c>
      <c r="AH204" s="31">
        <f t="shared" si="130"/>
        <v>4551.7653803357198</v>
      </c>
      <c r="AI204" s="31">
        <f t="shared" si="131"/>
        <v>1.5707963267948966</v>
      </c>
      <c r="AJ204" s="31" t="str">
        <f t="shared" si="114"/>
        <v>0.603693837523456+6.11182379149584i</v>
      </c>
      <c r="AK204" s="31">
        <f t="shared" si="132"/>
        <v>6.141566274799807</v>
      </c>
      <c r="AL204" s="31">
        <f t="shared" si="133"/>
        <v>1.4723409444881026</v>
      </c>
      <c r="AM204" s="31" t="str">
        <f t="shared" si="115"/>
        <v>1+4511.53505719818i</v>
      </c>
      <c r="AN204" s="31">
        <f t="shared" si="134"/>
        <v>4511.5351680252015</v>
      </c>
      <c r="AO204" s="31">
        <f t="shared" si="135"/>
        <v>1.5705746727523269</v>
      </c>
      <c r="AP204" s="31" t="str">
        <f t="shared" si="116"/>
        <v>1+5.28733066579797i</v>
      </c>
      <c r="AQ204" s="31">
        <f t="shared" si="136"/>
        <v>5.381065467868571</v>
      </c>
      <c r="AR204" s="31">
        <f t="shared" si="137"/>
        <v>1.383872895555518</v>
      </c>
      <c r="AS204" s="58" t="str">
        <f t="shared" si="138"/>
        <v>-8.72004375383109+0.775412253017649i</v>
      </c>
      <c r="AT204" s="49">
        <f t="shared" si="139"/>
        <v>18.844579170450078</v>
      </c>
      <c r="AU204" s="61">
        <f t="shared" si="140"/>
        <v>174.91845433325474</v>
      </c>
      <c r="AV204" s="58" t="str">
        <f t="shared" si="117"/>
        <v>985.767651182264+1654.49365545652i</v>
      </c>
      <c r="AW204" s="64">
        <f t="shared" si="141"/>
        <v>65.692670340430396</v>
      </c>
      <c r="AX204" s="61">
        <f t="shared" si="142"/>
        <v>59.212994602294785</v>
      </c>
    </row>
    <row r="205" spans="14:50" x14ac:dyDescent="0.4">
      <c r="N205" s="10">
        <v>87</v>
      </c>
      <c r="O205" s="50">
        <f t="shared" si="143"/>
        <v>741.31024130091828</v>
      </c>
      <c r="P205" s="48" t="str">
        <f t="shared" si="108"/>
        <v>5120.19230769231</v>
      </c>
      <c r="Q205" s="17" t="str">
        <f t="shared" si="109"/>
        <v>1+21.7662091680287i</v>
      </c>
      <c r="R205" s="17">
        <f t="shared" si="118"/>
        <v>21.789168445500085</v>
      </c>
      <c r="S205" s="17">
        <f t="shared" si="119"/>
        <v>1.524885837626395</v>
      </c>
      <c r="T205" s="17" t="str">
        <f t="shared" si="110"/>
        <v>1+0.0000465313182658748i</v>
      </c>
      <c r="U205" s="17">
        <f t="shared" si="120"/>
        <v>1.0000000010825818</v>
      </c>
      <c r="V205" s="17">
        <f t="shared" si="121"/>
        <v>4.6531318232292161E-5</v>
      </c>
      <c r="W205" s="31" t="str">
        <f t="shared" si="111"/>
        <v>1-0.0754561917824996i</v>
      </c>
      <c r="X205" s="17">
        <f t="shared" si="122"/>
        <v>1.0028427777465008</v>
      </c>
      <c r="Y205" s="17">
        <f t="shared" si="123"/>
        <v>-7.5313472303157408E-2</v>
      </c>
      <c r="Z205" s="31" t="str">
        <f t="shared" si="112"/>
        <v>0.999780183650457+0.45941288453474i</v>
      </c>
      <c r="AA205" s="17">
        <f t="shared" si="124"/>
        <v>1.100282061153717</v>
      </c>
      <c r="AB205" s="17">
        <f t="shared" si="125"/>
        <v>0.43073745605097591</v>
      </c>
      <c r="AC205" s="66" t="str">
        <f t="shared" si="126"/>
        <v>-95.1018469109046-191.905614929941i</v>
      </c>
      <c r="AD205" s="64">
        <f t="shared" si="127"/>
        <v>46.615488716100458</v>
      </c>
      <c r="AE205" s="61">
        <f t="shared" si="128"/>
        <v>-116.36143910048297</v>
      </c>
      <c r="AF205" s="31" t="str">
        <f t="shared" si="113"/>
        <v>-10.0808080808081</v>
      </c>
      <c r="AG205" s="31" t="str">
        <f t="shared" si="129"/>
        <v>4657.78961620368i</v>
      </c>
      <c r="AH205" s="31">
        <f t="shared" si="130"/>
        <v>4657.7896162036805</v>
      </c>
      <c r="AI205" s="31">
        <f t="shared" si="131"/>
        <v>1.5707963267948966</v>
      </c>
      <c r="AJ205" s="31" t="str">
        <f t="shared" si="114"/>
        <v>0.585016503502314+6.25418645589249i</v>
      </c>
      <c r="AK205" s="31">
        <f t="shared" si="132"/>
        <v>6.2814880828064243</v>
      </c>
      <c r="AL205" s="31">
        <f t="shared" si="133"/>
        <v>1.4775277355408809</v>
      </c>
      <c r="AM205" s="31" t="str">
        <f t="shared" si="115"/>
        <v>1+4616.62220845984i</v>
      </c>
      <c r="AN205" s="31">
        <f t="shared" si="134"/>
        <v>4616.622316764131</v>
      </c>
      <c r="AO205" s="31">
        <f t="shared" si="135"/>
        <v>1.5705797182141625</v>
      </c>
      <c r="AP205" s="31" t="str">
        <f t="shared" si="116"/>
        <v>1+5.4104884181822i</v>
      </c>
      <c r="AQ205" s="31">
        <f t="shared" si="136"/>
        <v>5.5021254914154518</v>
      </c>
      <c r="AR205" s="31">
        <f t="shared" si="137"/>
        <v>1.3880326169091179</v>
      </c>
      <c r="AS205" s="58" t="str">
        <f t="shared" si="138"/>
        <v>-8.71681409599621+0.784105121233422i</v>
      </c>
      <c r="AT205" s="49">
        <f t="shared" si="139"/>
        <v>18.84215552508411</v>
      </c>
      <c r="AU205" s="61">
        <f t="shared" si="140"/>
        <v>174.85989665789501</v>
      </c>
      <c r="AV205" s="58" t="str">
        <f t="shared" si="117"/>
        <v>979.459295168263+1598.23572412053i</v>
      </c>
      <c r="AW205" s="64">
        <f t="shared" si="141"/>
        <v>65.457644241184568</v>
      </c>
      <c r="AX205" s="61">
        <f t="shared" si="142"/>
        <v>58.49845755741196</v>
      </c>
    </row>
    <row r="206" spans="14:50" x14ac:dyDescent="0.4">
      <c r="N206" s="10">
        <v>88</v>
      </c>
      <c r="O206" s="50">
        <f t="shared" si="143"/>
        <v>758.57757502918378</v>
      </c>
      <c r="P206" s="48" t="str">
        <f t="shared" si="108"/>
        <v>5120.19230769231</v>
      </c>
      <c r="Q206" s="17" t="str">
        <f t="shared" si="109"/>
        <v>1+22.2732093101609i</v>
      </c>
      <c r="R206" s="17">
        <f t="shared" si="118"/>
        <v>22.295646502719723</v>
      </c>
      <c r="S206" s="17">
        <f t="shared" si="119"/>
        <v>1.5259294697382975</v>
      </c>
      <c r="T206" s="17" t="str">
        <f t="shared" si="110"/>
        <v>1+0.0000476151719030552i</v>
      </c>
      <c r="U206" s="17">
        <f t="shared" si="120"/>
        <v>1.0000000011336023</v>
      </c>
      <c r="V206" s="17">
        <f t="shared" si="121"/>
        <v>4.7615171867070757E-5</v>
      </c>
      <c r="W206" s="31" t="str">
        <f t="shared" si="111"/>
        <v>1-0.0772137922752245i</v>
      </c>
      <c r="X206" s="17">
        <f t="shared" si="122"/>
        <v>1.0029765549191674</v>
      </c>
      <c r="Y206" s="17">
        <f t="shared" si="123"/>
        <v>-7.7060890098789678E-2</v>
      </c>
      <c r="Z206" s="31" t="str">
        <f t="shared" si="112"/>
        <v>0.999769824025065+0.470113985307887i</v>
      </c>
      <c r="AA206" s="17">
        <f t="shared" si="124"/>
        <v>1.1047836259707933</v>
      </c>
      <c r="AB206" s="17">
        <f t="shared" si="125"/>
        <v>0.43954288429896643</v>
      </c>
      <c r="AC206" s="66" t="str">
        <f t="shared" si="126"/>
        <v>-94.7349454240462-185.720958740991i</v>
      </c>
      <c r="AD206" s="64">
        <f t="shared" si="127"/>
        <v>46.381595112790649</v>
      </c>
      <c r="AE206" s="61">
        <f t="shared" si="128"/>
        <v>-117.02580625577129</v>
      </c>
      <c r="AF206" s="31" t="str">
        <f t="shared" si="113"/>
        <v>-10.0808080808081</v>
      </c>
      <c r="AG206" s="31" t="str">
        <f t="shared" si="129"/>
        <v>4766.28347377929i</v>
      </c>
      <c r="AH206" s="31">
        <f t="shared" si="130"/>
        <v>4766.28347377929</v>
      </c>
      <c r="AI206" s="31">
        <f t="shared" si="131"/>
        <v>1.5707963267948966</v>
      </c>
      <c r="AJ206" s="31" t="str">
        <f t="shared" si="114"/>
        <v>0.565458933847292+6.39986517273198i</v>
      </c>
      <c r="AK206" s="31">
        <f t="shared" si="132"/>
        <v>6.4247971201443752</v>
      </c>
      <c r="AL206" s="31">
        <f t="shared" si="133"/>
        <v>1.4826703522371181</v>
      </c>
      <c r="AM206" s="31" t="str">
        <f t="shared" si="115"/>
        <v>1+4724.15715392466i</v>
      </c>
      <c r="AN206" s="31">
        <f t="shared" si="134"/>
        <v>4724.1572597636432</v>
      </c>
      <c r="AO206" s="31">
        <f t="shared" si="135"/>
        <v>1.5705846488272759</v>
      </c>
      <c r="AP206" s="31" t="str">
        <f t="shared" si="116"/>
        <v>1+5.53651488314203i</v>
      </c>
      <c r="AQ206" s="31">
        <f t="shared" si="136"/>
        <v>5.6260996304058821</v>
      </c>
      <c r="AR206" s="31">
        <f t="shared" si="137"/>
        <v>1.3921038413406377</v>
      </c>
      <c r="AS206" s="58" t="str">
        <f t="shared" si="138"/>
        <v>-8.71356591776496+0.793181715935895i</v>
      </c>
      <c r="AT206" s="49">
        <f t="shared" si="139"/>
        <v>18.839756498256634</v>
      </c>
      <c r="AU206" s="61">
        <f t="shared" si="140"/>
        <v>174.7987929062455</v>
      </c>
      <c r="AV206" s="58" t="str">
        <f t="shared" si="117"/>
        <v>972.789660407731+1543.14978972959i</v>
      </c>
      <c r="AW206" s="64">
        <f t="shared" si="141"/>
        <v>65.221351611047268</v>
      </c>
      <c r="AX206" s="61">
        <f t="shared" si="142"/>
        <v>57.772986650474166</v>
      </c>
    </row>
    <row r="207" spans="14:50" x14ac:dyDescent="0.4">
      <c r="N207" s="10">
        <v>89</v>
      </c>
      <c r="O207" s="50">
        <f t="shared" si="143"/>
        <v>776.24711662869231</v>
      </c>
      <c r="P207" s="48" t="str">
        <f t="shared" si="108"/>
        <v>5120.19230769231</v>
      </c>
      <c r="Q207" s="17" t="str">
        <f t="shared" si="109"/>
        <v>1+22.7920190026901i</v>
      </c>
      <c r="R207" s="17">
        <f t="shared" si="118"/>
        <v>22.813945958974013</v>
      </c>
      <c r="S207" s="17">
        <f t="shared" si="119"/>
        <v>1.5269494403951591</v>
      </c>
      <c r="T207" s="17" t="str">
        <f t="shared" si="110"/>
        <v>1+0.0000487242717346398i</v>
      </c>
      <c r="U207" s="17">
        <f t="shared" si="120"/>
        <v>1.0000000011870274</v>
      </c>
      <c r="V207" s="17">
        <f t="shared" si="121"/>
        <v>4.8724271696081767E-5</v>
      </c>
      <c r="W207" s="31" t="str">
        <f t="shared" si="111"/>
        <v>1-0.0790123325426591i</v>
      </c>
      <c r="X207" s="17">
        <f t="shared" si="122"/>
        <v>1.0031166176939907</v>
      </c>
      <c r="Y207" s="17">
        <f t="shared" si="123"/>
        <v>-7.8848522388547448E-2</v>
      </c>
      <c r="Z207" s="31" t="str">
        <f t="shared" si="112"/>
        <v>0.99975897616557+0.481064346738738i</v>
      </c>
      <c r="AA207" s="17">
        <f t="shared" si="124"/>
        <v>1.1094777672972078</v>
      </c>
      <c r="AB207" s="17">
        <f t="shared" si="125"/>
        <v>0.44847883329896698</v>
      </c>
      <c r="AC207" s="66" t="str">
        <f t="shared" si="126"/>
        <v>-94.3200142078747-179.663829966272i</v>
      </c>
      <c r="AD207" s="64">
        <f t="shared" si="127"/>
        <v>46.146373720097287</v>
      </c>
      <c r="AE207" s="61">
        <f t="shared" si="128"/>
        <v>-117.69859867206605</v>
      </c>
      <c r="AF207" s="31" t="str">
        <f t="shared" si="113"/>
        <v>-10.0808080808081</v>
      </c>
      <c r="AG207" s="31" t="str">
        <f t="shared" si="129"/>
        <v>4877.30447794192i</v>
      </c>
      <c r="AH207" s="31">
        <f t="shared" si="130"/>
        <v>4877.3044779419197</v>
      </c>
      <c r="AI207" s="31">
        <f t="shared" si="131"/>
        <v>1.5707963267948966</v>
      </c>
      <c r="AJ207" s="31" t="str">
        <f t="shared" si="114"/>
        <v>0.544979644331025+6.5489371827983i</v>
      </c>
      <c r="AK207" s="31">
        <f t="shared" si="132"/>
        <v>6.5715737108377095</v>
      </c>
      <c r="AL207" s="31">
        <f t="shared" si="133"/>
        <v>1.4877711216033866</v>
      </c>
      <c r="AM207" s="31" t="str">
        <f t="shared" si="115"/>
        <v>1+4834.19691004409i</v>
      </c>
      <c r="AN207" s="31">
        <f t="shared" si="134"/>
        <v>4834.1970134738849</v>
      </c>
      <c r="AO207" s="31">
        <f t="shared" si="135"/>
        <v>1.5705894672059422</v>
      </c>
      <c r="AP207" s="31" t="str">
        <f t="shared" si="116"/>
        <v>1+5.66547688157734i</v>
      </c>
      <c r="AQ207" s="31">
        <f t="shared" si="136"/>
        <v>5.7530538234651774</v>
      </c>
      <c r="AR207" s="31">
        <f t="shared" si="137"/>
        <v>1.3960881873617248</v>
      </c>
      <c r="AS207" s="58" t="str">
        <f t="shared" si="138"/>
        <v>-8.71029287346921+0.802647402839343i</v>
      </c>
      <c r="AT207" s="49">
        <f t="shared" si="139"/>
        <v>18.8373775524765</v>
      </c>
      <c r="AU207" s="61">
        <f t="shared" si="140"/>
        <v>174.7351026331784</v>
      </c>
      <c r="AV207" s="58" t="str">
        <f t="shared" si="117"/>
        <v>965.761654086963+1489.21886333568i</v>
      </c>
      <c r="AW207" s="64">
        <f t="shared" si="141"/>
        <v>64.98375127257377</v>
      </c>
      <c r="AX207" s="61">
        <f t="shared" si="142"/>
        <v>57.036503961112317</v>
      </c>
    </row>
    <row r="208" spans="14:50" x14ac:dyDescent="0.4">
      <c r="N208" s="10">
        <v>90</v>
      </c>
      <c r="O208" s="50">
        <f t="shared" si="143"/>
        <v>794.32823472428208</v>
      </c>
      <c r="P208" s="48" t="str">
        <f t="shared" si="108"/>
        <v>5120.19230769231</v>
      </c>
      <c r="Q208" s="17" t="str">
        <f t="shared" si="109"/>
        <v>1+23.3229133253826i</v>
      </c>
      <c r="R208" s="17">
        <f t="shared" si="118"/>
        <v>23.344341626683526</v>
      </c>
      <c r="S208" s="17">
        <f t="shared" si="119"/>
        <v>1.527946281905159</v>
      </c>
      <c r="T208" s="17" t="str">
        <f t="shared" si="110"/>
        <v>1+0.0000498592058200402i</v>
      </c>
      <c r="U208" s="17">
        <f t="shared" si="120"/>
        <v>1.0000000012429702</v>
      </c>
      <c r="V208" s="17">
        <f t="shared" si="121"/>
        <v>4.985920577872453E-5</v>
      </c>
      <c r="W208" s="31" t="str">
        <f t="shared" si="111"/>
        <v>1-0.0808527661946597i</v>
      </c>
      <c r="X208" s="17">
        <f t="shared" si="122"/>
        <v>1.003263260466229</v>
      </c>
      <c r="Y208" s="17">
        <f t="shared" si="123"/>
        <v>-8.0677271272328877E-2</v>
      </c>
      <c r="Z208" s="31" t="str">
        <f t="shared" si="112"/>
        <v>0.999747617062208+0.49226977485387i</v>
      </c>
      <c r="AA208" s="17">
        <f t="shared" si="124"/>
        <v>1.114371943767539</v>
      </c>
      <c r="AB208" s="17">
        <f t="shared" si="125"/>
        <v>0.45754435349032296</v>
      </c>
      <c r="AC208" s="66" t="str">
        <f t="shared" si="126"/>
        <v>-93.8578618449048-173.732535324108i</v>
      </c>
      <c r="AD208" s="64">
        <f t="shared" si="127"/>
        <v>45.90978764807295</v>
      </c>
      <c r="AE208" s="61">
        <f t="shared" si="128"/>
        <v>-118.37984409538477</v>
      </c>
      <c r="AF208" s="31" t="str">
        <f t="shared" si="113"/>
        <v>-10.0808080808081</v>
      </c>
      <c r="AG208" s="31" t="str">
        <f t="shared" si="129"/>
        <v>4990.91149349751i</v>
      </c>
      <c r="AH208" s="31">
        <f t="shared" si="130"/>
        <v>4990.9114934975096</v>
      </c>
      <c r="AI208" s="31">
        <f t="shared" si="131"/>
        <v>1.5707963267948966</v>
      </c>
      <c r="AJ208" s="31" t="str">
        <f t="shared" si="114"/>
        <v>0.523535195634743+6.70148152604436i</v>
      </c>
      <c r="AK208" s="31">
        <f t="shared" si="132"/>
        <v>6.7219003075753925</v>
      </c>
      <c r="AL208" s="31">
        <f t="shared" si="133"/>
        <v>1.4928323698489956</v>
      </c>
      <c r="AM208" s="31" t="str">
        <f t="shared" si="115"/>
        <v>1+4946.7998213534i</v>
      </c>
      <c r="AN208" s="31">
        <f t="shared" si="134"/>
        <v>4946.7999224288451</v>
      </c>
      <c r="AO208" s="31">
        <f t="shared" si="135"/>
        <v>1.5705941759049289</v>
      </c>
      <c r="AP208" s="31" t="str">
        <f t="shared" si="116"/>
        <v>1+5.79744279084671i</v>
      </c>
      <c r="AQ208" s="31">
        <f t="shared" si="136"/>
        <v>5.8830555762410146</v>
      </c>
      <c r="AR208" s="31">
        <f t="shared" si="137"/>
        <v>1.3999872612625062</v>
      </c>
      <c r="AS208" s="58" t="str">
        <f t="shared" si="138"/>
        <v>-8.70698853815585+0.812507617078292i</v>
      </c>
      <c r="AT208" s="49">
        <f t="shared" si="139"/>
        <v>18.835014151740747</v>
      </c>
      <c r="AU208" s="61">
        <f t="shared" si="140"/>
        <v>174.66878473674035</v>
      </c>
      <c r="AV208" s="58" t="str">
        <f t="shared" si="117"/>
        <v>958.378335584563+1436.4269661001i</v>
      </c>
      <c r="AW208" s="64">
        <f t="shared" si="141"/>
        <v>64.7448017998137</v>
      </c>
      <c r="AX208" s="61">
        <f t="shared" si="142"/>
        <v>56.288940641355616</v>
      </c>
    </row>
    <row r="209" spans="14:50" x14ac:dyDescent="0.4">
      <c r="N209" s="10">
        <v>91</v>
      </c>
      <c r="O209" s="50">
        <f t="shared" si="143"/>
        <v>812.83051616409978</v>
      </c>
      <c r="P209" s="48" t="str">
        <f t="shared" si="108"/>
        <v>5120.19230769231</v>
      </c>
      <c r="Q209" s="17" t="str">
        <f t="shared" si="109"/>
        <v>1+23.8661737654354i</v>
      </c>
      <c r="R209" s="17">
        <f t="shared" si="118"/>
        <v>23.88711473162795</v>
      </c>
      <c r="S209" s="17">
        <f t="shared" si="119"/>
        <v>1.5289205148779119</v>
      </c>
      <c r="T209" s="17" t="str">
        <f t="shared" si="110"/>
        <v>1+0.0000510205759163309i</v>
      </c>
      <c r="U209" s="17">
        <f t="shared" si="120"/>
        <v>1.0000000013015495</v>
      </c>
      <c r="V209" s="17">
        <f t="shared" si="121"/>
        <v>5.1020575872060361E-5</v>
      </c>
      <c r="W209" s="31" t="str">
        <f t="shared" si="111"/>
        <v>1-0.0827360690535094i</v>
      </c>
      <c r="X209" s="17">
        <f t="shared" si="122"/>
        <v>1.0034167913297181</v>
      </c>
      <c r="Y209" s="17">
        <f t="shared" si="123"/>
        <v>-8.2548057422300244E-2</v>
      </c>
      <c r="Z209" s="31" t="str">
        <f t="shared" si="112"/>
        <v>0.999735722620797+0.503736210919589i</v>
      </c>
      <c r="AA209" s="17">
        <f t="shared" si="124"/>
        <v>1.1194738430511684</v>
      </c>
      <c r="AB209" s="17">
        <f t="shared" si="125"/>
        <v>0.46673831326759141</v>
      </c>
      <c r="AC209" s="66" t="str">
        <f t="shared" si="126"/>
        <v>-93.3492984770942-167.92546833085i</v>
      </c>
      <c r="AD209" s="64">
        <f t="shared" si="127"/>
        <v>45.671799831984615</v>
      </c>
      <c r="AE209" s="61">
        <f t="shared" si="128"/>
        <v>-119.06956023439646</v>
      </c>
      <c r="AF209" s="31" t="str">
        <f t="shared" si="113"/>
        <v>-10.0808080808081</v>
      </c>
      <c r="AG209" s="31" t="str">
        <f t="shared" si="129"/>
        <v>5107.16475638947i</v>
      </c>
      <c r="AH209" s="31">
        <f t="shared" si="130"/>
        <v>5107.1647563894703</v>
      </c>
      <c r="AI209" s="31">
        <f t="shared" si="131"/>
        <v>1.5707963267948966</v>
      </c>
      <c r="AJ209" s="31" t="str">
        <f t="shared" si="114"/>
        <v>0.501080101207652+6.85757908350013i</v>
      </c>
      <c r="AK209" s="31">
        <f t="shared" si="132"/>
        <v>6.8758615572366457</v>
      </c>
      <c r="AL209" s="31">
        <f t="shared" si="133"/>
        <v>1.4978564220025932</v>
      </c>
      <c r="AM209" s="31" t="str">
        <f t="shared" si="115"/>
        <v>1+5062.02559140662i</v>
      </c>
      <c r="AN209" s="31">
        <f t="shared" si="134"/>
        <v>5062.0256901813082</v>
      </c>
      <c r="AO209" s="31">
        <f t="shared" si="135"/>
        <v>1.5705987774208499</v>
      </c>
      <c r="AP209" s="31" t="str">
        <f t="shared" si="116"/>
        <v>1+5.93248258102201i</v>
      </c>
      <c r="AQ209" s="31">
        <f t="shared" si="136"/>
        <v>6.0161739979932074</v>
      </c>
      <c r="AR209" s="31">
        <f t="shared" si="137"/>
        <v>1.403802655933198</v>
      </c>
      <c r="AS209" s="58" t="str">
        <f t="shared" si="138"/>
        <v>-8.70364639793238+0.822767867009713i</v>
      </c>
      <c r="AT209" s="49">
        <f t="shared" si="139"/>
        <v>18.832661755691891</v>
      </c>
      <c r="AU209" s="61">
        <f t="shared" si="140"/>
        <v>174.59979741153458</v>
      </c>
      <c r="AV209" s="58" t="str">
        <f t="shared" si="117"/>
        <v>950.642964834856+1384.75909436406i</v>
      </c>
      <c r="AW209" s="64">
        <f t="shared" si="141"/>
        <v>64.504461587676502</v>
      </c>
      <c r="AX209" s="61">
        <f t="shared" si="142"/>
        <v>55.53023717713814</v>
      </c>
    </row>
    <row r="210" spans="14:50" x14ac:dyDescent="0.4">
      <c r="N210" s="10">
        <v>92</v>
      </c>
      <c r="O210" s="50">
        <f t="shared" si="143"/>
        <v>831.7637711026714</v>
      </c>
      <c r="P210" s="48" t="str">
        <f t="shared" si="108"/>
        <v>5120.19230769231</v>
      </c>
      <c r="Q210" s="17" t="str">
        <f t="shared" si="109"/>
        <v>1+24.4220883667248i</v>
      </c>
      <c r="R210" s="17">
        <f t="shared" si="118"/>
        <v>24.44255306207015</v>
      </c>
      <c r="S210" s="17">
        <f t="shared" si="119"/>
        <v>1.5298726484630314</v>
      </c>
      <c r="T210" s="17" t="str">
        <f t="shared" si="110"/>
        <v>1+0.0000522089977973096i</v>
      </c>
      <c r="U210" s="17">
        <f t="shared" si="120"/>
        <v>1.0000000013628896</v>
      </c>
      <c r="V210" s="17">
        <f t="shared" si="121"/>
        <v>5.220899774987286E-5</v>
      </c>
      <c r="W210" s="31" t="str">
        <f t="shared" si="111"/>
        <v>1-0.0846632396713127i</v>
      </c>
      <c r="X210" s="17">
        <f t="shared" si="122"/>
        <v>1.0035775327056908</v>
      </c>
      <c r="Y210" s="17">
        <f t="shared" si="123"/>
        <v>-8.4461820345236666E-2</v>
      </c>
      <c r="Z210" s="31" t="str">
        <f t="shared" si="112"/>
        <v>0.999723267611632+0.515469734592075i</v>
      </c>
      <c r="AA210" s="17">
        <f t="shared" si="124"/>
        <v>1.1247913846951811</v>
      </c>
      <c r="AB210" s="17">
        <f t="shared" si="125"/>
        <v>0.47605939342236103</v>
      </c>
      <c r="AC210" s="66" t="str">
        <f t="shared" si="126"/>
        <v>-92.7951408933047-162.241106505314i</v>
      </c>
      <c r="AD210" s="64">
        <f t="shared" si="127"/>
        <v>45.432373112601638</v>
      </c>
      <c r="AE210" s="61">
        <f t="shared" si="128"/>
        <v>-119.76775447064298</v>
      </c>
      <c r="AF210" s="31" t="str">
        <f t="shared" si="113"/>
        <v>-10.0808080808081</v>
      </c>
      <c r="AG210" s="31" t="str">
        <f t="shared" si="129"/>
        <v>5226.12590563659i</v>
      </c>
      <c r="AH210" s="31">
        <f t="shared" si="130"/>
        <v>5226.1259056365898</v>
      </c>
      <c r="AI210" s="31">
        <f t="shared" si="131"/>
        <v>1.5707963267948966</v>
      </c>
      <c r="AJ210" s="31" t="str">
        <f t="shared" si="114"/>
        <v>0.477566730783866+7.01731262015676i</v>
      </c>
      <c r="AK210" s="31">
        <f t="shared" si="132"/>
        <v>7.0335443690477222</v>
      </c>
      <c r="AL210" s="31">
        <f t="shared" si="133"/>
        <v>1.5028456016216951</v>
      </c>
      <c r="AM210" s="31" t="str">
        <f t="shared" si="115"/>
        <v>1+5179.93531443223i</v>
      </c>
      <c r="AN210" s="31">
        <f t="shared" si="134"/>
        <v>5179.935410958532</v>
      </c>
      <c r="AO210" s="31">
        <f t="shared" si="135"/>
        <v>1.5706032741934886</v>
      </c>
      <c r="AP210" s="31" t="str">
        <f t="shared" si="116"/>
        <v>1+6.07066785198747i</v>
      </c>
      <c r="AQ210" s="31">
        <f t="shared" si="136"/>
        <v>6.1524798389880289</v>
      </c>
      <c r="AR210" s="31">
        <f t="shared" si="137"/>
        <v>1.4075359497908366</v>
      </c>
      <c r="AS210" s="58" t="str">
        <f t="shared" si="138"/>
        <v>-8.70025983997803+0.833433737551551i</v>
      </c>
      <c r="AT210" s="49">
        <f t="shared" si="139"/>
        <v>18.830315813515842</v>
      </c>
      <c r="AU210" s="61">
        <f t="shared" si="140"/>
        <v>174.52809810394575</v>
      </c>
      <c r="AV210" s="58" t="str">
        <f t="shared" si="117"/>
        <v>942.559049438345+1334.20118222045i</v>
      </c>
      <c r="AW210" s="64">
        <f t="shared" si="141"/>
        <v>64.262688926117477</v>
      </c>
      <c r="AX210" s="61">
        <f t="shared" si="142"/>
        <v>54.760343633302746</v>
      </c>
    </row>
    <row r="211" spans="14:50" x14ac:dyDescent="0.4">
      <c r="N211" s="10">
        <v>93</v>
      </c>
      <c r="O211" s="50">
        <f t="shared" si="143"/>
        <v>851.13803820237763</v>
      </c>
      <c r="P211" s="48" t="str">
        <f t="shared" ref="P211:P274" si="144">COMPLEX(Adc,0)</f>
        <v>5120.19230769231</v>
      </c>
      <c r="Q211" s="17" t="str">
        <f t="shared" ref="Q211:Q274" si="145">IMSUM(COMPLEX(1,0),IMDIV(COMPLEX(0,2*PI()*O211),COMPLEX(wp_lf,0)))</f>
        <v>1+24.9909518825309i</v>
      </c>
      <c r="R211" s="17">
        <f t="shared" si="118"/>
        <v>25.010951121358314</v>
      </c>
      <c r="S211" s="17">
        <f t="shared" si="119"/>
        <v>1.530803180585095</v>
      </c>
      <c r="T211" s="17" t="str">
        <f t="shared" ref="T211:T274" si="146">IMSUM(COMPLEX(1,0),IMDIV(COMPLEX(0,2*PI()*O211),COMPLEX(wz_esr,0)))</f>
        <v>1+0.0000534251015799883i</v>
      </c>
      <c r="U211" s="17">
        <f t="shared" si="120"/>
        <v>1.0000000014271206</v>
      </c>
      <c r="V211" s="17">
        <f t="shared" si="121"/>
        <v>5.3425101529158918E-5</v>
      </c>
      <c r="W211" s="31" t="str">
        <f t="shared" ref="W211:W274" si="147">IMSUB(COMPLEX(1,0),IMDIV(COMPLEX(0,2*PI()*O211),COMPLEX(wz_rhp,0)))</f>
        <v>1-0.0866352998594404i</v>
      </c>
      <c r="X211" s="17">
        <f t="shared" si="122"/>
        <v>1.0037458219996411</v>
      </c>
      <c r="Y211" s="17">
        <f t="shared" si="123"/>
        <v>-8.641951863930733E-2</v>
      </c>
      <c r="Z211" s="31" t="str">
        <f t="shared" ref="Z211:Z274" si="148">IMSUM(COMPLEX(1,0),IMDIV(COMPLEX(0,2*PI()*O211),COMPLEX(Q*(wsl/2),0)),IMDIV(IMPOWER(COMPLEX(0,2*PI()*O211),2),IMPOWER(COMPLEX(wsl/2,0),2)))</f>
        <v>0.99971022561597+0.527476567140892i</v>
      </c>
      <c r="AA211" s="17">
        <f t="shared" si="124"/>
        <v>1.1303327227342725</v>
      </c>
      <c r="AB211" s="17">
        <f t="shared" si="125"/>
        <v>0.48550608196660949</v>
      </c>
      <c r="AC211" s="66" t="str">
        <f t="shared" si="126"/>
        <v>-92.1962174827397-156.678008263353i</v>
      </c>
      <c r="AD211" s="64">
        <f t="shared" si="127"/>
        <v>45.191470321512803</v>
      </c>
      <c r="AE211" s="61">
        <f t="shared" si="128"/>
        <v>-120.47442359009472</v>
      </c>
      <c r="AF211" s="31" t="str">
        <f t="shared" ref="AF211:AF274" si="149">COMPLEX(Adc_ea_iso,0)</f>
        <v>-10.0808080808081</v>
      </c>
      <c r="AG211" s="31" t="str">
        <f t="shared" si="129"/>
        <v>5347.85801601484i</v>
      </c>
      <c r="AH211" s="31">
        <f t="shared" si="130"/>
        <v>5347.8580160148404</v>
      </c>
      <c r="AI211" s="31">
        <f t="shared" si="131"/>
        <v>1.5707963267948966</v>
      </c>
      <c r="AJ211" s="31" t="str">
        <f t="shared" ref="AJ211:AJ274" si="150">IMSUM(IMPRODUCT(COMPLEX(wpA_ea_iso,0),IMPOWER(COMPLEX(0,2*PI()*O211),2)),COMPLEX(0,wpB_ea_iso*2*PI()*O211),COMPLEX(1,0))</f>
        <v>0.452945209352224+7.18076682884971i</v>
      </c>
      <c r="AK211" s="31">
        <f t="shared" si="132"/>
        <v>7.1950379855135891</v>
      </c>
      <c r="AL211" s="31">
        <f t="shared" si="133"/>
        <v>1.5078022305699448</v>
      </c>
      <c r="AM211" s="31" t="str">
        <f t="shared" ref="AM211:AM274" si="151">IMSUM(COMPLEX(1,0),IMDIV(COMPLEX(0,2*PI()*O211),COMPLEX(wz1_ea_iso,0)))</f>
        <v>1+5300.59150772611i</v>
      </c>
      <c r="AN211" s="31">
        <f t="shared" si="134"/>
        <v>5300.591602055204</v>
      </c>
      <c r="AO211" s="31">
        <f t="shared" si="135"/>
        <v>1.5706076686070929</v>
      </c>
      <c r="AP211" s="31" t="str">
        <f t="shared" ref="AP211:AP274" si="152">IMSUM(COMPLEX(1,0),IMDIV(COMPLEX(0,2*PI()*O211),COMPLEX(wz2_ea_iso,0)))</f>
        <v>1+6.21207187140284i</v>
      </c>
      <c r="AQ211" s="31">
        <f t="shared" si="136"/>
        <v>6.2920455287191279</v>
      </c>
      <c r="AR211" s="31">
        <f t="shared" si="137"/>
        <v>1.4111887058053725</v>
      </c>
      <c r="AS211" s="58" t="str">
        <f t="shared" si="138"/>
        <v>-8.69682214222472+0.844510893051208i</v>
      </c>
      <c r="AT211" s="49">
        <f t="shared" si="139"/>
        <v>18.827971757588767</v>
      </c>
      <c r="AU211" s="61">
        <f t="shared" si="140"/>
        <v>174.4536434691756</v>
      </c>
      <c r="AV211" s="58" t="str">
        <f t="shared" ref="AV211:AV274" si="153">IMPRODUCT(AC211,AS211)</f>
        <v>934.130390313225+1284.7400615021i</v>
      </c>
      <c r="AW211" s="64">
        <f t="shared" si="141"/>
        <v>64.019442079101552</v>
      </c>
      <c r="AX211" s="61">
        <f t="shared" si="142"/>
        <v>53.979219879080794</v>
      </c>
    </row>
    <row r="212" spans="14:50" x14ac:dyDescent="0.4">
      <c r="N212" s="10">
        <v>94</v>
      </c>
      <c r="O212" s="50">
        <f t="shared" si="143"/>
        <v>870.96358995608091</v>
      </c>
      <c r="P212" s="48" t="str">
        <f t="shared" si="144"/>
        <v>5120.19230769231</v>
      </c>
      <c r="Q212" s="17" t="str">
        <f t="shared" si="145"/>
        <v>1+25.5730659318193i</v>
      </c>
      <c r="R212" s="17">
        <f t="shared" ref="R212:R275" si="154">IMABS(Q212)</f>
        <v>25.592610284087414</v>
      </c>
      <c r="S212" s="17">
        <f t="shared" ref="S212:S275" si="155">IMARGUMENT(Q212)</f>
        <v>1.5317125981749666</v>
      </c>
      <c r="T212" s="17" t="str">
        <f t="shared" si="146"/>
        <v>1+0.0000546695320586894i</v>
      </c>
      <c r="U212" s="17">
        <f t="shared" ref="U212:U275" si="156">IMABS(T212)</f>
        <v>1.0000000014943788</v>
      </c>
      <c r="V212" s="17">
        <f t="shared" ref="V212:V275" si="157">IMARGUMENT(T212)</f>
        <v>5.4669532004224739E-5</v>
      </c>
      <c r="W212" s="31" t="str">
        <f t="shared" si="147"/>
        <v>1-0.088653295230307i</v>
      </c>
      <c r="X212" s="17">
        <f t="shared" ref="X212:X275" si="158">IMABS(W212)</f>
        <v>1.0039220122874046</v>
      </c>
      <c r="Y212" s="17">
        <f t="shared" ref="Y212:Y275" si="159">IMARGUMENT(W212)</f>
        <v>-8.8422130244404054E-2</v>
      </c>
      <c r="Z212" s="31" t="str">
        <f t="shared" si="148"/>
        <v>0.999696568969988+0.539763074747582i</v>
      </c>
      <c r="AA212" s="17">
        <f t="shared" ref="AA212:AA275" si="160">IMABS(Z212)</f>
        <v>1.1361062480557573</v>
      </c>
      <c r="AB212" s="17">
        <f t="shared" ref="AB212:AB275" si="161">IMARGUMENT(Z212)</f>
        <v>0.49507666939194239</v>
      </c>
      <c r="AC212" s="66" t="str">
        <f t="shared" ref="AC212:AC275" si="162">(IMDIV(IMPRODUCT(P212,T212,W212),IMPRODUCT(Q212,Z212)))</f>
        <v>-91.5533730291063-151.234809498781i</v>
      </c>
      <c r="AD212" s="64">
        <f t="shared" ref="AD212:AD275" si="163">20*LOG(IMABS(AC212))</f>
        <v>44.949054371380377</v>
      </c>
      <c r="AE212" s="61">
        <f t="shared" ref="AE212:AE275" si="164">(180/PI())*IMARGUMENT(AC212)</f>
        <v>-121.18955353910384</v>
      </c>
      <c r="AF212" s="31" t="str">
        <f t="shared" si="149"/>
        <v>-10.0808080808081</v>
      </c>
      <c r="AG212" s="31" t="str">
        <f t="shared" ref="AG212:AG275" si="165">COMPLEX(0,1*2*PI()*O212)</f>
        <v>5472.42563150043i</v>
      </c>
      <c r="AH212" s="31">
        <f t="shared" ref="AH212:AH275" si="166">IMABS(AG212)</f>
        <v>5472.4256315004304</v>
      </c>
      <c r="AI212" s="31">
        <f t="shared" ref="AI212:AI275" si="167">IMARGUMENT(AG212)</f>
        <v>1.5707963267948966</v>
      </c>
      <c r="AJ212" s="31" t="str">
        <f t="shared" si="150"/>
        <v>0.427163311364708+7.348028375164i</v>
      </c>
      <c r="AK212" s="31">
        <f t="shared" ref="AK212:AK275" si="168">IMABS(AJ212)</f>
        <v>7.3604340562762562</v>
      </c>
      <c r="AL212" s="31">
        <f t="shared" ref="AL212:AL275" si="169">IMARGUMENT(AJ212)</f>
        <v>1.5127286288570663</v>
      </c>
      <c r="AM212" s="31" t="str">
        <f t="shared" si="151"/>
        <v>1+5424.058144799i</v>
      </c>
      <c r="AN212" s="31">
        <f t="shared" ref="AN212:AN275" si="170">IMABS(AM212)</f>
        <v>5424.0582369809017</v>
      </c>
      <c r="AO212" s="31">
        <f t="shared" ref="AO212:AO275" si="171">IMARGUMENT(AM212)</f>
        <v>1.5706119629916382</v>
      </c>
      <c r="AP212" s="31" t="str">
        <f t="shared" si="152"/>
        <v>1+6.3567696135509i</v>
      </c>
      <c r="AQ212" s="31">
        <f t="shared" ref="AQ212:AQ275" si="172">IMABS(AP212)</f>
        <v>6.4349452149776729</v>
      </c>
      <c r="AR212" s="31">
        <f t="shared" ref="AR212:AR275" si="173">IMARGUMENT(AP212)</f>
        <v>1.4147624706195565</v>
      </c>
      <c r="AS212" s="58" t="str">
        <f t="shared" ref="AS212:AS275" si="174">IMDIV(IMPRODUCT(AF212,AM212,AP212),IMPRODUCT(AG212,AJ212))</f>
        <v>-8.6933264627118+0.856005079676438i</v>
      </c>
      <c r="AT212" s="49">
        <f t="shared" ref="AT212:AT275" si="175">20*LOG(IMABS(AS212))</f>
        <v>18.825624996880371</v>
      </c>
      <c r="AU212" s="61">
        <f t="shared" ref="AU212:AU275" si="176">(180/PI())*IMARGUMENT(AS212)</f>
        <v>174.3763893300582</v>
      </c>
      <c r="AV212" s="58" t="str">
        <f t="shared" si="153"/>
        <v>925.36112565931+1236.3634191245i</v>
      </c>
      <c r="AW212" s="64">
        <f t="shared" ref="AW212:AW275" si="177">20*LOG(IMABS(AV212))</f>
        <v>63.774679368260728</v>
      </c>
      <c r="AX212" s="61">
        <f t="shared" ref="AX212:AX275" si="178">(180/PI())*IMARGUMENT(AV212)</f>
        <v>53.186835790954269</v>
      </c>
    </row>
    <row r="213" spans="14:50" x14ac:dyDescent="0.4">
      <c r="N213" s="10">
        <v>95</v>
      </c>
      <c r="O213" s="50">
        <f t="shared" si="143"/>
        <v>891.25093813374656</v>
      </c>
      <c r="P213" s="48" t="str">
        <f t="shared" si="144"/>
        <v>5120.19230769231</v>
      </c>
      <c r="Q213" s="17" t="str">
        <f t="shared" si="145"/>
        <v>1+26.1687391591645i</v>
      </c>
      <c r="R213" s="17">
        <f t="shared" si="154"/>
        <v>26.187838955904503</v>
      </c>
      <c r="S213" s="17">
        <f t="shared" si="155"/>
        <v>1.5326013773974587</v>
      </c>
      <c r="T213" s="17" t="str">
        <f t="shared" si="146"/>
        <v>1+0.0000559429490469249i</v>
      </c>
      <c r="U213" s="17">
        <f t="shared" si="156"/>
        <v>1.0000000015648067</v>
      </c>
      <c r="V213" s="17">
        <f t="shared" si="157"/>
        <v>5.5942948988564957E-5</v>
      </c>
      <c r="W213" s="31" t="str">
        <f t="shared" si="147"/>
        <v>1-0.0907182957517701i</v>
      </c>
      <c r="X213" s="17">
        <f t="shared" si="158"/>
        <v>1.0041064730316729</v>
      </c>
      <c r="Y213" s="17">
        <f t="shared" si="159"/>
        <v>-9.0470652685043729E-2</v>
      </c>
      <c r="Z213" s="31" t="str">
        <f t="shared" si="148"/>
        <v>0.99968226870611+0.552335771881114i</v>
      </c>
      <c r="AA213" s="17">
        <f t="shared" si="160"/>
        <v>1.1421205905091201</v>
      </c>
      <c r="AB213" s="17">
        <f t="shared" si="161"/>
        <v>0.50476924441986493</v>
      </c>
      <c r="AC213" s="66" t="str">
        <f t="shared" si="162"/>
        <v>-90.8674733183961-145.910219849376i</v>
      </c>
      <c r="AD213" s="64">
        <f t="shared" si="163"/>
        <v>44.705088350991318</v>
      </c>
      <c r="AE213" s="61">
        <f t="shared" si="164"/>
        <v>-121.91311920785316</v>
      </c>
      <c r="AF213" s="31" t="str">
        <f t="shared" si="149"/>
        <v>-10.0808080808081</v>
      </c>
      <c r="AG213" s="31" t="str">
        <f t="shared" si="165"/>
        <v>5599.89479949198i</v>
      </c>
      <c r="AH213" s="31">
        <f t="shared" si="166"/>
        <v>5599.8947994919799</v>
      </c>
      <c r="AI213" s="31">
        <f t="shared" si="167"/>
        <v>1.5707963267948966</v>
      </c>
      <c r="AJ213" s="31" t="str">
        <f t="shared" si="150"/>
        <v>0.40016634995904+7.51918594338546i</v>
      </c>
      <c r="AK213" s="31">
        <f t="shared" si="168"/>
        <v>7.5298267150609135</v>
      </c>
      <c r="AL213" s="31">
        <f t="shared" si="169"/>
        <v>1.5176271145366249</v>
      </c>
      <c r="AM213" s="31" t="str">
        <f t="shared" si="151"/>
        <v>1+5550.40068929617i</v>
      </c>
      <c r="AN213" s="31">
        <f t="shared" si="170"/>
        <v>5550.4007793797546</v>
      </c>
      <c r="AO213" s="31">
        <f t="shared" si="171"/>
        <v>1.5706161596240635</v>
      </c>
      <c r="AP213" s="31" t="str">
        <f t="shared" si="152"/>
        <v>1+6.50483779908989i</v>
      </c>
      <c r="AQ213" s="31">
        <f t="shared" si="172"/>
        <v>6.5812548037945318</v>
      </c>
      <c r="AR213" s="31">
        <f t="shared" si="173"/>
        <v>1.4182587737572279</v>
      </c>
      <c r="AS213" s="58" t="str">
        <f t="shared" si="174"/>
        <v>-8.6897658286177+0.867922127319854i</v>
      </c>
      <c r="AT213" s="49">
        <f t="shared" si="175"/>
        <v>18.823270910119824</v>
      </c>
      <c r="AU213" s="61">
        <f t="shared" si="176"/>
        <v>174.29629063762729</v>
      </c>
      <c r="AV213" s="58" t="str">
        <f t="shared" si="153"/>
        <v>916.255772984407+1189.05975174652i</v>
      </c>
      <c r="AW213" s="64">
        <f t="shared" si="177"/>
        <v>63.528359261111135</v>
      </c>
      <c r="AX213" s="61">
        <f t="shared" si="178"/>
        <v>52.383171429774116</v>
      </c>
    </row>
    <row r="214" spans="14:50" x14ac:dyDescent="0.4">
      <c r="N214" s="10">
        <v>96</v>
      </c>
      <c r="O214" s="50">
        <f t="shared" si="143"/>
        <v>912.01083935590987</v>
      </c>
      <c r="P214" s="48" t="str">
        <f t="shared" si="144"/>
        <v>5120.19230769231</v>
      </c>
      <c r="Q214" s="17" t="str">
        <f t="shared" si="145"/>
        <v>1+26.7782873983959i</v>
      </c>
      <c r="R214" s="17">
        <f t="shared" si="154"/>
        <v>26.796952737038751</v>
      </c>
      <c r="S214" s="17">
        <f t="shared" si="155"/>
        <v>1.5334699838752979</v>
      </c>
      <c r="T214" s="17" t="str">
        <f t="shared" si="146"/>
        <v>1+0.0000572460277272375i</v>
      </c>
      <c r="U214" s="17">
        <f t="shared" si="156"/>
        <v>1.0000000016385537</v>
      </c>
      <c r="V214" s="17">
        <f t="shared" si="157"/>
        <v>5.7246027664703699E-5</v>
      </c>
      <c r="W214" s="31" t="str">
        <f t="shared" si="147"/>
        <v>1-0.092831396314439i</v>
      </c>
      <c r="X214" s="17">
        <f t="shared" si="158"/>
        <v>1.0042995908301908</v>
      </c>
      <c r="Y214" s="17">
        <f t="shared" si="159"/>
        <v>-9.256610330479291E-2</v>
      </c>
      <c r="Z214" s="31" t="str">
        <f t="shared" si="148"/>
        <v>0.999667294491559+0.565201324751925i</v>
      </c>
      <c r="AA214" s="17">
        <f t="shared" si="160"/>
        <v>1.148384620750994</v>
      </c>
      <c r="AB214" s="17">
        <f t="shared" si="161"/>
        <v>0.5145816902984951</v>
      </c>
      <c r="AC214" s="66" t="str">
        <f t="shared" si="162"/>
        <v>-90.1394095316584-140.703018649585i</v>
      </c>
      <c r="AD214" s="64">
        <f t="shared" si="163"/>
        <v>44.459535624920306</v>
      </c>
      <c r="AE214" s="61">
        <f t="shared" si="164"/>
        <v>-122.6450842444183</v>
      </c>
      <c r="AF214" s="31" t="str">
        <f t="shared" si="149"/>
        <v>-10.0808080808081</v>
      </c>
      <c r="AG214" s="31" t="str">
        <f t="shared" si="165"/>
        <v>5730.33310582957i</v>
      </c>
      <c r="AH214" s="31">
        <f t="shared" si="166"/>
        <v>5730.3331058295698</v>
      </c>
      <c r="AI214" s="31">
        <f t="shared" si="167"/>
        <v>1.5707963267948966</v>
      </c>
      <c r="AJ214" s="31" t="str">
        <f t="shared" si="150"/>
        <v>0.37189706096054+7.69433028352229i</v>
      </c>
      <c r="AK214" s="31">
        <f t="shared" si="168"/>
        <v>7.7033126598807673</v>
      </c>
      <c r="AL214" s="31">
        <f t="shared" si="169"/>
        <v>1.5225000036568395</v>
      </c>
      <c r="AM214" s="31" t="str">
        <f t="shared" si="151"/>
        <v>1+5679.68612970703i</v>
      </c>
      <c r="AN214" s="31">
        <f t="shared" si="170"/>
        <v>5679.6862177400626</v>
      </c>
      <c r="AO214" s="31">
        <f t="shared" si="171"/>
        <v>1.5706202607294786</v>
      </c>
      <c r="AP214" s="31" t="str">
        <f t="shared" si="152"/>
        <v>1+6.65635493573163i</v>
      </c>
      <c r="AQ214" s="31">
        <f t="shared" si="172"/>
        <v>6.7310520002774332</v>
      </c>
      <c r="AR214" s="31">
        <f t="shared" si="173"/>
        <v>1.4216791269148032</v>
      </c>
      <c r="AS214" s="58" t="str">
        <f t="shared" si="174"/>
        <v>-8.68613312496983+0.880267951006721i</v>
      </c>
      <c r="AT214" s="49">
        <f t="shared" si="175"/>
        <v>18.82090483872809</v>
      </c>
      <c r="AU214" s="61">
        <f t="shared" si="176"/>
        <v>174.21330143340873</v>
      </c>
      <c r="AV214" s="58" t="str">
        <f t="shared" si="153"/>
        <v>906.81926892529+1142.81831774202i</v>
      </c>
      <c r="AW214" s="64">
        <f t="shared" si="177"/>
        <v>63.280440463648404</v>
      </c>
      <c r="AX214" s="61">
        <f t="shared" si="178"/>
        <v>51.56821718899041</v>
      </c>
    </row>
    <row r="215" spans="14:50" x14ac:dyDescent="0.4">
      <c r="N215" s="10">
        <v>97</v>
      </c>
      <c r="O215" s="50">
        <f t="shared" si="143"/>
        <v>933.25430079699106</v>
      </c>
      <c r="P215" s="48" t="str">
        <f t="shared" si="144"/>
        <v>5120.19230769231</v>
      </c>
      <c r="Q215" s="17" t="str">
        <f t="shared" si="145"/>
        <v>1+27.4020338400586i</v>
      </c>
      <c r="R215" s="17">
        <f t="shared" si="154"/>
        <v>27.420274589648383</v>
      </c>
      <c r="S215" s="17">
        <f t="shared" si="155"/>
        <v>1.5343188729093939</v>
      </c>
      <c r="T215" s="17" t="str">
        <f t="shared" si="146"/>
        <v>1+0.0000585794590091919i</v>
      </c>
      <c r="U215" s="17">
        <f t="shared" si="156"/>
        <v>1.0000000017157764</v>
      </c>
      <c r="V215" s="17">
        <f t="shared" si="157"/>
        <v>5.8579458942185724E-5</v>
      </c>
      <c r="W215" s="31" t="str">
        <f t="shared" si="147"/>
        <v>1-0.0949937173122029i</v>
      </c>
      <c r="X215" s="17">
        <f t="shared" si="158"/>
        <v>1.0045017701969423</v>
      </c>
      <c r="Y215" s="17">
        <f t="shared" si="159"/>
        <v>-9.4709519491101249E-2</v>
      </c>
      <c r="Z215" s="31" t="str">
        <f t="shared" si="148"/>
        <v>0.999651614564018+0.578366554846443i</v>
      </c>
      <c r="AA215" s="17">
        <f t="shared" si="160"/>
        <v>1.1549074518182794</v>
      </c>
      <c r="AB215" s="17">
        <f t="shared" si="161"/>
        <v>0.52451168170093199</v>
      </c>
      <c r="AC215" s="66" t="str">
        <f t="shared" si="162"/>
        <v>-89.3701023928235-135.612050574665i</v>
      </c>
      <c r="AD215" s="64">
        <f t="shared" si="163"/>
        <v>44.212359937565857</v>
      </c>
      <c r="AE215" s="61">
        <f t="shared" si="164"/>
        <v>-123.38540090253872</v>
      </c>
      <c r="AF215" s="31" t="str">
        <f t="shared" si="149"/>
        <v>-10.0808080808081</v>
      </c>
      <c r="AG215" s="31" t="str">
        <f t="shared" si="165"/>
        <v>5863.80971062981i</v>
      </c>
      <c r="AH215" s="31">
        <f t="shared" si="166"/>
        <v>5863.8097106298101</v>
      </c>
      <c r="AI215" s="31">
        <f t="shared" si="167"/>
        <v>1.5707963267948966</v>
      </c>
      <c r="AJ215" s="31" t="str">
        <f t="shared" si="150"/>
        <v>0.342295481417107+7.87355425942194i</v>
      </c>
      <c r="AK215" s="31">
        <f t="shared" si="168"/>
        <v>7.8809912366820933</v>
      </c>
      <c r="AL215" s="31">
        <f t="shared" si="169"/>
        <v>1.5273496102598476</v>
      </c>
      <c r="AM215" s="31" t="str">
        <f t="shared" si="151"/>
        <v>1+5811.9830148834i</v>
      </c>
      <c r="AN215" s="31">
        <f t="shared" si="170"/>
        <v>5811.9831009125564</v>
      </c>
      <c r="AO215" s="31">
        <f t="shared" si="171"/>
        <v>1.5706242684823428</v>
      </c>
      <c r="AP215" s="31" t="str">
        <f t="shared" si="152"/>
        <v>1+6.81140135986759i</v>
      </c>
      <c r="AQ215" s="31">
        <f t="shared" si="172"/>
        <v>6.8844163503674043</v>
      </c>
      <c r="AR215" s="31">
        <f t="shared" si="173"/>
        <v>1.4250250233309869</v>
      </c>
      <c r="AS215" s="58" t="str">
        <f t="shared" si="174"/>
        <v>-8.68242108303502+0.893048551794207i</v>
      </c>
      <c r="AT215" s="49">
        <f t="shared" si="175"/>
        <v>18.81852207952091</v>
      </c>
      <c r="AU215" s="61">
        <f t="shared" si="176"/>
        <v>174.1273748134173</v>
      </c>
      <c r="AV215" s="58" t="str">
        <f t="shared" si="153"/>
        <v>897.057006579997+1097.62908650747i</v>
      </c>
      <c r="AW215" s="64">
        <f t="shared" si="177"/>
        <v>63.030882017086761</v>
      </c>
      <c r="AX215" s="61">
        <f t="shared" si="178"/>
        <v>50.741973910878549</v>
      </c>
    </row>
    <row r="216" spans="14:50" x14ac:dyDescent="0.4">
      <c r="N216" s="10">
        <v>98</v>
      </c>
      <c r="O216" s="50">
        <f t="shared" si="143"/>
        <v>954.99258602143675</v>
      </c>
      <c r="P216" s="48" t="str">
        <f t="shared" si="144"/>
        <v>5120.19230769231</v>
      </c>
      <c r="Q216" s="17" t="str">
        <f t="shared" si="145"/>
        <v>1+28.040309202772i</v>
      </c>
      <c r="R216" s="17">
        <f t="shared" si="154"/>
        <v>28.058135009067513</v>
      </c>
      <c r="S216" s="17">
        <f t="shared" si="155"/>
        <v>1.5351484896953942</v>
      </c>
      <c r="T216" s="17" t="str">
        <f t="shared" si="146"/>
        <v>1+0.0000599439498957038i</v>
      </c>
      <c r="U216" s="17">
        <f t="shared" si="156"/>
        <v>1.0000000017966386</v>
      </c>
      <c r="V216" s="17">
        <f t="shared" si="157"/>
        <v>5.9943949823905391E-5</v>
      </c>
      <c r="W216" s="31" t="str">
        <f t="shared" si="147"/>
        <v>1-0.0972064052362763i</v>
      </c>
      <c r="X216" s="17">
        <f t="shared" si="158"/>
        <v>1.0047134343776634</v>
      </c>
      <c r="Y216" s="17">
        <f t="shared" si="159"/>
        <v>-9.6901958889328496E-2</v>
      </c>
      <c r="Z216" s="31" t="str">
        <f t="shared" si="148"/>
        <v>0.999635195664258+0.591838442543929i</v>
      </c>
      <c r="AA216" s="17">
        <f t="shared" si="160"/>
        <v>1.1616984404239952</v>
      </c>
      <c r="AB216" s="17">
        <f t="shared" si="161"/>
        <v>0.53455668227954078</v>
      </c>
      <c r="AC216" s="66" t="str">
        <f t="shared" si="162"/>
        <v>-88.5605060407503-130.636220984496i</v>
      </c>
      <c r="AD216" s="64">
        <f t="shared" si="163"/>
        <v>43.963525521272544</v>
      </c>
      <c r="AE216" s="61">
        <f t="shared" si="164"/>
        <v>-124.1340099261384</v>
      </c>
      <c r="AF216" s="31" t="str">
        <f t="shared" si="149"/>
        <v>-10.0808080808081</v>
      </c>
      <c r="AG216" s="31" t="str">
        <f t="shared" si="165"/>
        <v>6000.39538495533i</v>
      </c>
      <c r="AH216" s="31">
        <f t="shared" si="166"/>
        <v>6000.39538495533</v>
      </c>
      <c r="AI216" s="31">
        <f t="shared" si="167"/>
        <v>1.5707963267948966</v>
      </c>
      <c r="AJ216" s="31" t="str">
        <f t="shared" si="150"/>
        <v>0.311298822409779+8.05695289800876i</v>
      </c>
      <c r="AK216" s="31">
        <f t="shared" si="168"/>
        <v>8.0629645266220447</v>
      </c>
      <c r="AL216" s="31">
        <f t="shared" si="169"/>
        <v>1.5321782464249283</v>
      </c>
      <c r="AM216" s="31" t="str">
        <f t="shared" si="151"/>
        <v>1+5947.36149038496i</v>
      </c>
      <c r="AN216" s="31">
        <f t="shared" si="170"/>
        <v>5947.3615744558538</v>
      </c>
      <c r="AO216" s="31">
        <f t="shared" si="171"/>
        <v>1.5706281850076196</v>
      </c>
      <c r="AP216" s="31" t="str">
        <f t="shared" si="152"/>
        <v>1+6.97005927916411i</v>
      </c>
      <c r="AQ216" s="31">
        <f t="shared" si="172"/>
        <v>7.0414292835376608</v>
      </c>
      <c r="AR216" s="31">
        <f t="shared" si="173"/>
        <v>1.4282979372298859</v>
      </c>
      <c r="AS216" s="58" t="str">
        <f t="shared" si="174"/>
        <v>-8.67862226839009+0.90627001714865i</v>
      </c>
      <c r="AT216" s="49">
        <f t="shared" si="175"/>
        <v>18.816117877183164</v>
      </c>
      <c r="AU216" s="61">
        <f t="shared" si="176"/>
        <v>174.0384628938393</v>
      </c>
      <c r="AV216" s="58" t="str">
        <f t="shared" si="153"/>
        <v>886.974870057005+1053.48268516613i</v>
      </c>
      <c r="AW216" s="64">
        <f t="shared" si="177"/>
        <v>62.779643398455704</v>
      </c>
      <c r="AX216" s="61">
        <f t="shared" si="178"/>
        <v>49.904452967700813</v>
      </c>
    </row>
    <row r="217" spans="14:50" x14ac:dyDescent="0.4">
      <c r="N217" s="10">
        <v>99</v>
      </c>
      <c r="O217" s="50">
        <f t="shared" si="143"/>
        <v>977.23722095581138</v>
      </c>
      <c r="P217" s="48" t="str">
        <f t="shared" si="144"/>
        <v>5120.19230769231</v>
      </c>
      <c r="Q217" s="17" t="str">
        <f t="shared" si="145"/>
        <v>1+28.6934519085822i</v>
      </c>
      <c r="R217" s="17">
        <f t="shared" si="154"/>
        <v>28.710872199048911</v>
      </c>
      <c r="S217" s="17">
        <f t="shared" si="155"/>
        <v>1.5359592695365281</v>
      </c>
      <c r="T217" s="17" t="str">
        <f t="shared" si="146"/>
        <v>1+0.0000613402238579024i</v>
      </c>
      <c r="U217" s="17">
        <f t="shared" si="156"/>
        <v>1.0000000018813116</v>
      </c>
      <c r="V217" s="17">
        <f t="shared" si="157"/>
        <v>6.1340223780969021E-5</v>
      </c>
      <c r="W217" s="31" t="str">
        <f t="shared" si="147"/>
        <v>1-0.0994706332830848i</v>
      </c>
      <c r="X217" s="17">
        <f t="shared" si="158"/>
        <v>1.0049350262010663</v>
      </c>
      <c r="Y217" s="17">
        <f t="shared" si="159"/>
        <v>-9.9144499604681108E-2</v>
      </c>
      <c r="Z217" s="31" t="str">
        <f t="shared" si="148"/>
        <v>0.999618002965591+0.605624130817558i</v>
      </c>
      <c r="AA217" s="17">
        <f t="shared" si="160"/>
        <v>1.1687671879726258</v>
      </c>
      <c r="AB217" s="17">
        <f t="shared" si="161"/>
        <v>0.54471394292890118</v>
      </c>
      <c r="AC217" s="66" t="str">
        <f t="shared" si="162"/>
        <v>-87.7116115941073-125.774490978934i</v>
      </c>
      <c r="AD217" s="64">
        <f t="shared" si="163"/>
        <v>43.712997208196207</v>
      </c>
      <c r="AE217" s="61">
        <f t="shared" si="164"/>
        <v>-124.89084047354361</v>
      </c>
      <c r="AF217" s="31" t="str">
        <f t="shared" si="149"/>
        <v>-10.0808080808081</v>
      </c>
      <c r="AG217" s="31" t="str">
        <f t="shared" si="165"/>
        <v>6140.16254833857i</v>
      </c>
      <c r="AH217" s="31">
        <f t="shared" si="166"/>
        <v>6140.1625483385696</v>
      </c>
      <c r="AI217" s="31">
        <f t="shared" si="167"/>
        <v>1.5707963267948966</v>
      </c>
      <c r="AJ217" s="31" t="str">
        <f t="shared" si="150"/>
        <v>0.278841335869006+8.24462343966848i</v>
      </c>
      <c r="AK217" s="31">
        <f t="shared" si="168"/>
        <v>8.2493374371836765</v>
      </c>
      <c r="AL217" s="31">
        <f t="shared" si="169"/>
        <v>1.53698822235133</v>
      </c>
      <c r="AM217" s="31" t="str">
        <f t="shared" si="151"/>
        <v>1+6085.89333567136i</v>
      </c>
      <c r="AN217" s="31">
        <f t="shared" si="170"/>
        <v>6085.8934178285672</v>
      </c>
      <c r="AO217" s="31">
        <f t="shared" si="171"/>
        <v>1.5706320123819018</v>
      </c>
      <c r="AP217" s="31" t="str">
        <f t="shared" si="152"/>
        <v>1+7.13241281615009i</v>
      </c>
      <c r="AQ217" s="31">
        <f t="shared" si="172"/>
        <v>7.2021741564601207</v>
      </c>
      <c r="AR217" s="31">
        <f t="shared" si="173"/>
        <v>1.4314993233329503</v>
      </c>
      <c r="AS217" s="58" t="str">
        <f t="shared" si="174"/>
        <v>-8.67472906867409+0.919938520785564i</v>
      </c>
      <c r="AT217" s="49">
        <f t="shared" si="175"/>
        <v>18.813687416516657</v>
      </c>
      <c r="AU217" s="61">
        <f t="shared" si="176"/>
        <v>173.94651677838732</v>
      </c>
      <c r="AV217" s="58" t="str">
        <f t="shared" si="153"/>
        <v>876.579265939372+1010.37034276704i</v>
      </c>
      <c r="AW217" s="64">
        <f t="shared" si="177"/>
        <v>62.526684624712843</v>
      </c>
      <c r="AX217" s="61">
        <f t="shared" si="178"/>
        <v>49.055676304843566</v>
      </c>
    </row>
    <row r="218" spans="14:50" x14ac:dyDescent="0.4">
      <c r="N218" s="10">
        <v>100</v>
      </c>
      <c r="O218" s="50">
        <f t="shared" si="143"/>
        <v>1000</v>
      </c>
      <c r="P218" s="48" t="str">
        <f t="shared" si="144"/>
        <v>5120.19230769231</v>
      </c>
      <c r="Q218" s="17" t="str">
        <f t="shared" si="145"/>
        <v>1+29.3618082623969i</v>
      </c>
      <c r="R218" s="17">
        <f t="shared" si="154"/>
        <v>29.378832251091243</v>
      </c>
      <c r="S218" s="17">
        <f t="shared" si="155"/>
        <v>1.5367516380527442</v>
      </c>
      <c r="T218" s="17" t="str">
        <f t="shared" si="146"/>
        <v>1+0.0000627690212187242i</v>
      </c>
      <c r="U218" s="17">
        <f t="shared" si="156"/>
        <v>1.0000000019699748</v>
      </c>
      <c r="V218" s="17">
        <f t="shared" si="157"/>
        <v>6.2769021136288596E-5</v>
      </c>
      <c r="W218" s="31" t="str">
        <f t="shared" si="147"/>
        <v>1-0.101787601976309i</v>
      </c>
      <c r="X218" s="17">
        <f t="shared" si="158"/>
        <v>1.00516700896721</v>
      </c>
      <c r="Y218" s="17">
        <f t="shared" si="159"/>
        <v>-0.10143824039066934</v>
      </c>
      <c r="Z218" s="31" t="str">
        <f t="shared" si="148"/>
        <v>0.9996+0.61973092902173i</v>
      </c>
      <c r="AA218" s="17">
        <f t="shared" si="160"/>
        <v>1.1761235412940838</v>
      </c>
      <c r="AB218" s="17">
        <f t="shared" si="161"/>
        <v>0.55498050080793704</v>
      </c>
      <c r="AC218" s="66" t="str">
        <f t="shared" si="162"/>
        <v>-86.8244503776531-121.025872180499i</v>
      </c>
      <c r="AD218" s="64">
        <f t="shared" si="163"/>
        <v>43.460740545518547</v>
      </c>
      <c r="AE218" s="61">
        <f t="shared" si="164"/>
        <v>-125.65581008421319</v>
      </c>
      <c r="AF218" s="31" t="str">
        <f t="shared" si="149"/>
        <v>-10.0808080808081</v>
      </c>
      <c r="AG218" s="31" t="str">
        <f t="shared" si="165"/>
        <v>6283.18530717959i</v>
      </c>
      <c r="AH218" s="31">
        <f t="shared" si="166"/>
        <v>6283.1853071795904</v>
      </c>
      <c r="AI218" s="31">
        <f t="shared" si="167"/>
        <v>1.5707963267948966</v>
      </c>
      <c r="AJ218" s="31" t="str">
        <f t="shared" si="150"/>
        <v>0.244854175114187+8.4366653898064i</v>
      </c>
      <c r="AK218" s="31">
        <f t="shared" si="168"/>
        <v>8.4402177973455164</v>
      </c>
      <c r="AL218" s="31">
        <f t="shared" si="169"/>
        <v>1.5417818464764446</v>
      </c>
      <c r="AM218" s="31" t="str">
        <f t="shared" si="151"/>
        <v>1+6227.65200216064i</v>
      </c>
      <c r="AN218" s="31">
        <f t="shared" si="170"/>
        <v>6227.6520824477202</v>
      </c>
      <c r="AO218" s="31">
        <f t="shared" si="171"/>
        <v>1.5706357526345134</v>
      </c>
      <c r="AP218" s="31" t="str">
        <f t="shared" si="152"/>
        <v>1+7.29854805281982i</v>
      </c>
      <c r="AQ218" s="31">
        <f t="shared" si="172"/>
        <v>7.3667362976639783</v>
      </c>
      <c r="AR218" s="31">
        <f t="shared" si="173"/>
        <v>1.4346306164353351</v>
      </c>
      <c r="AS218" s="58" t="str">
        <f t="shared" si="174"/>
        <v>-8.67073368102164+0.934060321955342i</v>
      </c>
      <c r="AT218" s="49">
        <f t="shared" si="175"/>
        <v>18.811225814460389</v>
      </c>
      <c r="AU218" s="61">
        <f t="shared" si="176"/>
        <v>173.85148652732022</v>
      </c>
      <c r="AV218" s="58" t="str">
        <f t="shared" si="153"/>
        <v>865.877151359552+968.283832117126i</v>
      </c>
      <c r="AW218" s="64">
        <f t="shared" si="177"/>
        <v>62.271966359978926</v>
      </c>
      <c r="AX218" s="61">
        <f t="shared" si="178"/>
        <v>48.195676443107011</v>
      </c>
    </row>
    <row r="219" spans="14:50" x14ac:dyDescent="0.4">
      <c r="N219" s="10">
        <v>1</v>
      </c>
      <c r="O219" s="50">
        <f>10^(3+(N219/100))</f>
        <v>1023.2929922807547</v>
      </c>
      <c r="P219" s="48" t="str">
        <f t="shared" si="144"/>
        <v>5120.19230769231</v>
      </c>
      <c r="Q219" s="17" t="str">
        <f t="shared" si="145"/>
        <v>1+30.0457326356019i</v>
      </c>
      <c r="R219" s="17">
        <f t="shared" si="154"/>
        <v>30.062369327950069</v>
      </c>
      <c r="S219" s="17">
        <f t="shared" si="155"/>
        <v>1.5375260113861493</v>
      </c>
      <c r="T219" s="17" t="str">
        <f t="shared" si="146"/>
        <v>1+0.0000642310995454424i</v>
      </c>
      <c r="U219" s="17">
        <f t="shared" si="156"/>
        <v>1.000000002062817</v>
      </c>
      <c r="V219" s="17">
        <f t="shared" si="157"/>
        <v>6.423109945711106E-5</v>
      </c>
      <c r="W219" s="31" t="str">
        <f t="shared" si="147"/>
        <v>1-0.10415853980342i</v>
      </c>
      <c r="X219" s="17">
        <f t="shared" si="158"/>
        <v>1.0054098673744856</v>
      </c>
      <c r="Y219" s="17">
        <f t="shared" si="159"/>
        <v>-0.10378430082260712</v>
      </c>
      <c r="Z219" s="31" t="str">
        <f t="shared" si="148"/>
        <v>0.99958114858078+0.634166316767577i</v>
      </c>
      <c r="AA219" s="17">
        <f t="shared" si="160"/>
        <v>1.1837775930978867</v>
      </c>
      <c r="AB219" s="17">
        <f t="shared" si="161"/>
        <v>0.56535317916871874</v>
      </c>
      <c r="AC219" s="66" t="str">
        <f t="shared" si="162"/>
        <v>-85.9000967788603-116.389421264194i</v>
      </c>
      <c r="AD219" s="64">
        <f t="shared" si="163"/>
        <v>43.206721913562518</v>
      </c>
      <c r="AE219" s="61">
        <f t="shared" si="164"/>
        <v>-126.42882469061998</v>
      </c>
      <c r="AF219" s="31" t="str">
        <f t="shared" si="149"/>
        <v>-10.0808080808081</v>
      </c>
      <c r="AG219" s="31" t="str">
        <f t="shared" si="165"/>
        <v>6429.53949403827i</v>
      </c>
      <c r="AH219" s="31">
        <f t="shared" si="166"/>
        <v>6429.5394940382703</v>
      </c>
      <c r="AI219" s="31">
        <f t="shared" si="167"/>
        <v>1.5707963267948966</v>
      </c>
      <c r="AJ219" s="31" t="str">
        <f t="shared" si="150"/>
        <v>0.20926524882062+8.63318057160647i</v>
      </c>
      <c r="AK219" s="31">
        <f t="shared" si="168"/>
        <v>8.6357164570362883</v>
      </c>
      <c r="AL219" s="31">
        <f t="shared" si="169"/>
        <v>1.5465614256251827</v>
      </c>
      <c r="AM219" s="31" t="str">
        <f t="shared" si="151"/>
        <v>1+6372.71265217418i</v>
      </c>
      <c r="AN219" s="31">
        <f t="shared" si="170"/>
        <v>6372.7127306337034</v>
      </c>
      <c r="AO219" s="31">
        <f t="shared" si="171"/>
        <v>1.5706394077485857</v>
      </c>
      <c r="AP219" s="31" t="str">
        <f t="shared" si="152"/>
        <v>1+7.46855307627486i</v>
      </c>
      <c r="AQ219" s="31">
        <f t="shared" si="172"/>
        <v>7.5352030532119478</v>
      </c>
      <c r="AR219" s="31">
        <f t="shared" si="173"/>
        <v>1.4376932310424915</v>
      </c>
      <c r="AS219" s="58" t="str">
        <f t="shared" si="174"/>
        <v>-8.66662809917787+0.948641764155663i</v>
      </c>
      <c r="AT219" s="49">
        <f t="shared" si="175"/>
        <v>18.808728111882527</v>
      </c>
      <c r="AU219" s="61">
        <f t="shared" si="176"/>
        <v>173.75332112812396</v>
      </c>
      <c r="AV219" s="58" t="str">
        <f t="shared" si="153"/>
        <v>854.876058382891+927.215409425874i</v>
      </c>
      <c r="AW219" s="64">
        <f t="shared" si="177"/>
        <v>62.015450025445048</v>
      </c>
      <c r="AX219" s="61">
        <f t="shared" si="178"/>
        <v>47.324496437503974</v>
      </c>
    </row>
    <row r="220" spans="14:50" x14ac:dyDescent="0.4">
      <c r="N220" s="10">
        <v>2</v>
      </c>
      <c r="O220" s="50">
        <f t="shared" ref="O220:O283" si="179">10^(3+(N220/100))</f>
        <v>1047.1285480509</v>
      </c>
      <c r="P220" s="48" t="str">
        <f t="shared" si="144"/>
        <v>5120.19230769231</v>
      </c>
      <c r="Q220" s="17" t="str">
        <f t="shared" si="145"/>
        <v>1+30.7455876539526i</v>
      </c>
      <c r="R220" s="17">
        <f t="shared" si="154"/>
        <v>30.7618458514258</v>
      </c>
      <c r="S220" s="17">
        <f t="shared" si="155"/>
        <v>1.538282796402763</v>
      </c>
      <c r="T220" s="17" t="str">
        <f t="shared" si="146"/>
        <v>1+0.0000657272340513388i</v>
      </c>
      <c r="U220" s="17">
        <f t="shared" si="156"/>
        <v>1.0000000021600346</v>
      </c>
      <c r="V220" s="17">
        <f t="shared" si="157"/>
        <v>6.572723395669007E-5</v>
      </c>
      <c r="W220" s="31" t="str">
        <f t="shared" si="147"/>
        <v>1-0.106584703867036i</v>
      </c>
      <c r="X220" s="17">
        <f t="shared" si="158"/>
        <v>1.0056641084867373</v>
      </c>
      <c r="Y220" s="17">
        <f t="shared" si="159"/>
        <v>-0.10618382145456221</v>
      </c>
      <c r="Z220" s="31" t="str">
        <f t="shared" si="148"/>
        <v>0.999561408721543+0.648937947888759i</v>
      </c>
      <c r="AA220" s="17">
        <f t="shared" si="160"/>
        <v>1.1917396821518822</v>
      </c>
      <c r="AB220" s="17">
        <f t="shared" si="161"/>
        <v>0.57582858803575587</v>
      </c>
      <c r="AC220" s="66" t="str">
        <f t="shared" si="162"/>
        <v>-84.939670704784-111.864234258415i</v>
      </c>
      <c r="AD220" s="64">
        <f t="shared" si="163"/>
        <v>42.950908646310808</v>
      </c>
      <c r="AE220" s="61">
        <f t="shared" si="164"/>
        <v>-127.20977867769874</v>
      </c>
      <c r="AF220" s="31" t="str">
        <f t="shared" si="149"/>
        <v>-10.0808080808081</v>
      </c>
      <c r="AG220" s="31" t="str">
        <f t="shared" si="165"/>
        <v>6579.30270784171i</v>
      </c>
      <c r="AH220" s="31">
        <f t="shared" si="166"/>
        <v>6579.3027078417099</v>
      </c>
      <c r="AI220" s="31">
        <f t="shared" si="167"/>
        <v>1.5707963267948966</v>
      </c>
      <c r="AJ220" s="31" t="str">
        <f t="shared" si="150"/>
        <v>0.171999068104146+8.83427318001925i</v>
      </c>
      <c r="AK220" s="31">
        <f t="shared" si="168"/>
        <v>8.8359473911197632</v>
      </c>
      <c r="AL220" s="31">
        <f t="shared" si="169"/>
        <v>1.5513292651864867</v>
      </c>
      <c r="AM220" s="31" t="str">
        <f t="shared" si="151"/>
        <v>1+6521.15219878874i</v>
      </c>
      <c r="AN220" s="31">
        <f t="shared" si="170"/>
        <v>6521.1522754623065</v>
      </c>
      <c r="AO220" s="31">
        <f t="shared" si="171"/>
        <v>1.5706429796621082</v>
      </c>
      <c r="AP220" s="31" t="str">
        <f t="shared" si="152"/>
        <v>1+7.64251802542893i</v>
      </c>
      <c r="AQ220" s="31">
        <f t="shared" si="172"/>
        <v>7.7076638334197041</v>
      </c>
      <c r="AR220" s="31">
        <f t="shared" si="173"/>
        <v>1.4406885610629829</v>
      </c>
      <c r="AS220" s="58" t="str">
        <f t="shared" si="174"/>
        <v>-8.66240410029509+0.96368927324959i</v>
      </c>
      <c r="AT220" s="49">
        <f t="shared" si="175"/>
        <v>18.806189265142027</v>
      </c>
      <c r="AU220" s="61">
        <f t="shared" si="176"/>
        <v>173.65196846785832</v>
      </c>
      <c r="AV220" s="58" t="str">
        <f t="shared" si="153"/>
        <v>843.58411440595+887.157751984912i</v>
      </c>
      <c r="AW220" s="64">
        <f t="shared" si="177"/>
        <v>61.757097911452838</v>
      </c>
      <c r="AX220" s="61">
        <f t="shared" si="178"/>
        <v>46.442189790159595</v>
      </c>
    </row>
    <row r="221" spans="14:50" x14ac:dyDescent="0.4">
      <c r="N221" s="10">
        <v>3</v>
      </c>
      <c r="O221" s="50">
        <f t="shared" si="179"/>
        <v>1071.5193052376069</v>
      </c>
      <c r="P221" s="48" t="str">
        <f t="shared" si="144"/>
        <v>5120.19230769231</v>
      </c>
      <c r="Q221" s="17" t="str">
        <f t="shared" si="145"/>
        <v>1+31.4617443898434i</v>
      </c>
      <c r="R221" s="17">
        <f t="shared" si="154"/>
        <v>31.477632694531568</v>
      </c>
      <c r="S221" s="17">
        <f t="shared" si="155"/>
        <v>1.5390223908906069</v>
      </c>
      <c r="T221" s="17" t="str">
        <f t="shared" si="146"/>
        <v>1+0.0000672582180067319i</v>
      </c>
      <c r="U221" s="17">
        <f t="shared" si="156"/>
        <v>1.0000000022618338</v>
      </c>
      <c r="V221" s="17">
        <f t="shared" si="157"/>
        <v>6.7258217905313949E-5</v>
      </c>
      <c r="W221" s="31" t="str">
        <f t="shared" si="147"/>
        <v>1-0.109067380551457i</v>
      </c>
      <c r="X221" s="17">
        <f t="shared" si="158"/>
        <v>1.005930262742083</v>
      </c>
      <c r="Y221" s="17">
        <f t="shared" si="159"/>
        <v>-0.10863796395807652</v>
      </c>
      <c r="Z221" s="31" t="str">
        <f t="shared" si="148"/>
        <v>0.999540738551401+0.66405365449962i</v>
      </c>
      <c r="AA221" s="17">
        <f t="shared" si="160"/>
        <v>1.2000203931926243</v>
      </c>
      <c r="AB221" s="17">
        <f t="shared" si="161"/>
        <v>0.58640312577507037</v>
      </c>
      <c r="AC221" s="66" t="str">
        <f t="shared" si="162"/>
        <v>-83.944339610563-107.449440644987i</v>
      </c>
      <c r="AD221" s="64">
        <f t="shared" si="163"/>
        <v>42.69326915377701</v>
      </c>
      <c r="AE221" s="61">
        <f t="shared" si="164"/>
        <v>-127.99855499202428</v>
      </c>
      <c r="AF221" s="31" t="str">
        <f t="shared" si="149"/>
        <v>-10.0808080808081</v>
      </c>
      <c r="AG221" s="31" t="str">
        <f t="shared" si="165"/>
        <v>6732.55435502821i</v>
      </c>
      <c r="AH221" s="31">
        <f t="shared" si="166"/>
        <v>6732.55435502821</v>
      </c>
      <c r="AI221" s="31">
        <f t="shared" si="167"/>
        <v>1.5707963267948966</v>
      </c>
      <c r="AJ221" s="31" t="str">
        <f t="shared" si="150"/>
        <v>0.132976586399104+9.04004983700751i</v>
      </c>
      <c r="AK221" s="31">
        <f t="shared" si="168"/>
        <v>9.0410278081703659</v>
      </c>
      <c r="AL221" s="31">
        <f t="shared" si="169"/>
        <v>1.5560876693130048</v>
      </c>
      <c r="AM221" s="31" t="str">
        <f t="shared" si="151"/>
        <v>1+6673.04934661675i</v>
      </c>
      <c r="AN221" s="31">
        <f t="shared" si="170"/>
        <v>6673.0494215450126</v>
      </c>
      <c r="AO221" s="31">
        <f t="shared" si="171"/>
        <v>1.570646470268956</v>
      </c>
      <c r="AP221" s="31" t="str">
        <f t="shared" si="152"/>
        <v>1+7.82053513880077i</v>
      </c>
      <c r="AQ221" s="31">
        <f t="shared" si="172"/>
        <v>7.8842101606449813</v>
      </c>
      <c r="AR221" s="31">
        <f t="shared" si="173"/>
        <v>1.4436179795537194</v>
      </c>
      <c r="AS221" s="58" t="str">
        <f t="shared" si="174"/>
        <v>-8.65805323141138+0.979209354966215i</v>
      </c>
      <c r="AT221" s="49">
        <f t="shared" si="175"/>
        <v>18.803604137416801</v>
      </c>
      <c r="AU221" s="61">
        <f t="shared" si="176"/>
        <v>173.5473753071783</v>
      </c>
      <c r="AV221" s="58" t="str">
        <f t="shared" si="153"/>
        <v>832.010058289388+848.103894146551i</v>
      </c>
      <c r="AW221" s="64">
        <f t="shared" si="177"/>
        <v>61.496873291193815</v>
      </c>
      <c r="AX221" s="61">
        <f t="shared" si="178"/>
        <v>45.548820315154025</v>
      </c>
    </row>
    <row r="222" spans="14:50" x14ac:dyDescent="0.4">
      <c r="N222" s="10">
        <v>4</v>
      </c>
      <c r="O222" s="50">
        <f t="shared" si="179"/>
        <v>1096.4781961431863</v>
      </c>
      <c r="P222" s="48" t="str">
        <f t="shared" si="144"/>
        <v>5120.19230769231</v>
      </c>
      <c r="Q222" s="17" t="str">
        <f t="shared" si="145"/>
        <v>1+32.1945825590551i</v>
      </c>
      <c r="R222" s="17">
        <f t="shared" si="154"/>
        <v>32.210109378141127</v>
      </c>
      <c r="S222" s="17">
        <f t="shared" si="155"/>
        <v>1.5397451837541525</v>
      </c>
      <c r="T222" s="17" t="str">
        <f t="shared" si="146"/>
        <v>1+0.00006882486315958i</v>
      </c>
      <c r="U222" s="17">
        <f t="shared" si="156"/>
        <v>1.0000000023684308</v>
      </c>
      <c r="V222" s="17">
        <f t="shared" si="157"/>
        <v>6.8824863050908711E-5</v>
      </c>
      <c r="W222" s="31" t="str">
        <f t="shared" si="147"/>
        <v>1-0.111607886204724i</v>
      </c>
      <c r="X222" s="17">
        <f t="shared" si="158"/>
        <v>1.0062088850050404</v>
      </c>
      <c r="Y222" s="17">
        <f t="shared" si="159"/>
        <v>-0.11114791124084306</v>
      </c>
      <c r="Z222" s="31" t="str">
        <f t="shared" si="148"/>
        <v>0.999519094226153+0.679521451147886i</v>
      </c>
      <c r="AA222" s="17">
        <f t="shared" si="160"/>
        <v>1.2086305565774838</v>
      </c>
      <c r="AB222" s="17">
        <f t="shared" si="161"/>
        <v>0.59707298158714506</v>
      </c>
      <c r="AC222" s="66" t="str">
        <f t="shared" si="162"/>
        <v>-82.9153200730117-103.144197290512i</v>
      </c>
      <c r="AD222" s="64">
        <f t="shared" si="163"/>
        <v>42.433773045636173</v>
      </c>
      <c r="AE222" s="61">
        <f t="shared" si="164"/>
        <v>-128.7950253025607</v>
      </c>
      <c r="AF222" s="31" t="str">
        <f t="shared" si="149"/>
        <v>-10.0808080808081</v>
      </c>
      <c r="AG222" s="31" t="str">
        <f t="shared" si="165"/>
        <v>6889.37569164964i</v>
      </c>
      <c r="AH222" s="31">
        <f t="shared" si="166"/>
        <v>6889.3756916496404</v>
      </c>
      <c r="AI222" s="31">
        <f t="shared" si="167"/>
        <v>1.5707963267948966</v>
      </c>
      <c r="AJ222" s="31" t="str">
        <f t="shared" si="150"/>
        <v>0.0921150317899579+9.25061964807857i</v>
      </c>
      <c r="AK222" s="31">
        <f t="shared" si="168"/>
        <v>9.2510782643159466</v>
      </c>
      <c r="AL222" s="31">
        <f t="shared" si="169"/>
        <v>1.5608389411400205</v>
      </c>
      <c r="AM222" s="31" t="str">
        <f t="shared" si="151"/>
        <v>1+6828.48463353659i</v>
      </c>
      <c r="AN222" s="31">
        <f t="shared" si="170"/>
        <v>6828.4847067592773</v>
      </c>
      <c r="AO222" s="31">
        <f t="shared" si="171"/>
        <v>1.570649881419895</v>
      </c>
      <c r="AP222" s="31" t="str">
        <f t="shared" si="152"/>
        <v>1+8.00269880342023i</v>
      </c>
      <c r="AQ222" s="31">
        <f t="shared" si="172"/>
        <v>8.064935718173059</v>
      </c>
      <c r="AR222" s="31">
        <f t="shared" si="173"/>
        <v>1.4464828385139916</v>
      </c>
      <c r="AS222" s="58" t="str">
        <f t="shared" si="174"/>
        <v>-8.65356679561264+0.995208591758632i</v>
      </c>
      <c r="AT222" s="49">
        <f t="shared" si="175"/>
        <v>18.800967489795404</v>
      </c>
      <c r="AU222" s="61">
        <f t="shared" si="176"/>
        <v>173.43948725604682</v>
      </c>
      <c r="AV222" s="58" t="str">
        <f t="shared" si="153"/>
        <v>820.163251964973+810.047161908216i</v>
      </c>
      <c r="AW222" s="64">
        <f t="shared" si="177"/>
        <v>61.234740535431584</v>
      </c>
      <c r="AX222" s="61">
        <f t="shared" si="178"/>
        <v>44.644461953486136</v>
      </c>
    </row>
    <row r="223" spans="14:50" x14ac:dyDescent="0.4">
      <c r="N223" s="10">
        <v>5</v>
      </c>
      <c r="O223" s="50">
        <f t="shared" si="179"/>
        <v>1122.0184543019636</v>
      </c>
      <c r="P223" s="48" t="str">
        <f t="shared" si="144"/>
        <v>5120.19230769231</v>
      </c>
      <c r="Q223" s="17" t="str">
        <f t="shared" si="145"/>
        <v>1+32.9444907220852i</v>
      </c>
      <c r="R223" s="17">
        <f t="shared" si="154"/>
        <v>32.959664272221552</v>
      </c>
      <c r="S223" s="17">
        <f t="shared" si="155"/>
        <v>1.5404515552051488</v>
      </c>
      <c r="T223" s="17" t="str">
        <f t="shared" si="146"/>
        <v>1+0.00007042800016588i</v>
      </c>
      <c r="U223" s="17">
        <f t="shared" si="156"/>
        <v>1.0000000024800515</v>
      </c>
      <c r="V223" s="17">
        <f t="shared" si="157"/>
        <v>7.0428000049436621E-5</v>
      </c>
      <c r="W223" s="31" t="str">
        <f t="shared" si="147"/>
        <v>1-0.114207567836562i</v>
      </c>
      <c r="X223" s="17">
        <f t="shared" si="158"/>
        <v>1.0065005556636035</v>
      </c>
      <c r="Y223" s="17">
        <f t="shared" si="159"/>
        <v>-0.11371486754341177</v>
      </c>
      <c r="Z223" s="31" t="str">
        <f t="shared" si="148"/>
        <v>0.999496429835282+0.695349539064081i</v>
      </c>
      <c r="AA223" s="17">
        <f t="shared" si="160"/>
        <v>1.2175812476915471</v>
      </c>
      <c r="AB223" s="17">
        <f t="shared" si="161"/>
        <v>0.60783413895183092</v>
      </c>
      <c r="AC223" s="66" t="str">
        <f t="shared" si="162"/>
        <v>-81.8538788854144-98.9476822450642i</v>
      </c>
      <c r="AD223" s="64">
        <f t="shared" si="163"/>
        <v>42.172391255474146</v>
      </c>
      <c r="AE223" s="61">
        <f t="shared" si="164"/>
        <v>-129.59905021449165</v>
      </c>
      <c r="AF223" s="31" t="str">
        <f t="shared" si="149"/>
        <v>-10.0808080808081</v>
      </c>
      <c r="AG223" s="31" t="str">
        <f t="shared" si="165"/>
        <v>7049.84986645445i</v>
      </c>
      <c r="AH223" s="31">
        <f t="shared" si="166"/>
        <v>7049.8498664544504</v>
      </c>
      <c r="AI223" s="31">
        <f t="shared" si="167"/>
        <v>1.5707963267948966</v>
      </c>
      <c r="AJ223" s="31" t="str">
        <f t="shared" si="150"/>
        <v>0.049327731440983+9.46609426013345i</v>
      </c>
      <c r="AK223" s="31">
        <f t="shared" si="168"/>
        <v>9.4662227824418217</v>
      </c>
      <c r="AL223" s="31">
        <f t="shared" si="169"/>
        <v>1.5655853830197806</v>
      </c>
      <c r="AM223" s="31" t="str">
        <f t="shared" si="151"/>
        <v>1+6987.5404733948i</v>
      </c>
      <c r="AN223" s="31">
        <f t="shared" si="170"/>
        <v>6987.5405449507361</v>
      </c>
      <c r="AO223" s="31">
        <f t="shared" si="171"/>
        <v>1.5706532149235621</v>
      </c>
      <c r="AP223" s="31" t="str">
        <f t="shared" si="152"/>
        <v>1+8.18910560487349i</v>
      </c>
      <c r="AQ223" s="31">
        <f t="shared" si="172"/>
        <v>8.2499364002257867</v>
      </c>
      <c r="AR223" s="31">
        <f t="shared" si="173"/>
        <v>1.4492844687248663</v>
      </c>
      <c r="AS223" s="58" t="str">
        <f t="shared" si="174"/>
        <v>-8.64893583787893+1.01169363899163i</v>
      </c>
      <c r="AT223" s="49">
        <f t="shared" si="175"/>
        <v>18.798273972127419</v>
      </c>
      <c r="AU223" s="61">
        <f t="shared" si="176"/>
        <v>173.32824875116302</v>
      </c>
      <c r="AV223" s="58" t="str">
        <f t="shared" si="153"/>
        <v>808.053687281759+772.981106449227i</v>
      </c>
      <c r="AW223" s="64">
        <f t="shared" si="177"/>
        <v>60.970665227601572</v>
      </c>
      <c r="AX223" s="61">
        <f t="shared" si="178"/>
        <v>43.72919853667134</v>
      </c>
    </row>
    <row r="224" spans="14:50" x14ac:dyDescent="0.4">
      <c r="N224" s="10">
        <v>6</v>
      </c>
      <c r="O224" s="50">
        <f t="shared" si="179"/>
        <v>1148.1536214968839</v>
      </c>
      <c r="P224" s="48" t="str">
        <f t="shared" si="144"/>
        <v>5120.19230769231</v>
      </c>
      <c r="Q224" s="17" t="str">
        <f t="shared" si="145"/>
        <v>1+33.7118664901681i</v>
      </c>
      <c r="R224" s="17">
        <f t="shared" si="154"/>
        <v>33.726694801757837</v>
      </c>
      <c r="S224" s="17">
        <f t="shared" si="155"/>
        <v>1.5411418769498639</v>
      </c>
      <c r="T224" s="17" t="str">
        <f t="shared" si="146"/>
        <v>1+0.0000720684790300928i</v>
      </c>
      <c r="U224" s="17">
        <f t="shared" si="156"/>
        <v>1.0000000025969327</v>
      </c>
      <c r="V224" s="17">
        <f t="shared" si="157"/>
        <v>7.2068478905321475E-5</v>
      </c>
      <c r="W224" s="31" t="str">
        <f t="shared" si="147"/>
        <v>1-0.116867803832583i</v>
      </c>
      <c r="X224" s="17">
        <f t="shared" si="158"/>
        <v>1.0068058817729717</v>
      </c>
      <c r="Y224" s="17">
        <f t="shared" si="159"/>
        <v>-0.11634005851187981</v>
      </c>
      <c r="Z224" s="31" t="str">
        <f t="shared" si="148"/>
        <v>0.999472697304577+0.711546310509926i</v>
      </c>
      <c r="AA224" s="17">
        <f t="shared" si="160"/>
        <v>1.2268837861254727</v>
      </c>
      <c r="AB224" s="17">
        <f t="shared" si="161"/>
        <v>0.61868238004665121</v>
      </c>
      <c r="AC224" s="66" t="str">
        <f t="shared" si="162"/>
        <v>-80.7613336528812-94.8590884480444i</v>
      </c>
      <c r="AD224" s="64">
        <f t="shared" si="163"/>
        <v>41.909096164980689</v>
      </c>
      <c r="AE224" s="61">
        <f t="shared" si="164"/>
        <v>-130.41047953723768</v>
      </c>
      <c r="AF224" s="31" t="str">
        <f t="shared" si="149"/>
        <v>-10.0808080808081</v>
      </c>
      <c r="AG224" s="31" t="str">
        <f t="shared" si="165"/>
        <v>7214.06196497425i</v>
      </c>
      <c r="AH224" s="31">
        <f t="shared" si="166"/>
        <v>7214.0619649742503</v>
      </c>
      <c r="AI224" s="31">
        <f t="shared" si="167"/>
        <v>1.5707963267948966</v>
      </c>
      <c r="AJ224" s="31" t="str">
        <f t="shared" si="150"/>
        <v>0.00452392775154098+9.68658792066363i</v>
      </c>
      <c r="AK224" s="31">
        <f t="shared" si="168"/>
        <v>9.6865889770687001</v>
      </c>
      <c r="AL224" s="31">
        <f t="shared" si="169"/>
        <v>1.570329296767432</v>
      </c>
      <c r="AM224" s="31" t="str">
        <f t="shared" si="151"/>
        <v>1+7150.30119970305i</v>
      </c>
      <c r="AN224" s="31">
        <f t="shared" si="170"/>
        <v>7150.3012696301739</v>
      </c>
      <c r="AO224" s="31">
        <f t="shared" si="171"/>
        <v>1.570656472547425</v>
      </c>
      <c r="AP224" s="31" t="str">
        <f t="shared" si="152"/>
        <v>1+8.37985437851409i</v>
      </c>
      <c r="AQ224" s="31">
        <f t="shared" si="172"/>
        <v>8.4393103631221997</v>
      </c>
      <c r="AR224" s="31">
        <f t="shared" si="173"/>
        <v>1.4520241796306892</v>
      </c>
      <c r="AS224" s="58" t="str">
        <f t="shared" si="174"/>
        <v>-8.64415113061824+1.02867122042933i</v>
      </c>
      <c r="AT224" s="49">
        <f t="shared" si="175"/>
        <v>18.795518113628461</v>
      </c>
      <c r="AU224" s="61">
        <f t="shared" si="176"/>
        <v>173.21360303513671</v>
      </c>
      <c r="AV224" s="58" t="str">
        <f t="shared" si="153"/>
        <v>795.691987888454+736.899437005369i</v>
      </c>
      <c r="AW224" s="64">
        <f t="shared" si="177"/>
        <v>60.704614278609156</v>
      </c>
      <c r="AX224" s="61">
        <f t="shared" si="178"/>
        <v>42.803123497899001</v>
      </c>
    </row>
    <row r="225" spans="14:50" x14ac:dyDescent="0.4">
      <c r="N225" s="10">
        <v>7</v>
      </c>
      <c r="O225" s="50">
        <f t="shared" si="179"/>
        <v>1174.8975549395295</v>
      </c>
      <c r="P225" s="48" t="str">
        <f t="shared" si="144"/>
        <v>5120.19230769231</v>
      </c>
      <c r="Q225" s="17" t="str">
        <f t="shared" si="145"/>
        <v>1+34.4971167360934i</v>
      </c>
      <c r="R225" s="17">
        <f t="shared" si="154"/>
        <v>34.511607657477441</v>
      </c>
      <c r="S225" s="17">
        <f t="shared" si="155"/>
        <v>1.541816512372769</v>
      </c>
      <c r="T225" s="17" t="str">
        <f t="shared" si="146"/>
        <v>1+0.0000737471695558264i</v>
      </c>
      <c r="U225" s="17">
        <f t="shared" si="156"/>
        <v>1.0000000027193225</v>
      </c>
      <c r="V225" s="17">
        <f t="shared" si="157"/>
        <v>7.37471694221315E-5</v>
      </c>
      <c r="W225" s="31" t="str">
        <f t="shared" si="147"/>
        <v>1-0.119590004685124i</v>
      </c>
      <c r="X225" s="17">
        <f t="shared" si="158"/>
        <v>1.0071254982476554</v>
      </c>
      <c r="Y225" s="17">
        <f t="shared" si="159"/>
        <v>-0.11902473124437928</v>
      </c>
      <c r="Z225" s="31" t="str">
        <f t="shared" si="148"/>
        <v>0.999447846294159+0.728120353228032i</v>
      </c>
      <c r="AA225" s="17">
        <f t="shared" si="160"/>
        <v>1.2365497346435148</v>
      </c>
      <c r="AB225" s="17">
        <f t="shared" si="161"/>
        <v>0.62961329115262765</v>
      </c>
      <c r="AC225" s="66" t="str">
        <f t="shared" si="162"/>
        <v>-79.6390528714226-90.8776173843402i</v>
      </c>
      <c r="AD225" s="64">
        <f t="shared" si="163"/>
        <v>41.643861727376319</v>
      </c>
      <c r="AE225" s="61">
        <f t="shared" si="164"/>
        <v>-131.22915260734965</v>
      </c>
      <c r="AF225" s="31" t="str">
        <f t="shared" si="149"/>
        <v>-10.0808080808081</v>
      </c>
      <c r="AG225" s="31" t="str">
        <f t="shared" si="165"/>
        <v>7382.09905463727i</v>
      </c>
      <c r="AH225" s="31">
        <f t="shared" si="166"/>
        <v>7382.0990546372695</v>
      </c>
      <c r="AI225" s="31">
        <f t="shared" si="167"/>
        <v>1.5707963267948966</v>
      </c>
      <c r="AJ225" s="31" t="str">
        <f t="shared" si="150"/>
        <v>-0.04239141415294+9.91221753832649i</v>
      </c>
      <c r="AK225" s="31">
        <f t="shared" si="168"/>
        <v>9.9123081852362294</v>
      </c>
      <c r="AL225" s="31">
        <f t="shared" si="169"/>
        <v>1.5750729839147866</v>
      </c>
      <c r="AM225" s="31" t="str">
        <f t="shared" si="151"/>
        <v>1+7316.85311035279i</v>
      </c>
      <c r="AN225" s="31">
        <f t="shared" si="170"/>
        <v>7316.8531786881776</v>
      </c>
      <c r="AO225" s="31">
        <f t="shared" si="171"/>
        <v>1.5706596560187185</v>
      </c>
      <c r="AP225" s="31" t="str">
        <f t="shared" si="152"/>
        <v>1+8.57504626186666i</v>
      </c>
      <c r="AQ225" s="31">
        <f t="shared" si="172"/>
        <v>8.633158077618722</v>
      </c>
      <c r="AR225" s="31">
        <f t="shared" si="173"/>
        <v>1.4547032592596043</v>
      </c>
      <c r="AS225" s="58" t="str">
        <f t="shared" si="174"/>
        <v>-8.63920315889034+1.04614812299045i</v>
      </c>
      <c r="AT225" s="49">
        <f t="shared" si="175"/>
        <v>18.792694313233728</v>
      </c>
      <c r="AU225" s="61">
        <f t="shared" si="176"/>
        <v>173.09549213744847</v>
      </c>
      <c r="AV225" s="58" t="str">
        <f t="shared" si="153"/>
        <v>783.089405986301+701.795953501043i</v>
      </c>
      <c r="AW225" s="64">
        <f t="shared" si="177"/>
        <v>60.436556040610043</v>
      </c>
      <c r="AX225" s="61">
        <f t="shared" si="178"/>
        <v>41.866339530098799</v>
      </c>
    </row>
    <row r="226" spans="14:50" x14ac:dyDescent="0.4">
      <c r="N226" s="10">
        <v>8</v>
      </c>
      <c r="O226" s="50">
        <f t="shared" si="179"/>
        <v>1202.2644346174138</v>
      </c>
      <c r="P226" s="48" t="str">
        <f t="shared" si="144"/>
        <v>5120.19230769231</v>
      </c>
      <c r="Q226" s="17" t="str">
        <f t="shared" si="145"/>
        <v>1+35.3006578099356i</v>
      </c>
      <c r="R226" s="17">
        <f t="shared" si="154"/>
        <v>35.314819011488183</v>
      </c>
      <c r="S226" s="17">
        <f t="shared" si="155"/>
        <v>1.5424758167166988</v>
      </c>
      <c r="T226" s="17" t="str">
        <f t="shared" si="146"/>
        <v>1+0.0000754649618070179i</v>
      </c>
      <c r="U226" s="17">
        <f t="shared" si="156"/>
        <v>1.0000000028474803</v>
      </c>
      <c r="V226" s="17">
        <f t="shared" si="157"/>
        <v>7.5464961663761231E-5</v>
      </c>
      <c r="W226" s="31" t="str">
        <f t="shared" si="147"/>
        <v>1-0.12237561374111i</v>
      </c>
      <c r="X226" s="17">
        <f t="shared" si="158"/>
        <v>1.0074600691037403</v>
      </c>
      <c r="Y226" s="17">
        <f t="shared" si="159"/>
        <v>-0.12177015430904548</v>
      </c>
      <c r="Z226" s="31" t="str">
        <f t="shared" si="148"/>
        <v>0.999421824091702+0.745080454995234i</v>
      </c>
      <c r="AA226" s="17">
        <f t="shared" si="160"/>
        <v>1.2465908979639992</v>
      </c>
      <c r="AB226" s="17">
        <f t="shared" si="161"/>
        <v>0.64062226905382813</v>
      </c>
      <c r="AC226" s="66" t="str">
        <f t="shared" si="162"/>
        <v>-78.4884554782434-87.0024727369377i</v>
      </c>
      <c r="AD226" s="64">
        <f t="shared" si="163"/>
        <v>41.376663589337127</v>
      </c>
      <c r="AE226" s="61">
        <f t="shared" si="164"/>
        <v>-132.05489866650078</v>
      </c>
      <c r="AF226" s="31" t="str">
        <f t="shared" si="149"/>
        <v>-10.0808080808081</v>
      </c>
      <c r="AG226" s="31" t="str">
        <f t="shared" si="165"/>
        <v>7554.05023093271i</v>
      </c>
      <c r="AH226" s="31">
        <f t="shared" si="166"/>
        <v>7554.0502309327103</v>
      </c>
      <c r="AI226" s="31">
        <f t="shared" si="167"/>
        <v>1.5707963267948966</v>
      </c>
      <c r="AJ226" s="31" t="str">
        <f t="shared" si="150"/>
        <v>-0.0915178080026899+10.1431027449319i</v>
      </c>
      <c r="AK226" s="31">
        <f t="shared" si="168"/>
        <v>10.143515603745414</v>
      </c>
      <c r="AL226" s="31">
        <f t="shared" si="169"/>
        <v>1.5798187459681883</v>
      </c>
      <c r="AM226" s="31" t="str">
        <f t="shared" si="151"/>
        <v>1+7487.28451337166i</v>
      </c>
      <c r="AN226" s="31">
        <f t="shared" si="170"/>
        <v>7487.284580151545</v>
      </c>
      <c r="AO226" s="31">
        <f t="shared" si="171"/>
        <v>1.570662767025361</v>
      </c>
      <c r="AP226" s="31" t="str">
        <f t="shared" si="152"/>
        <v>1+8.77478474825144i</v>
      </c>
      <c r="AQ226" s="31">
        <f t="shared" si="172"/>
        <v>8.8315823824582029</v>
      </c>
      <c r="AR226" s="31">
        <f t="shared" si="173"/>
        <v>1.4573229741801825</v>
      </c>
      <c r="AS226" s="58" t="str">
        <f t="shared" si="174"/>
        <v>-8.63408210532625+1.0641311907366i</v>
      </c>
      <c r="AT226" s="49">
        <f t="shared" si="175"/>
        <v>18.789796829695334</v>
      </c>
      <c r="AU226" s="61">
        <f t="shared" si="176"/>
        <v>172.97385685724245</v>
      </c>
      <c r="AV226" s="58" t="str">
        <f t="shared" si="153"/>
        <v>770.257813829983+667.664479389989i</v>
      </c>
      <c r="AW226" s="64">
        <f t="shared" si="177"/>
        <v>60.166460419032461</v>
      </c>
      <c r="AX226" s="61">
        <f t="shared" si="178"/>
        <v>40.918958190741684</v>
      </c>
    </row>
    <row r="227" spans="14:50" x14ac:dyDescent="0.4">
      <c r="N227" s="10">
        <v>9</v>
      </c>
      <c r="O227" s="50">
        <f t="shared" si="179"/>
        <v>1230.2687708123824</v>
      </c>
      <c r="P227" s="48" t="str">
        <f t="shared" si="144"/>
        <v>5120.19230769231</v>
      </c>
      <c r="Q227" s="17" t="str">
        <f t="shared" si="145"/>
        <v>1+36.1229157598079i</v>
      </c>
      <c r="R227" s="17">
        <f t="shared" si="154"/>
        <v>36.136754737942063</v>
      </c>
      <c r="S227" s="17">
        <f t="shared" si="155"/>
        <v>1.543120137259528</v>
      </c>
      <c r="T227" s="17" t="str">
        <f t="shared" si="146"/>
        <v>1+0.0000772227665798561i</v>
      </c>
      <c r="U227" s="17">
        <f t="shared" si="156"/>
        <v>1.0000000029816778</v>
      </c>
      <c r="V227" s="17">
        <f t="shared" si="157"/>
        <v>7.722276642635382E-5</v>
      </c>
      <c r="W227" s="31" t="str">
        <f t="shared" si="147"/>
        <v>1-0.125226107967334i</v>
      </c>
      <c r="X227" s="17">
        <f t="shared" si="158"/>
        <v>1.0078102887531197</v>
      </c>
      <c r="Y227" s="17">
        <f t="shared" si="159"/>
        <v>-0.1245776177309969</v>
      </c>
      <c r="Z227" s="31" t="str">
        <f t="shared" si="148"/>
        <v>0.999394575500625+0.762435608281978i</v>
      </c>
      <c r="AA227" s="17">
        <f t="shared" si="160"/>
        <v>1.2570193213775134</v>
      </c>
      <c r="AB227" s="17">
        <f t="shared" si="161"/>
        <v>0.65170452842844706</v>
      </c>
      <c r="AC227" s="66" t="str">
        <f t="shared" si="162"/>
        <v>-77.3110098655906-83.2328540846072i</v>
      </c>
      <c r="AD227" s="64">
        <f t="shared" si="163"/>
        <v>41.107479210663122</v>
      </c>
      <c r="AE227" s="61">
        <f t="shared" si="164"/>
        <v>-132.8875372943146</v>
      </c>
      <c r="AF227" s="31" t="str">
        <f t="shared" si="149"/>
        <v>-10.0808080808081</v>
      </c>
      <c r="AG227" s="31" t="str">
        <f t="shared" si="165"/>
        <v>7730.00666465025i</v>
      </c>
      <c r="AH227" s="31">
        <f t="shared" si="166"/>
        <v>7730.0066646502501</v>
      </c>
      <c r="AI227" s="31">
        <f t="shared" si="167"/>
        <v>1.5707963267948966</v>
      </c>
      <c r="AJ227" s="31" t="str">
        <f t="shared" si="150"/>
        <v>-0.14295945746556+10.3793659588725i</v>
      </c>
      <c r="AK227" s="31">
        <f t="shared" si="168"/>
        <v>10.380350433134717</v>
      </c>
      <c r="AL227" s="31">
        <f t="shared" si="169"/>
        <v>1.5845688846667423</v>
      </c>
      <c r="AM227" s="31" t="str">
        <f t="shared" si="151"/>
        <v>1+7661.68577374543i</v>
      </c>
      <c r="AN227" s="31">
        <f t="shared" si="170"/>
        <v>7661.6858390052184</v>
      </c>
      <c r="AO227" s="31">
        <f t="shared" si="171"/>
        <v>1.5706658072168491</v>
      </c>
      <c r="AP227" s="31" t="str">
        <f t="shared" si="152"/>
        <v>1+8.97917574165774i</v>
      </c>
      <c r="AQ227" s="31">
        <f t="shared" si="172"/>
        <v>9.0346885391569973</v>
      </c>
      <c r="AR227" s="31">
        <f t="shared" si="173"/>
        <v>1.4598845694913958</v>
      </c>
      <c r="AS227" s="58" t="str">
        <f t="shared" si="174"/>
        <v>-8.62877783474888+1.08262731805639i</v>
      </c>
      <c r="AT227" s="49">
        <f t="shared" si="175"/>
        <v>18.786819771416688</v>
      </c>
      <c r="AU227" s="61">
        <f t="shared" si="176"/>
        <v>172.84863674800775</v>
      </c>
      <c r="AV227" s="58" t="str">
        <f t="shared" si="153"/>
        <v>757.209689902057+634.498795181131i</v>
      </c>
      <c r="AW227" s="64">
        <f t="shared" si="177"/>
        <v>59.894298982079803</v>
      </c>
      <c r="AX227" s="61">
        <f t="shared" si="178"/>
        <v>39.961099453693151</v>
      </c>
    </row>
    <row r="228" spans="14:50" x14ac:dyDescent="0.4">
      <c r="N228" s="10">
        <v>10</v>
      </c>
      <c r="O228" s="50">
        <f t="shared" si="179"/>
        <v>1258.925411794168</v>
      </c>
      <c r="P228" s="48" t="str">
        <f t="shared" si="144"/>
        <v>5120.19230769231</v>
      </c>
      <c r="Q228" s="17" t="str">
        <f t="shared" si="145"/>
        <v>1+36.9643265577595i</v>
      </c>
      <c r="R228" s="17">
        <f t="shared" si="154"/>
        <v>36.977850638844387</v>
      </c>
      <c r="S228" s="17">
        <f t="shared" si="155"/>
        <v>1.5437498134874001</v>
      </c>
      <c r="T228" s="17" t="str">
        <f t="shared" si="146"/>
        <v>1+0.0000790215158856992i</v>
      </c>
      <c r="U228" s="17">
        <f t="shared" si="156"/>
        <v>1.0000000031221998</v>
      </c>
      <c r="V228" s="17">
        <f t="shared" si="157"/>
        <v>7.9021515721218553E-5</v>
      </c>
      <c r="W228" s="31" t="str">
        <f t="shared" si="147"/>
        <v>1-0.128142998733566i</v>
      </c>
      <c r="X228" s="17">
        <f t="shared" si="158"/>
        <v>1.008176883351543</v>
      </c>
      <c r="Y228" s="17">
        <f t="shared" si="159"/>
        <v>-0.12744843294571939</v>
      </c>
      <c r="Z228" s="31" t="str">
        <f t="shared" si="148"/>
        <v>0.999366042723016+0.780195015020263i</v>
      </c>
      <c r="AA228" s="17">
        <f t="shared" si="160"/>
        <v>1.2678472892309742</v>
      </c>
      <c r="AB228" s="17">
        <f t="shared" si="161"/>
        <v>0.6628551102204433</v>
      </c>
      <c r="AC228" s="66" t="str">
        <f t="shared" si="162"/>
        <v>-76.108232355743-79.567950695184i</v>
      </c>
      <c r="AD228" s="64">
        <f t="shared" si="163"/>
        <v>40.836287980923117</v>
      </c>
      <c r="AE228" s="61">
        <f t="shared" si="164"/>
        <v>-133.72687889525068</v>
      </c>
      <c r="AF228" s="31" t="str">
        <f t="shared" si="149"/>
        <v>-10.0808080808081</v>
      </c>
      <c r="AG228" s="31" t="str">
        <f t="shared" si="165"/>
        <v>7910.06165022013i</v>
      </c>
      <c r="AH228" s="31">
        <f t="shared" si="166"/>
        <v>7910.0616502201301</v>
      </c>
      <c r="AI228" s="31">
        <f t="shared" si="167"/>
        <v>1.5707963267948966</v>
      </c>
      <c r="AJ228" s="31" t="str">
        <f t="shared" si="150"/>
        <v>-0.19682547717696+10.6211324500316i</v>
      </c>
      <c r="AK228" s="31">
        <f t="shared" si="168"/>
        <v>10.622956028788796</v>
      </c>
      <c r="AL228" s="31">
        <f t="shared" si="169"/>
        <v>1.5893257022371845</v>
      </c>
      <c r="AM228" s="31" t="str">
        <f t="shared" si="151"/>
        <v>1+7840.14936133085i</v>
      </c>
      <c r="AN228" s="31">
        <f t="shared" si="170"/>
        <v>7840.1494251051454</v>
      </c>
      <c r="AO228" s="31">
        <f t="shared" si="171"/>
        <v>1.5706687782051325</v>
      </c>
      <c r="AP228" s="31" t="str">
        <f t="shared" si="152"/>
        <v>1+9.18832761289571i</v>
      </c>
      <c r="AQ228" s="31">
        <f t="shared" si="172"/>
        <v>9.2425842880604439</v>
      </c>
      <c r="AR228" s="31">
        <f t="shared" si="173"/>
        <v>1.4623892688433429</v>
      </c>
      <c r="AS228" s="58" t="str">
        <f t="shared" si="174"/>
        <v>-8.62327987850321+1.10164344200561i</v>
      </c>
      <c r="AT228" s="49">
        <f t="shared" si="175"/>
        <v>18.783757086018134</v>
      </c>
      <c r="AU228" s="61">
        <f t="shared" si="176"/>
        <v>172.71977010421304</v>
      </c>
      <c r="AV228" s="58" t="str">
        <f t="shared" si="153"/>
        <v>743.958099738901+602.292573146172i</v>
      </c>
      <c r="AW228" s="64">
        <f t="shared" si="177"/>
        <v>59.620045066941245</v>
      </c>
      <c r="AX228" s="61">
        <f t="shared" si="178"/>
        <v>38.992891208962334</v>
      </c>
    </row>
    <row r="229" spans="14:50" x14ac:dyDescent="0.4">
      <c r="N229" s="10">
        <v>11</v>
      </c>
      <c r="O229" s="50">
        <f t="shared" si="179"/>
        <v>1288.2495516931347</v>
      </c>
      <c r="P229" s="48" t="str">
        <f t="shared" si="144"/>
        <v>5120.19230769231</v>
      </c>
      <c r="Q229" s="17" t="str">
        <f t="shared" si="145"/>
        <v>1+37.8253363309326i</v>
      </c>
      <c r="R229" s="17">
        <f t="shared" si="154"/>
        <v>37.838552675124475</v>
      </c>
      <c r="S229" s="17">
        <f t="shared" si="155"/>
        <v>1.5443651772645492</v>
      </c>
      <c r="T229" s="17" t="str">
        <f t="shared" si="146"/>
        <v>1+0.0000808621634452382i</v>
      </c>
      <c r="U229" s="17">
        <f t="shared" si="156"/>
        <v>1.0000000032693446</v>
      </c>
      <c r="V229" s="17">
        <f t="shared" si="157"/>
        <v>8.0862163268994013E-5</v>
      </c>
      <c r="W229" s="31" t="str">
        <f t="shared" si="147"/>
        <v>1-0.1311278326139i</v>
      </c>
      <c r="X229" s="17">
        <f t="shared" si="158"/>
        <v>1.0085606122023698</v>
      </c>
      <c r="Y229" s="17">
        <f t="shared" si="159"/>
        <v>-0.13038393271607837</v>
      </c>
      <c r="Z229" s="31" t="str">
        <f t="shared" si="148"/>
        <v>0.999336165237025+0.798368091482612i</v>
      </c>
      <c r="AA229" s="17">
        <f t="shared" si="160"/>
        <v>1.2790873233083935</v>
      </c>
      <c r="AB229" s="17">
        <f t="shared" si="161"/>
        <v>0.67406889097160838</v>
      </c>
      <c r="AC229" s="66" t="str">
        <f t="shared" si="162"/>
        <v>-74.8816851403645-76.0069354662505i</v>
      </c>
      <c r="AD229" s="64">
        <f t="shared" si="163"/>
        <v>40.563071332309079</v>
      </c>
      <c r="AE229" s="61">
        <f t="shared" si="164"/>
        <v>-134.57272523824048</v>
      </c>
      <c r="AF229" s="31" t="str">
        <f t="shared" si="149"/>
        <v>-10.0808080808081</v>
      </c>
      <c r="AG229" s="31" t="str">
        <f t="shared" si="165"/>
        <v>8094.31065517899i</v>
      </c>
      <c r="AH229" s="31">
        <f t="shared" si="166"/>
        <v>8094.3106551789897</v>
      </c>
      <c r="AI229" s="31">
        <f t="shared" si="167"/>
        <v>1.5707963267948966</v>
      </c>
      <c r="AJ229" s="31" t="str">
        <f t="shared" si="150"/>
        <v>-0.25323012418663+10.8685304062031i</v>
      </c>
      <c r="AK229" s="31">
        <f t="shared" si="168"/>
        <v>10.871480059603517</v>
      </c>
      <c r="AL229" s="31">
        <f t="shared" si="169"/>
        <v>1.5940915016416553</v>
      </c>
      <c r="AM229" s="31" t="str">
        <f t="shared" si="151"/>
        <v>1+8022.76989988428i</v>
      </c>
      <c r="AN229" s="31">
        <f t="shared" si="170"/>
        <v>8022.7699622068949</v>
      </c>
      <c r="AO229" s="31">
        <f t="shared" si="171"/>
        <v>1.5706716815654684</v>
      </c>
      <c r="AP229" s="31" t="str">
        <f t="shared" si="152"/>
        <v>1+9.40235125705592i</v>
      </c>
      <c r="AQ229" s="31">
        <f t="shared" si="172"/>
        <v>9.4553799056971286</v>
      </c>
      <c r="AR229" s="31">
        <f t="shared" si="173"/>
        <v>1.4648382744862731</v>
      </c>
      <c r="AS229" s="58" t="str">
        <f t="shared" si="174"/>
        <v>-8.61757741850547+1.12118653376123i</v>
      </c>
      <c r="AT229" s="49">
        <f t="shared" si="175"/>
        <v>18.780602549626973</v>
      </c>
      <c r="AU229" s="61">
        <f t="shared" si="176"/>
        <v>172.5871939499682</v>
      </c>
      <c r="AV229" s="58" t="str">
        <f t="shared" si="153"/>
        <v>730.516671442461+571.039313719038i</v>
      </c>
      <c r="AW229" s="64">
        <f t="shared" si="177"/>
        <v>59.343673881936056</v>
      </c>
      <c r="AX229" s="61">
        <f t="shared" si="178"/>
        <v>38.014468711727751</v>
      </c>
    </row>
    <row r="230" spans="14:50" x14ac:dyDescent="0.4">
      <c r="N230" s="10">
        <v>12</v>
      </c>
      <c r="O230" s="50">
        <f t="shared" si="179"/>
        <v>1318.2567385564089</v>
      </c>
      <c r="P230" s="48" t="str">
        <f t="shared" si="144"/>
        <v>5120.19230769231</v>
      </c>
      <c r="Q230" s="17" t="str">
        <f t="shared" si="145"/>
        <v>1+38.706401598106i</v>
      </c>
      <c r="R230" s="17">
        <f t="shared" si="154"/>
        <v>38.719317203094668</v>
      </c>
      <c r="S230" s="17">
        <f t="shared" si="155"/>
        <v>1.5449665529997565</v>
      </c>
      <c r="T230" s="17" t="str">
        <f t="shared" si="146"/>
        <v>1+0.0000827456851941733i</v>
      </c>
      <c r="U230" s="17">
        <f t="shared" si="156"/>
        <v>1.0000000034234242</v>
      </c>
      <c r="V230" s="17">
        <f t="shared" si="157"/>
        <v>8.2745685005324241E-5</v>
      </c>
      <c r="W230" s="31" t="str">
        <f t="shared" si="147"/>
        <v>1-0.134182192206767i</v>
      </c>
      <c r="X230" s="17">
        <f t="shared" si="158"/>
        <v>1.0089622692179394</v>
      </c>
      <c r="Y230" s="17">
        <f t="shared" si="159"/>
        <v>-0.1333854710100304</v>
      </c>
      <c r="Z230" s="31" t="str">
        <f t="shared" si="148"/>
        <v>0.9993048796685+0.816964473274718i</v>
      </c>
      <c r="AA230" s="17">
        <f t="shared" si="160"/>
        <v>1.2907521811417995</v>
      </c>
      <c r="AB230" s="17">
        <f t="shared" si="161"/>
        <v>0.68534059308472017</v>
      </c>
      <c r="AC230" s="66" t="str">
        <f t="shared" si="162"/>
        <v>-73.632973693294-72.5489590655321i</v>
      </c>
      <c r="AD230" s="64">
        <f t="shared" si="163"/>
        <v>40.287812847935164</v>
      </c>
      <c r="AE230" s="61">
        <f t="shared" si="164"/>
        <v>-135.42487004722366</v>
      </c>
      <c r="AF230" s="31" t="str">
        <f t="shared" si="149"/>
        <v>-10.0808080808081</v>
      </c>
      <c r="AG230" s="31" t="str">
        <f t="shared" si="165"/>
        <v>8282.85137078811i</v>
      </c>
      <c r="AH230" s="31">
        <f t="shared" si="166"/>
        <v>8282.8513707881102</v>
      </c>
      <c r="AI230" s="31">
        <f t="shared" si="167"/>
        <v>1.5707963267948966</v>
      </c>
      <c r="AJ230" s="31" t="str">
        <f t="shared" si="150"/>
        <v>-0.3122930403132+11.1216910010579i</v>
      </c>
      <c r="AK230" s="31">
        <f t="shared" si="168"/>
        <v>11.126074674656842</v>
      </c>
      <c r="AL230" s="31">
        <f t="shared" si="169"/>
        <v>1.5988685868146169</v>
      </c>
      <c r="AM230" s="31" t="str">
        <f t="shared" si="151"/>
        <v>1+8209.64421723257i</v>
      </c>
      <c r="AN230" s="31">
        <f t="shared" si="170"/>
        <v>8209.6442781365477</v>
      </c>
      <c r="AO230" s="31">
        <f t="shared" si="171"/>
        <v>1.5706745188372564</v>
      </c>
      <c r="AP230" s="31" t="str">
        <f t="shared" si="152"/>
        <v>1+9.62136015230747i</v>
      </c>
      <c r="AQ230" s="31">
        <f t="shared" si="172"/>
        <v>9.6731882634636044</v>
      </c>
      <c r="AR230" s="31">
        <f t="shared" si="173"/>
        <v>1.4672327673456036</v>
      </c>
      <c r="AS230" s="58" t="str">
        <f t="shared" si="174"/>
        <v>-8.61165927102483+1.14126358914447i</v>
      </c>
      <c r="AT230" s="49">
        <f t="shared" si="175"/>
        <v>18.777349755886583</v>
      </c>
      <c r="AU230" s="61">
        <f t="shared" si="176"/>
        <v>172.45084402979558</v>
      </c>
      <c r="AV230" s="58" t="str">
        <f t="shared" si="153"/>
        <v>716.899565970807+540.732284103301i</v>
      </c>
      <c r="AW230" s="64">
        <f t="shared" si="177"/>
        <v>59.065162603821747</v>
      </c>
      <c r="AX230" s="61">
        <f t="shared" si="178"/>
        <v>37.025973982571912</v>
      </c>
    </row>
    <row r="231" spans="14:50" x14ac:dyDescent="0.4">
      <c r="N231" s="10">
        <v>13</v>
      </c>
      <c r="O231" s="50">
        <f t="shared" si="179"/>
        <v>1348.9628825916541</v>
      </c>
      <c r="P231" s="48" t="str">
        <f t="shared" si="144"/>
        <v>5120.19230769231</v>
      </c>
      <c r="Q231" s="17" t="str">
        <f t="shared" si="145"/>
        <v>1+39.6079895117464i</v>
      </c>
      <c r="R231" s="17">
        <f t="shared" si="154"/>
        <v>39.620611216418816</v>
      </c>
      <c r="S231" s="17">
        <f t="shared" si="155"/>
        <v>1.545554257809487</v>
      </c>
      <c r="T231" s="17" t="str">
        <f t="shared" si="146"/>
        <v>1+0.0000846730798006668i</v>
      </c>
      <c r="U231" s="17">
        <f t="shared" si="156"/>
        <v>1.0000000035847652</v>
      </c>
      <c r="V231" s="17">
        <f t="shared" si="157"/>
        <v>8.4673079598311389E-5</v>
      </c>
      <c r="W231" s="31" t="str">
        <f t="shared" si="147"/>
        <v>1-0.137307696974054i</v>
      </c>
      <c r="X231" s="17">
        <f t="shared" si="158"/>
        <v>1.0093826844405043</v>
      </c>
      <c r="Y231" s="17">
        <f t="shared" si="159"/>
        <v>-0.13645442283593878</v>
      </c>
      <c r="Z231" s="31" t="str">
        <f t="shared" si="148"/>
        <v>0.999272119656556+0.835994020444355i</v>
      </c>
      <c r="AA231" s="17">
        <f t="shared" si="160"/>
        <v>1.3028548542879299</v>
      </c>
      <c r="AB231" s="17">
        <f t="shared" si="161"/>
        <v>0.69666479597908082</v>
      </c>
      <c r="AC231" s="66" t="str">
        <f t="shared" si="162"/>
        <v>-72.3637436719413-69.1931443231492i</v>
      </c>
      <c r="AD231" s="64">
        <f t="shared" si="163"/>
        <v>40.010498364836913</v>
      </c>
      <c r="AE231" s="61">
        <f t="shared" si="164"/>
        <v>-136.28309964019539</v>
      </c>
      <c r="AF231" s="31" t="str">
        <f t="shared" si="149"/>
        <v>-10.0808080808081</v>
      </c>
      <c r="AG231" s="31" t="str">
        <f t="shared" si="165"/>
        <v>8475.7837638305i</v>
      </c>
      <c r="AH231" s="31">
        <f t="shared" si="166"/>
        <v>8475.7837638305009</v>
      </c>
      <c r="AI231" s="31">
        <f t="shared" si="167"/>
        <v>1.5707963267948966</v>
      </c>
      <c r="AJ231" s="31" t="str">
        <f t="shared" si="150"/>
        <v>-0.37413950592046+11.3807484636945i</v>
      </c>
      <c r="AK231" s="31">
        <f t="shared" si="168"/>
        <v>11.38689667836567</v>
      </c>
      <c r="AL231" s="31">
        <f t="shared" si="169"/>
        <v>1.6036592628851112</v>
      </c>
      <c r="AM231" s="31" t="str">
        <f t="shared" si="151"/>
        <v>1+8400.87139661229i</v>
      </c>
      <c r="AN231" s="31">
        <f t="shared" si="170"/>
        <v>8400.8714561299257</v>
      </c>
      <c r="AO231" s="31">
        <f t="shared" si="171"/>
        <v>1.5706772915248555</v>
      </c>
      <c r="AP231" s="31" t="str">
        <f t="shared" si="152"/>
        <v>1+9.84547042006552i</v>
      </c>
      <c r="AQ231" s="31">
        <f t="shared" si="172"/>
        <v>9.8961248876711903</v>
      </c>
      <c r="AR231" s="31">
        <f t="shared" si="173"/>
        <v>1.4695739071207568</v>
      </c>
      <c r="AS231" s="58" t="str">
        <f t="shared" si="174"/>
        <v>-8.60551387021033+1.16188161816494i</v>
      </c>
      <c r="AT231" s="49">
        <f t="shared" si="175"/>
        <v>18.773992104676125</v>
      </c>
      <c r="AU231" s="61">
        <f t="shared" si="176"/>
        <v>172.31065480160578</v>
      </c>
      <c r="AV231" s="58" t="str">
        <f t="shared" si="153"/>
        <v>703.121442361337+511.364459602298i</v>
      </c>
      <c r="AW231" s="64">
        <f t="shared" si="177"/>
        <v>58.784490469513045</v>
      </c>
      <c r="AX231" s="61">
        <f t="shared" si="178"/>
        <v>36.027555161410426</v>
      </c>
    </row>
    <row r="232" spans="14:50" x14ac:dyDescent="0.4">
      <c r="N232" s="10">
        <v>14</v>
      </c>
      <c r="O232" s="50">
        <f t="shared" si="179"/>
        <v>1380.3842646028863</v>
      </c>
      <c r="P232" s="48" t="str">
        <f t="shared" si="144"/>
        <v>5120.19230769231</v>
      </c>
      <c r="Q232" s="17" t="str">
        <f t="shared" si="145"/>
        <v>1+40.5305781056997i</v>
      </c>
      <c r="R232" s="17">
        <f t="shared" si="154"/>
        <v>40.542912593722519</v>
      </c>
      <c r="S232" s="17">
        <f t="shared" si="155"/>
        <v>1.546128601677748</v>
      </c>
      <c r="T232" s="17" t="str">
        <f t="shared" si="146"/>
        <v>1+0.0000866453691948514i</v>
      </c>
      <c r="U232" s="17">
        <f t="shared" si="156"/>
        <v>1.00000000375371</v>
      </c>
      <c r="V232" s="17">
        <f t="shared" si="157"/>
        <v>8.664536897802368E-5</v>
      </c>
      <c r="W232" s="31" t="str">
        <f t="shared" si="147"/>
        <v>1-0.140506004099759i</v>
      </c>
      <c r="X232" s="17">
        <f t="shared" si="158"/>
        <v>1.0098227256246919</v>
      </c>
      <c r="Y232" s="17">
        <f t="shared" si="159"/>
        <v>-0.139592184032205</v>
      </c>
      <c r="Z232" s="31" t="str">
        <f t="shared" si="148"/>
        <v>0.999237815712815+0.855466822709323i</v>
      </c>
      <c r="AA232" s="17">
        <f t="shared" si="160"/>
        <v>1.3154085666084516</v>
      </c>
      <c r="AB232" s="17">
        <f t="shared" si="161"/>
        <v>0.70803594809057557</v>
      </c>
      <c r="AC232" s="66" t="str">
        <f t="shared" si="162"/>
        <v>-71.0756773285246-65.9385809268075i</v>
      </c>
      <c r="AD232" s="64">
        <f t="shared" si="163"/>
        <v>39.731116070946328</v>
      </c>
      <c r="AE232" s="61">
        <f t="shared" si="164"/>
        <v>-137.14719361383442</v>
      </c>
      <c r="AF232" s="31" t="str">
        <f t="shared" si="149"/>
        <v>-10.0808080808081</v>
      </c>
      <c r="AG232" s="31" t="str">
        <f t="shared" si="165"/>
        <v>8673.21012961475i</v>
      </c>
      <c r="AH232" s="31">
        <f t="shared" si="166"/>
        <v>8673.2101296147503</v>
      </c>
      <c r="AI232" s="31">
        <f t="shared" si="167"/>
        <v>1.5707963267948966</v>
      </c>
      <c r="AJ232" s="31" t="str">
        <f t="shared" si="150"/>
        <v>-0.43890070565387+11.6458401498085i</v>
      </c>
      <c r="AK232" s="31">
        <f t="shared" si="168"/>
        <v>11.654107714635003</v>
      </c>
      <c r="AL232" s="31">
        <f t="shared" si="169"/>
        <v>1.6084658363805382</v>
      </c>
      <c r="AM232" s="31" t="str">
        <f t="shared" si="151"/>
        <v>1+8596.55282920519i</v>
      </c>
      <c r="AN232" s="31">
        <f t="shared" si="170"/>
        <v>8596.5528873680378</v>
      </c>
      <c r="AO232" s="31">
        <f t="shared" si="171"/>
        <v>1.5706800010983812</v>
      </c>
      <c r="AP232" s="31" t="str">
        <f t="shared" si="152"/>
        <v>1+10.0748008865605i</v>
      </c>
      <c r="AQ232" s="31">
        <f t="shared" si="172"/>
        <v>10.124308020987915</v>
      </c>
      <c r="AR232" s="31">
        <f t="shared" si="173"/>
        <v>1.4718628324057839</v>
      </c>
      <c r="AS232" s="58" t="str">
        <f t="shared" si="174"/>
        <v>-8.59912925138337+1.18304763353642i</v>
      </c>
      <c r="AT232" s="49">
        <f t="shared" si="175"/>
        <v>18.77052279053709</v>
      </c>
      <c r="AU232" s="61">
        <f t="shared" si="176"/>
        <v>172.16655943197853</v>
      </c>
      <c r="AV232" s="58" t="str">
        <f t="shared" si="153"/>
        <v>689.197418101811+482.928468176911i</v>
      </c>
      <c r="AW232" s="64">
        <f t="shared" si="177"/>
        <v>58.501638861483414</v>
      </c>
      <c r="AX232" s="61">
        <f t="shared" si="178"/>
        <v>35.019365818144095</v>
      </c>
    </row>
    <row r="233" spans="14:50" x14ac:dyDescent="0.4">
      <c r="N233" s="10">
        <v>15</v>
      </c>
      <c r="O233" s="50">
        <f t="shared" si="179"/>
        <v>1412.5375446227545</v>
      </c>
      <c r="P233" s="48" t="str">
        <f t="shared" si="144"/>
        <v>5120.19230769231</v>
      </c>
      <c r="Q233" s="17" t="str">
        <f t="shared" si="145"/>
        <v>1+41.4746565486503i</v>
      </c>
      <c r="R233" s="17">
        <f t="shared" si="154"/>
        <v>41.486710351972974</v>
      </c>
      <c r="S233" s="17">
        <f t="shared" si="155"/>
        <v>1.5466898876127184</v>
      </c>
      <c r="T233" s="17" t="str">
        <f t="shared" si="146"/>
        <v>1+0.0000886635991106701i</v>
      </c>
      <c r="U233" s="17">
        <f t="shared" si="156"/>
        <v>1.0000000039306169</v>
      </c>
      <c r="V233" s="17">
        <f t="shared" si="157"/>
        <v>8.8663598878335013E-5</v>
      </c>
      <c r="W233" s="31" t="str">
        <f t="shared" si="147"/>
        <v>1-0.143778809368654i</v>
      </c>
      <c r="X233" s="17">
        <f t="shared" si="158"/>
        <v>1.010283299883487</v>
      </c>
      <c r="Y233" s="17">
        <f t="shared" si="159"/>
        <v>-0.14280017100777972</v>
      </c>
      <c r="Z233" s="31" t="str">
        <f t="shared" si="148"/>
        <v>0.999201895074012+0.875393204807132i</v>
      </c>
      <c r="AA233" s="17">
        <f t="shared" si="160"/>
        <v>1.3284267725930543</v>
      </c>
      <c r="AB233" s="17">
        <f t="shared" si="161"/>
        <v>0.71944837965936703</v>
      </c>
      <c r="AC233" s="66" t="str">
        <f t="shared" si="162"/>
        <v>-69.770489458481-62.7843204692209i</v>
      </c>
      <c r="AD233" s="64">
        <f t="shared" si="163"/>
        <v>39.449656595357439</v>
      </c>
      <c r="AE233" s="61">
        <f t="shared" si="164"/>
        <v>-138.01692557025987</v>
      </c>
      <c r="AF233" s="31" t="str">
        <f t="shared" si="149"/>
        <v>-10.0808080808081</v>
      </c>
      <c r="AG233" s="31" t="str">
        <f t="shared" si="165"/>
        <v>8875.23514621322i</v>
      </c>
      <c r="AH233" s="31">
        <f t="shared" si="166"/>
        <v>8875.2351462132192</v>
      </c>
      <c r="AI233" s="31">
        <f t="shared" si="167"/>
        <v>1.5707963267948966</v>
      </c>
      <c r="AJ233" s="31" t="str">
        <f t="shared" si="150"/>
        <v>-0.50671400670075+11.9171066145209i</v>
      </c>
      <c r="AK233" s="31">
        <f t="shared" si="168"/>
        <v>11.927874460541766</v>
      </c>
      <c r="AL233" s="31">
        <f t="shared" si="169"/>
        <v>1.6132906154080402</v>
      </c>
      <c r="AM233" s="31" t="str">
        <f t="shared" si="151"/>
        <v>1+8796.79226789696i</v>
      </c>
      <c r="AN233" s="31">
        <f t="shared" si="170"/>
        <v>8796.7923247358613</v>
      </c>
      <c r="AO233" s="31">
        <f t="shared" si="171"/>
        <v>1.570682648994485</v>
      </c>
      <c r="AP233" s="31" t="str">
        <f t="shared" si="152"/>
        <v>1+10.3094731458413i</v>
      </c>
      <c r="AQ233" s="31">
        <f t="shared" si="172"/>
        <v>10.357858685308605</v>
      </c>
      <c r="AR233" s="31">
        <f t="shared" si="173"/>
        <v>1.4741006608298546</v>
      </c>
      <c r="AS233" s="58" t="str">
        <f t="shared" si="174"/>
        <v>-8.59249303411433+1.20476863811082i</v>
      </c>
      <c r="AT233" s="49">
        <f t="shared" si="175"/>
        <v>18.766934790798096</v>
      </c>
      <c r="AU233" s="61">
        <f t="shared" si="176"/>
        <v>172.01848979386438</v>
      </c>
      <c r="AV233" s="58" t="str">
        <f t="shared" si="153"/>
        <v>675.143024925162+455.416538718163i</v>
      </c>
      <c r="AW233" s="64">
        <f t="shared" si="177"/>
        <v>58.216591386155528</v>
      </c>
      <c r="AX233" s="61">
        <f t="shared" si="178"/>
        <v>34.001564223604525</v>
      </c>
    </row>
    <row r="234" spans="14:50" x14ac:dyDescent="0.4">
      <c r="N234" s="10">
        <v>16</v>
      </c>
      <c r="O234" s="50">
        <f t="shared" si="179"/>
        <v>1445.4397707459289</v>
      </c>
      <c r="P234" s="48" t="str">
        <f t="shared" si="144"/>
        <v>5120.19230769231</v>
      </c>
      <c r="Q234" s="17" t="str">
        <f t="shared" si="145"/>
        <v>1+42.4407254034849i</v>
      </c>
      <c r="R234" s="17">
        <f t="shared" si="154"/>
        <v>42.452504905765075</v>
      </c>
      <c r="S234" s="17">
        <f t="shared" si="155"/>
        <v>1.5472384118001909</v>
      </c>
      <c r="T234" s="17" t="str">
        <f t="shared" si="146"/>
        <v>1+0.0000907288396403389i</v>
      </c>
      <c r="U234" s="17">
        <f t="shared" si="156"/>
        <v>1.0000000041158612</v>
      </c>
      <c r="V234" s="17">
        <f t="shared" si="157"/>
        <v>9.072883939138736E-5</v>
      </c>
      <c r="W234" s="31" t="str">
        <f t="shared" si="147"/>
        <v>1-0.147127848065414i</v>
      </c>
      <c r="X234" s="17">
        <f t="shared" si="158"/>
        <v>1.0107653553997384</v>
      </c>
      <c r="Y234" s="17">
        <f t="shared" si="159"/>
        <v>-0.14607982042990766</v>
      </c>
      <c r="Z234" s="31" t="str">
        <f t="shared" si="148"/>
        <v>0.999164281547658+0.89578373196933i</v>
      </c>
      <c r="AA234" s="17">
        <f t="shared" si="160"/>
        <v>1.3419231557662117</v>
      </c>
      <c r="AB234" s="17">
        <f t="shared" si="161"/>
        <v>0.73089631623984264</v>
      </c>
      <c r="AC234" s="66" t="str">
        <f t="shared" si="162"/>
        <v>-68.4499229192318-59.7293718943799i</v>
      </c>
      <c r="AD234" s="64">
        <f t="shared" si="163"/>
        <v>39.166113091237364</v>
      </c>
      <c r="AE234" s="61">
        <f t="shared" si="164"/>
        <v>-138.89206388196288</v>
      </c>
      <c r="AF234" s="31" t="str">
        <f t="shared" si="149"/>
        <v>-10.0808080808081</v>
      </c>
      <c r="AG234" s="31" t="str">
        <f t="shared" si="165"/>
        <v>9081.96592996385i</v>
      </c>
      <c r="AH234" s="31">
        <f t="shared" si="166"/>
        <v>9081.9659299638497</v>
      </c>
      <c r="AI234" s="31">
        <f t="shared" si="167"/>
        <v>1.5707963267948966</v>
      </c>
      <c r="AJ234" s="31" t="str">
        <f t="shared" si="150"/>
        <v>-0.57772325016451+12.1946916869019i</v>
      </c>
      <c r="AK234" s="31">
        <f t="shared" si="168"/>
        <v>12.208368830125298</v>
      </c>
      <c r="AL234" s="31">
        <f t="shared" si="169"/>
        <v>1.618135909809538</v>
      </c>
      <c r="AM234" s="31" t="str">
        <f t="shared" si="151"/>
        <v>1+9001.69588228849i</v>
      </c>
      <c r="AN234" s="31">
        <f t="shared" si="170"/>
        <v>9001.6959378335796</v>
      </c>
      <c r="AO234" s="31">
        <f t="shared" si="171"/>
        <v>1.5706852366171165</v>
      </c>
      <c r="AP234" s="31" t="str">
        <f t="shared" si="152"/>
        <v>1+10.549611624246i</v>
      </c>
      <c r="AQ234" s="31">
        <f t="shared" si="172"/>
        <v>10.596900746087334</v>
      </c>
      <c r="AR234" s="31">
        <f t="shared" si="173"/>
        <v>1.4762884892158212</v>
      </c>
      <c r="AS234" s="58" t="str">
        <f t="shared" si="174"/>
        <v>-8.58559240511001+1.22705161117549i</v>
      </c>
      <c r="AT234" s="49">
        <f t="shared" si="175"/>
        <v>18.763220853394387</v>
      </c>
      <c r="AU234" s="61">
        <f t="shared" si="176"/>
        <v>171.86637646683076</v>
      </c>
      <c r="AV234" s="58" t="str">
        <f t="shared" si="153"/>
        <v>660.974160363221+428.820453495498i</v>
      </c>
      <c r="AW234" s="64">
        <f t="shared" si="177"/>
        <v>57.92933394463175</v>
      </c>
      <c r="AX234" s="61">
        <f t="shared" si="178"/>
        <v>32.974312584867882</v>
      </c>
    </row>
    <row r="235" spans="14:50" x14ac:dyDescent="0.4">
      <c r="N235" s="10">
        <v>17</v>
      </c>
      <c r="O235" s="50">
        <f t="shared" si="179"/>
        <v>1479.1083881682086</v>
      </c>
      <c r="P235" s="48" t="str">
        <f t="shared" si="144"/>
        <v>5120.19230769231</v>
      </c>
      <c r="Q235" s="17" t="str">
        <f t="shared" si="145"/>
        <v>1+43.4292968926979i</v>
      </c>
      <c r="R235" s="17">
        <f t="shared" si="154"/>
        <v>43.440808332650754</v>
      </c>
      <c r="S235" s="17">
        <f t="shared" si="155"/>
        <v>1.5477744637538795</v>
      </c>
      <c r="T235" s="17" t="str">
        <f t="shared" si="146"/>
        <v>1+0.0000928421858017231i</v>
      </c>
      <c r="U235" s="17">
        <f t="shared" si="156"/>
        <v>1.0000000043098356</v>
      </c>
      <c r="V235" s="17">
        <f t="shared" si="157"/>
        <v>9.284218553496672E-5</v>
      </c>
      <c r="W235" s="31" t="str">
        <f t="shared" si="147"/>
        <v>1-0.150554895894686i</v>
      </c>
      <c r="X235" s="17">
        <f t="shared" si="158"/>
        <v>1.0112698832052005</v>
      </c>
      <c r="Y235" s="17">
        <f t="shared" si="159"/>
        <v>-0.14943258885527846</v>
      </c>
      <c r="Z235" s="31" t="str">
        <f t="shared" si="148"/>
        <v>0.99912489535042+0.916649215523316i</v>
      </c>
      <c r="AA235" s="17">
        <f t="shared" si="160"/>
        <v>1.3559116272193033</v>
      </c>
      <c r="AB235" s="17">
        <f t="shared" si="161"/>
        <v>0.74237389285934763</v>
      </c>
      <c r="AC235" s="66" t="str">
        <f t="shared" si="162"/>
        <v>-67.1157437580819-56.772697385855i</v>
      </c>
      <c r="AD235" s="64">
        <f t="shared" si="163"/>
        <v>38.880481310792533</v>
      </c>
      <c r="AE235" s="61">
        <f t="shared" si="164"/>
        <v>-139.77237249048849</v>
      </c>
      <c r="AF235" s="31" t="str">
        <f t="shared" si="149"/>
        <v>-10.0808080808081</v>
      </c>
      <c r="AG235" s="31" t="str">
        <f t="shared" si="165"/>
        <v>9293.51209226457i</v>
      </c>
      <c r="AH235" s="31">
        <f t="shared" si="166"/>
        <v>9293.5120922645692</v>
      </c>
      <c r="AI235" s="31">
        <f t="shared" si="167"/>
        <v>1.5707963267948966</v>
      </c>
      <c r="AJ235" s="31" t="str">
        <f t="shared" si="150"/>
        <v>-0.65207905617091+12.4787425462311i</v>
      </c>
      <c r="AK235" s="31">
        <f t="shared" si="168"/>
        <v>12.495768188895591</v>
      </c>
      <c r="AL235" s="31">
        <f t="shared" si="169"/>
        <v>1.6230040312863765</v>
      </c>
      <c r="AM235" s="31" t="str">
        <f t="shared" si="151"/>
        <v>1+9211.37231498833i</v>
      </c>
      <c r="AN235" s="31">
        <f t="shared" si="170"/>
        <v>9211.3723692690583</v>
      </c>
      <c r="AO235" s="31">
        <f t="shared" si="171"/>
        <v>1.5706877653382672</v>
      </c>
      <c r="AP235" s="31" t="str">
        <f t="shared" si="152"/>
        <v>1+10.7953436463745i</v>
      </c>
      <c r="AQ235" s="31">
        <f t="shared" si="172"/>
        <v>10.841560978167225</v>
      </c>
      <c r="AR235" s="31">
        <f t="shared" si="173"/>
        <v>1.4784273937551771</v>
      </c>
      <c r="AS235" s="58" t="str">
        <f t="shared" si="174"/>
        <v>-8.57841410093884+1.24990349355573i</v>
      </c>
      <c r="AT235" s="49">
        <f t="shared" si="175"/>
        <v>18.75937348437499</v>
      </c>
      <c r="AU235" s="61">
        <f t="shared" si="176"/>
        <v>171.71014873998695</v>
      </c>
      <c r="AV235" s="58" t="str">
        <f t="shared" si="153"/>
        <v>646.70703545049+403.131505207334i</v>
      </c>
      <c r="AW235" s="64">
        <f t="shared" si="177"/>
        <v>57.639854795167516</v>
      </c>
      <c r="AX235" s="61">
        <f t="shared" si="178"/>
        <v>31.93777624949843</v>
      </c>
    </row>
    <row r="236" spans="14:50" x14ac:dyDescent="0.4">
      <c r="N236" s="10">
        <v>18</v>
      </c>
      <c r="O236" s="50">
        <f t="shared" si="179"/>
        <v>1513.5612484362093</v>
      </c>
      <c r="P236" s="48" t="str">
        <f t="shared" si="144"/>
        <v>5120.19230769231</v>
      </c>
      <c r="Q236" s="17" t="str">
        <f t="shared" si="145"/>
        <v>1+44.4408951699781i</v>
      </c>
      <c r="R236" s="17">
        <f t="shared" si="154"/>
        <v>44.452144644651092</v>
      </c>
      <c r="S236" s="17">
        <f t="shared" si="155"/>
        <v>1.5482983264626362</v>
      </c>
      <c r="T236" s="17" t="str">
        <f t="shared" si="146"/>
        <v>1+0.000095004758118931i</v>
      </c>
      <c r="U236" s="17">
        <f t="shared" si="156"/>
        <v>1.000000004512952</v>
      </c>
      <c r="V236" s="17">
        <f t="shared" si="157"/>
        <v>9.500475783309638E-5</v>
      </c>
      <c r="W236" s="31" t="str">
        <f t="shared" si="147"/>
        <v>1-0.154061769922591i</v>
      </c>
      <c r="X236" s="17">
        <f t="shared" si="158"/>
        <v>1.0117979190291317</v>
      </c>
      <c r="Y236" s="17">
        <f t="shared" si="159"/>
        <v>-0.1528599523005694</v>
      </c>
      <c r="Z236" s="31" t="str">
        <f t="shared" si="148"/>
        <v>0.999083652938893+0.93800071862466i</v>
      </c>
      <c r="AA236" s="17">
        <f t="shared" si="160"/>
        <v>1.3704063243104583</v>
      </c>
      <c r="AB236" s="17">
        <f t="shared" si="161"/>
        <v>0.75387516874493188</v>
      </c>
      <c r="AC236" s="66" t="str">
        <f t="shared" si="162"/>
        <v>-65.769735993193-53.9132087361118i</v>
      </c>
      <c r="AD236" s="64">
        <f t="shared" si="163"/>
        <v>38.592759671759907</v>
      </c>
      <c r="AE236" s="61">
        <f t="shared" si="164"/>
        <v>-140.65761173401106</v>
      </c>
      <c r="AF236" s="31" t="str">
        <f t="shared" si="149"/>
        <v>-10.0808080808081</v>
      </c>
      <c r="AG236" s="31" t="str">
        <f t="shared" si="165"/>
        <v>9509.98579769078i</v>
      </c>
      <c r="AH236" s="31">
        <f t="shared" si="166"/>
        <v>9509.9857976907806</v>
      </c>
      <c r="AI236" s="31">
        <f t="shared" si="167"/>
        <v>1.5707963267948966</v>
      </c>
      <c r="AJ236" s="31" t="str">
        <f t="shared" si="150"/>
        <v>-0.72993914335355+12.7694098000339i</v>
      </c>
      <c r="AK236" s="31">
        <f t="shared" si="168"/>
        <v>12.790255579706042</v>
      </c>
      <c r="AL236" s="31">
        <f t="shared" si="169"/>
        <v>1.6278972934894436</v>
      </c>
      <c r="AM236" s="31" t="str">
        <f t="shared" si="151"/>
        <v>1+9425.9327392165i</v>
      </c>
      <c r="AN236" s="31">
        <f t="shared" si="170"/>
        <v>9425.9327922616485</v>
      </c>
      <c r="AO236" s="31">
        <f t="shared" si="171"/>
        <v>1.5706902364986983</v>
      </c>
      <c r="AP236" s="31" t="str">
        <f t="shared" si="152"/>
        <v>1+11.0467995025976i</v>
      </c>
      <c r="AQ236" s="31">
        <f t="shared" si="172"/>
        <v>11.091969133142706</v>
      </c>
      <c r="AR236" s="31">
        <f t="shared" si="173"/>
        <v>1.4805184301978285</v>
      </c>
      <c r="AS236" s="58" t="str">
        <f t="shared" si="174"/>
        <v>-8.57094439062771+1.27333117146228i</v>
      </c>
      <c r="AT236" s="49">
        <f t="shared" si="175"/>
        <v>18.755384935093801</v>
      </c>
      <c r="AU236" s="61">
        <f t="shared" si="176"/>
        <v>171.54973461773542</v>
      </c>
      <c r="AV236" s="58" t="str">
        <f t="shared" si="153"/>
        <v>632.358119021167+378.340459018541i</v>
      </c>
      <c r="AW236" s="64">
        <f t="shared" si="177"/>
        <v>57.348144606853715</v>
      </c>
      <c r="AX236" s="61">
        <f t="shared" si="178"/>
        <v>30.892122883724351</v>
      </c>
    </row>
    <row r="237" spans="14:50" x14ac:dyDescent="0.4">
      <c r="N237" s="10">
        <v>19</v>
      </c>
      <c r="O237" s="50">
        <f t="shared" si="179"/>
        <v>1548.8166189124822</v>
      </c>
      <c r="P237" s="48" t="str">
        <f t="shared" si="144"/>
        <v>5120.19230769231</v>
      </c>
      <c r="Q237" s="17" t="str">
        <f t="shared" si="145"/>
        <v>1+45.4760565981222i</v>
      </c>
      <c r="R237" s="17">
        <f t="shared" si="154"/>
        <v>45.487050066096984</v>
      </c>
      <c r="S237" s="17">
        <f t="shared" si="155"/>
        <v>1.5488102765346254</v>
      </c>
      <c r="T237" s="17" t="str">
        <f t="shared" si="146"/>
        <v>1+0.0000972177032164301i</v>
      </c>
      <c r="U237" s="17">
        <f t="shared" si="156"/>
        <v>1.0000000047256408</v>
      </c>
      <c r="V237" s="17">
        <f t="shared" si="157"/>
        <v>9.72177029101528E-5</v>
      </c>
      <c r="W237" s="31" t="str">
        <f t="shared" si="147"/>
        <v>1-0.157650329540157i</v>
      </c>
      <c r="X237" s="17">
        <f t="shared" si="158"/>
        <v>1.0123505452184633</v>
      </c>
      <c r="Y237" s="17">
        <f t="shared" si="159"/>
        <v>-0.15636340574816368</v>
      </c>
      <c r="Z237" s="31" t="str">
        <f t="shared" si="148"/>
        <v>0.999040466832392+0.959849562122926i</v>
      </c>
      <c r="AA237" s="17">
        <f t="shared" si="160"/>
        <v>1.3854216095745933</v>
      </c>
      <c r="AB237" s="17">
        <f t="shared" si="161"/>
        <v>0.76539414253077254</v>
      </c>
      <c r="AC237" s="66" t="str">
        <f t="shared" si="162"/>
        <v>-64.4136960962031-51.1497642309098i</v>
      </c>
      <c r="AD237" s="64">
        <f t="shared" si="163"/>
        <v>38.30294931496163</v>
      </c>
      <c r="AE237" s="61">
        <f t="shared" si="164"/>
        <v>-141.5475391985625</v>
      </c>
      <c r="AF237" s="31" t="str">
        <f t="shared" si="149"/>
        <v>-10.0808080808081</v>
      </c>
      <c r="AG237" s="31" t="str">
        <f t="shared" si="165"/>
        <v>9731.50182346647i</v>
      </c>
      <c r="AH237" s="31">
        <f t="shared" si="166"/>
        <v>9731.5018234664694</v>
      </c>
      <c r="AI237" s="31">
        <f t="shared" si="167"/>
        <v>1.5707963267948966</v>
      </c>
      <c r="AJ237" s="31" t="str">
        <f t="shared" si="150"/>
        <v>-0.81146866339621+13.0668475639359i</v>
      </c>
      <c r="AK237" s="31">
        <f t="shared" si="168"/>
        <v>13.09201996067878</v>
      </c>
      <c r="AL237" s="31">
        <f t="shared" si="169"/>
        <v>1.6328180120705327</v>
      </c>
      <c r="AM237" s="31" t="str">
        <f t="shared" si="151"/>
        <v>1+9645.49091774998i</v>
      </c>
      <c r="AN237" s="31">
        <f t="shared" si="170"/>
        <v>9645.4909695876722</v>
      </c>
      <c r="AO237" s="31">
        <f t="shared" si="171"/>
        <v>1.5706926514086519</v>
      </c>
      <c r="AP237" s="31" t="str">
        <f t="shared" si="152"/>
        <v>1+11.3041125181387i</v>
      </c>
      <c r="AQ237" s="31">
        <f t="shared" si="172"/>
        <v>11.348258008290966</v>
      </c>
      <c r="AR237" s="31">
        <f t="shared" si="173"/>
        <v>1.4825626340552143</v>
      </c>
      <c r="AS237" s="58" t="str">
        <f t="shared" si="174"/>
        <v>-8.56316905816799+1.29734145902093i</v>
      </c>
      <c r="AT237" s="49">
        <f t="shared" si="175"/>
        <v>18.751247189080278</v>
      </c>
      <c r="AU237" s="61">
        <f t="shared" si="176"/>
        <v>171.3850608285083</v>
      </c>
      <c r="AV237" s="58" t="str">
        <f t="shared" si="153"/>
        <v>617.944079089148+354.437519920336i</v>
      </c>
      <c r="AW237" s="64">
        <f t="shared" si="177"/>
        <v>57.054196504041911</v>
      </c>
      <c r="AX237" s="61">
        <f t="shared" si="178"/>
        <v>29.837521629945794</v>
      </c>
    </row>
    <row r="238" spans="14:50" x14ac:dyDescent="0.4">
      <c r="N238" s="10">
        <v>20</v>
      </c>
      <c r="O238" s="50">
        <f t="shared" si="179"/>
        <v>1584.8931924611156</v>
      </c>
      <c r="P238" s="48" t="str">
        <f t="shared" si="144"/>
        <v>5120.19230769231</v>
      </c>
      <c r="Q238" s="17" t="str">
        <f t="shared" si="145"/>
        <v>1+46.5353300334214i</v>
      </c>
      <c r="R238" s="17">
        <f t="shared" si="154"/>
        <v>46.546073317944362</v>
      </c>
      <c r="S238" s="17">
        <f t="shared" si="155"/>
        <v>1.5493105843385093</v>
      </c>
      <c r="T238" s="17" t="str">
        <f t="shared" si="146"/>
        <v>1+0.0000994821944270032i</v>
      </c>
      <c r="U238" s="17">
        <f t="shared" si="156"/>
        <v>1.0000000049483535</v>
      </c>
      <c r="V238" s="17">
        <f t="shared" si="157"/>
        <v>9.9482194098821157E-5</v>
      </c>
      <c r="W238" s="31" t="str">
        <f t="shared" si="147"/>
        <v>1-0.161322477449194i</v>
      </c>
      <c r="X238" s="17">
        <f t="shared" si="158"/>
        <v>1.012928892731541</v>
      </c>
      <c r="Y238" s="17">
        <f t="shared" si="159"/>
        <v>-0.15994446258263051</v>
      </c>
      <c r="Z238" s="31" t="str">
        <f t="shared" si="148"/>
        <v>0.998995245427396+0.982207330564141i</v>
      </c>
      <c r="AA238" s="17">
        <f t="shared" si="160"/>
        <v>1.4009720698859343</v>
      </c>
      <c r="AB238" s="17">
        <f t="shared" si="161"/>
        <v>0.77692476785335962</v>
      </c>
      <c r="AC238" s="66" t="str">
        <f t="shared" si="162"/>
        <v>-63.0494272290702-48.481166077336i</v>
      </c>
      <c r="AD238" s="64">
        <f t="shared" si="163"/>
        <v>38.011054152537</v>
      </c>
      <c r="AE238" s="61">
        <f t="shared" si="164"/>
        <v>-142.44191058733702</v>
      </c>
      <c r="AF238" s="31" t="str">
        <f t="shared" si="149"/>
        <v>-10.0808080808081</v>
      </c>
      <c r="AG238" s="31" t="str">
        <f t="shared" si="165"/>
        <v>9958.17762032063i</v>
      </c>
      <c r="AH238" s="31">
        <f t="shared" si="166"/>
        <v>9958.17762032063</v>
      </c>
      <c r="AI238" s="31">
        <f t="shared" si="167"/>
        <v>1.5707963267948966</v>
      </c>
      <c r="AJ238" s="31" t="str">
        <f t="shared" si="150"/>
        <v>-0.89684055134178+13.3712135433765i</v>
      </c>
      <c r="AK238" s="31">
        <f t="shared" si="168"/>
        <v>13.401256455911369</v>
      </c>
      <c r="AL238" s="31">
        <f t="shared" si="169"/>
        <v>1.637768504690619</v>
      </c>
      <c r="AM238" s="31" t="str">
        <f t="shared" si="151"/>
        <v>1+9870.16326324122i</v>
      </c>
      <c r="AN238" s="31">
        <f t="shared" si="170"/>
        <v>9870.1633138989437</v>
      </c>
      <c r="AO238" s="31">
        <f t="shared" si="171"/>
        <v>1.5706950113485449</v>
      </c>
      <c r="AP238" s="31" t="str">
        <f t="shared" si="152"/>
        <v>1+11.5674191237645i</v>
      </c>
      <c r="AQ238" s="31">
        <f t="shared" si="172"/>
        <v>11.610563517109439</v>
      </c>
      <c r="AR238" s="31">
        <f t="shared" si="173"/>
        <v>1.4845610208153934</v>
      </c>
      <c r="AS238" s="58" t="str">
        <f t="shared" si="174"/>
        <v>-8.55507338497295+1.32194107941966i</v>
      </c>
      <c r="AT238" s="49">
        <f t="shared" si="175"/>
        <v>18.746951948585938</v>
      </c>
      <c r="AU238" s="61">
        <f t="shared" si="176"/>
        <v>171.21605283665551</v>
      </c>
      <c r="AV238" s="58" t="str">
        <f t="shared" si="153"/>
        <v>603.481721841005+331.412305692682i</v>
      </c>
      <c r="AW238" s="64">
        <f t="shared" si="177"/>
        <v>56.758006101122938</v>
      </c>
      <c r="AX238" s="61">
        <f t="shared" si="178"/>
        <v>28.77414224931848</v>
      </c>
    </row>
    <row r="239" spans="14:50" x14ac:dyDescent="0.4">
      <c r="N239" s="10">
        <v>21</v>
      </c>
      <c r="O239" s="50">
        <f t="shared" si="179"/>
        <v>1621.8100973589308</v>
      </c>
      <c r="P239" s="48" t="str">
        <f t="shared" si="144"/>
        <v>5120.19230769231</v>
      </c>
      <c r="Q239" s="17" t="str">
        <f t="shared" si="145"/>
        <v>1+47.6192771166721i</v>
      </c>
      <c r="R239" s="17">
        <f t="shared" si="154"/>
        <v>47.629775908715033</v>
      </c>
      <c r="S239" s="17">
        <f t="shared" si="155"/>
        <v>1.5497995141416854</v>
      </c>
      <c r="T239" s="17" t="str">
        <f t="shared" si="146"/>
        <v>1+0.000101799432413863i</v>
      </c>
      <c r="U239" s="17">
        <f t="shared" si="156"/>
        <v>1.0000000051815621</v>
      </c>
      <c r="V239" s="17">
        <f t="shared" si="157"/>
        <v>1.017994320622096E-4</v>
      </c>
      <c r="W239" s="31" t="str">
        <f t="shared" si="147"/>
        <v>1-0.16508016067113i</v>
      </c>
      <c r="X239" s="17">
        <f t="shared" si="158"/>
        <v>1.0135341432074236</v>
      </c>
      <c r="Y239" s="17">
        <f t="shared" si="159"/>
        <v>-0.16360465395334953</v>
      </c>
      <c r="Z239" s="31" t="str">
        <f t="shared" si="148"/>
        <v>0.998947892803242+1.00508587833307i</v>
      </c>
      <c r="AA239" s="17">
        <f t="shared" si="160"/>
        <v>1.4170725159146218</v>
      </c>
      <c r="AB239" s="17">
        <f t="shared" si="161"/>
        <v>0.78846096923694564</v>
      </c>
      <c r="AC239" s="66" t="str">
        <f t="shared" si="162"/>
        <v>-61.6787332909899-45.9061583979565i</v>
      </c>
      <c r="AD239" s="64">
        <f t="shared" si="163"/>
        <v>37.717080906546116</v>
      </c>
      <c r="AE239" s="61">
        <f t="shared" si="164"/>
        <v>-143.34048060222665</v>
      </c>
      <c r="AF239" s="31" t="str">
        <f t="shared" si="149"/>
        <v>-10.0808080808081</v>
      </c>
      <c r="AG239" s="31" t="str">
        <f t="shared" si="165"/>
        <v>10190.1333747611i</v>
      </c>
      <c r="AH239" s="31">
        <f t="shared" si="166"/>
        <v>10190.133374761101</v>
      </c>
      <c r="AI239" s="31">
        <f t="shared" si="167"/>
        <v>1.5707963267948966</v>
      </c>
      <c r="AJ239" s="31" t="str">
        <f t="shared" si="150"/>
        <v>-0.98623589241058+13.6826691172266i</v>
      </c>
      <c r="AK239" s="31">
        <f t="shared" si="168"/>
        <v>13.718166619741336</v>
      </c>
      <c r="AL239" s="31">
        <f t="shared" si="169"/>
        <v>1.642751090980568</v>
      </c>
      <c r="AM239" s="31" t="str">
        <f t="shared" si="151"/>
        <v>1+10100.0688999416i</v>
      </c>
      <c r="AN239" s="31">
        <f t="shared" si="170"/>
        <v>10100.068949446211</v>
      </c>
      <c r="AO239" s="31">
        <f t="shared" si="171"/>
        <v>1.5706973175696488</v>
      </c>
      <c r="AP239" s="31" t="str">
        <f t="shared" si="152"/>
        <v>1+11.8368589281225i</v>
      </c>
      <c r="AQ239" s="31">
        <f t="shared" si="172"/>
        <v>11.879024761497609</v>
      </c>
      <c r="AR239" s="31">
        <f t="shared" si="173"/>
        <v>1.4865145861688209</v>
      </c>
      <c r="AS239" s="58" t="str">
        <f t="shared" si="174"/>
        <v>-8.54664213233696+1.34713664460583i</v>
      </c>
      <c r="AT239" s="49">
        <f t="shared" si="175"/>
        <v>18.742490620805935</v>
      </c>
      <c r="AU239" s="61">
        <f t="shared" si="176"/>
        <v>171.04263485767197</v>
      </c>
      <c r="AV239" s="58" t="str">
        <f t="shared" si="153"/>
        <v>588.987928804915+309.253825688547i</v>
      </c>
      <c r="AW239" s="64">
        <f t="shared" si="177"/>
        <v>56.45957152735204</v>
      </c>
      <c r="AX239" s="61">
        <f t="shared" si="178"/>
        <v>27.702154255445343</v>
      </c>
    </row>
    <row r="240" spans="14:50" x14ac:dyDescent="0.4">
      <c r="N240" s="10">
        <v>22</v>
      </c>
      <c r="O240" s="50">
        <f t="shared" si="179"/>
        <v>1659.5869074375626</v>
      </c>
      <c r="P240" s="48" t="str">
        <f t="shared" si="144"/>
        <v>5120.19230769231</v>
      </c>
      <c r="Q240" s="17" t="str">
        <f t="shared" si="145"/>
        <v>1+48.728472570966i</v>
      </c>
      <c r="R240" s="17">
        <f t="shared" si="154"/>
        <v>48.738732432218484</v>
      </c>
      <c r="S240" s="17">
        <f t="shared" si="155"/>
        <v>1.5502773242456325</v>
      </c>
      <c r="T240" s="17" t="str">
        <f t="shared" si="146"/>
        <v>1+0.000104170645807265i</v>
      </c>
      <c r="U240" s="17">
        <f t="shared" si="156"/>
        <v>1.0000000054257616</v>
      </c>
      <c r="V240" s="17">
        <f t="shared" si="157"/>
        <v>1.0417064543046161E-4</v>
      </c>
      <c r="W240" s="31" t="str">
        <f t="shared" si="147"/>
        <v>1-0.168925371579349i</v>
      </c>
      <c r="X240" s="17">
        <f t="shared" si="158"/>
        <v>1.0141675311126961</v>
      </c>
      <c r="Y240" s="17">
        <f t="shared" si="159"/>
        <v>-0.16734552805847042</v>
      </c>
      <c r="Z240" s="31" t="str">
        <f t="shared" si="148"/>
        <v>0.998898308518665+1.02849733593858i</v>
      </c>
      <c r="AA240" s="17">
        <f t="shared" si="160"/>
        <v>1.4337379819179676</v>
      </c>
      <c r="AB240" s="17">
        <f t="shared" si="161"/>
        <v>0.79999665816832566</v>
      </c>
      <c r="AC240" s="66" t="str">
        <f t="shared" si="162"/>
        <v>-60.3034128337102-43.4234258070935i</v>
      </c>
      <c r="AD240" s="64">
        <f t="shared" si="163"/>
        <v>37.421039137724463</v>
      </c>
      <c r="AE240" s="61">
        <f t="shared" si="164"/>
        <v>-144.24300383153013</v>
      </c>
      <c r="AF240" s="31" t="str">
        <f t="shared" si="149"/>
        <v>-10.0808080808081</v>
      </c>
      <c r="AG240" s="31" t="str">
        <f t="shared" si="165"/>
        <v>10427.4920727993i</v>
      </c>
      <c r="AH240" s="31">
        <f t="shared" si="166"/>
        <v>10427.492072799299</v>
      </c>
      <c r="AI240" s="31">
        <f t="shared" si="167"/>
        <v>1.5707963267948966</v>
      </c>
      <c r="AJ240" s="31" t="str">
        <f t="shared" si="150"/>
        <v>-1.07984430610648+14.0013794233543i</v>
      </c>
      <c r="AK240" s="31">
        <f t="shared" si="168"/>
        <v>14.042958715390419</v>
      </c>
      <c r="AL240" s="31">
        <f t="shared" si="169"/>
        <v>1.6477680924497176</v>
      </c>
      <c r="AM240" s="31" t="str">
        <f t="shared" si="151"/>
        <v>1+10335.3297268631i</v>
      </c>
      <c r="AN240" s="31">
        <f t="shared" si="170"/>
        <v>10335.329775240849</v>
      </c>
      <c r="AO240" s="31">
        <f t="shared" si="171"/>
        <v>1.5706995712947522</v>
      </c>
      <c r="AP240" s="31" t="str">
        <f t="shared" si="152"/>
        <v>1+12.1125747917637i</v>
      </c>
      <c r="AQ240" s="31">
        <f t="shared" si="172"/>
        <v>12.153784105621979</v>
      </c>
      <c r="AR240" s="31">
        <f t="shared" si="173"/>
        <v>1.4884243062436104</v>
      </c>
      <c r="AS240" s="58" t="str">
        <f t="shared" si="174"/>
        <v>-8.53785952394922+1.37293463346498i</v>
      </c>
      <c r="AT240" s="49">
        <f t="shared" si="175"/>
        <v>18.737854303772696</v>
      </c>
      <c r="AU240" s="61">
        <f t="shared" si="176"/>
        <v>170.86472987695217</v>
      </c>
      <c r="AV240" s="58" t="str">
        <f t="shared" si="153"/>
        <v>574.47959278319+287.950465594058i</v>
      </c>
      <c r="AW240" s="64">
        <f t="shared" si="177"/>
        <v>56.158893441497156</v>
      </c>
      <c r="AX240" s="61">
        <f t="shared" si="178"/>
        <v>26.621726045421973</v>
      </c>
    </row>
    <row r="241" spans="14:50" x14ac:dyDescent="0.4">
      <c r="N241" s="10">
        <v>23</v>
      </c>
      <c r="O241" s="50">
        <f t="shared" si="179"/>
        <v>1698.2436524617447</v>
      </c>
      <c r="P241" s="48" t="str">
        <f t="shared" si="144"/>
        <v>5120.19230769231</v>
      </c>
      <c r="Q241" s="17" t="str">
        <f t="shared" si="145"/>
        <v>1+49.8635045064143i</v>
      </c>
      <c r="R241" s="17">
        <f t="shared" si="154"/>
        <v>49.873530872209152</v>
      </c>
      <c r="S241" s="17">
        <f t="shared" si="155"/>
        <v>1.55074426711841</v>
      </c>
      <c r="T241" s="17" t="str">
        <f t="shared" si="146"/>
        <v>1+0.000106597091855935i</v>
      </c>
      <c r="U241" s="17">
        <f t="shared" si="156"/>
        <v>1.00000000568147</v>
      </c>
      <c r="V241" s="17">
        <f t="shared" si="157"/>
        <v>1.0659709145218289E-4</v>
      </c>
      <c r="W241" s="31" t="str">
        <f t="shared" si="147"/>
        <v>1-0.172860148955569i</v>
      </c>
      <c r="X241" s="17">
        <f t="shared" si="158"/>
        <v>1.0148303459677097</v>
      </c>
      <c r="Y241" s="17">
        <f t="shared" si="159"/>
        <v>-0.17116864934518355</v>
      </c>
      <c r="Z241" s="31" t="str">
        <f t="shared" si="148"/>
        <v>0.998846387398749+1.05245411644537i</v>
      </c>
      <c r="AA241" s="17">
        <f t="shared" si="160"/>
        <v>1.4509837259054066</v>
      </c>
      <c r="AB241" s="17">
        <f t="shared" si="161"/>
        <v>0.81152574925772369</v>
      </c>
      <c r="AC241" s="66" t="str">
        <f t="shared" si="162"/>
        <v>-58.9252529051877-41.0315925784542i</v>
      </c>
      <c r="AD241" s="64">
        <f t="shared" si="163"/>
        <v>37.122941264257115</v>
      </c>
      <c r="AE241" s="61">
        <f t="shared" si="164"/>
        <v>-145.14923563763742</v>
      </c>
      <c r="AF241" s="31" t="str">
        <f t="shared" si="149"/>
        <v>-10.0808080808081</v>
      </c>
      <c r="AG241" s="31" t="str">
        <f t="shared" si="165"/>
        <v>10670.3795651586i</v>
      </c>
      <c r="AH241" s="31">
        <f t="shared" si="166"/>
        <v>10670.379565158601</v>
      </c>
      <c r="AI241" s="31">
        <f t="shared" si="167"/>
        <v>1.5707963267948966</v>
      </c>
      <c r="AJ241" s="31" t="str">
        <f t="shared" si="150"/>
        <v>-1.17786434842519+14.3275134461824i</v>
      </c>
      <c r="AK241" s="31">
        <f t="shared" si="168"/>
        <v>14.375848008859462</v>
      </c>
      <c r="AL241" s="31">
        <f t="shared" si="169"/>
        <v>1.6528218323375918</v>
      </c>
      <c r="AM241" s="31" t="str">
        <f t="shared" si="151"/>
        <v>1+10576.0704824099i</v>
      </c>
      <c r="AN241" s="31">
        <f t="shared" si="170"/>
        <v>10576.070529686436</v>
      </c>
      <c r="AO241" s="31">
        <f t="shared" si="171"/>
        <v>1.57070177371881</v>
      </c>
      <c r="AP241" s="31" t="str">
        <f t="shared" si="152"/>
        <v>1+12.3947129028882i</v>
      </c>
      <c r="AQ241" s="31">
        <f t="shared" si="172"/>
        <v>12.434987251502239</v>
      </c>
      <c r="AR241" s="31">
        <f t="shared" si="173"/>
        <v>1.4902911378491657</v>
      </c>
      <c r="AS241" s="58" t="str">
        <f t="shared" si="174"/>
        <v>-8.52870922852388+1.3993413684102i</v>
      </c>
      <c r="AT241" s="49">
        <f t="shared" si="175"/>
        <v>18.733033771921942</v>
      </c>
      <c r="AU241" s="61">
        <f t="shared" si="176"/>
        <v>170.68225967228327</v>
      </c>
      <c r="AV241" s="58" t="str">
        <f t="shared" si="153"/>
        <v>559.973553152362+267.489978250632i</v>
      </c>
      <c r="AW241" s="64">
        <f t="shared" si="177"/>
        <v>55.855975036179053</v>
      </c>
      <c r="AX241" s="61">
        <f t="shared" si="178"/>
        <v>25.533024034645859</v>
      </c>
    </row>
    <row r="242" spans="14:50" x14ac:dyDescent="0.4">
      <c r="N242" s="10">
        <v>24</v>
      </c>
      <c r="O242" s="50">
        <f t="shared" si="179"/>
        <v>1737.8008287493772</v>
      </c>
      <c r="P242" s="48" t="str">
        <f t="shared" si="144"/>
        <v>5120.19230769231</v>
      </c>
      <c r="Q242" s="17" t="str">
        <f t="shared" si="145"/>
        <v>1+51.0249747319737i</v>
      </c>
      <c r="R242" s="17">
        <f t="shared" si="154"/>
        <v>51.03477291414702</v>
      </c>
      <c r="S242" s="17">
        <f t="shared" si="155"/>
        <v>1.551200589524361</v>
      </c>
      <c r="T242" s="17" t="str">
        <f t="shared" si="146"/>
        <v>1+0.000109080057093686i</v>
      </c>
      <c r="U242" s="17">
        <f t="shared" si="156"/>
        <v>1.0000000059492293</v>
      </c>
      <c r="V242" s="17">
        <f t="shared" si="157"/>
        <v>1.0908005666105781E-4</v>
      </c>
      <c r="W242" s="31" t="str">
        <f t="shared" si="147"/>
        <v>1-0.176886579070842i</v>
      </c>
      <c r="X242" s="17">
        <f t="shared" si="158"/>
        <v>1.0155239346541198</v>
      </c>
      <c r="Y242" s="17">
        <f t="shared" si="159"/>
        <v>-0.17507559762111111</v>
      </c>
      <c r="Z242" s="31" t="str">
        <f t="shared" si="148"/>
        <v>0.998792019311839+1.07696892205558i</v>
      </c>
      <c r="AA242" s="17">
        <f t="shared" si="160"/>
        <v>1.468825230214466</v>
      </c>
      <c r="AB242" s="17">
        <f t="shared" si="161"/>
        <v>0.82304217638160437</v>
      </c>
      <c r="AC242" s="66" t="str">
        <f t="shared" si="162"/>
        <v>-57.5460228822267-38.7292224063615i</v>
      </c>
      <c r="AD242" s="64">
        <f t="shared" si="163"/>
        <v>36.822802570528182</v>
      </c>
      <c r="AE242" s="61">
        <f t="shared" si="164"/>
        <v>-146.05893303842345</v>
      </c>
      <c r="AF242" s="31" t="str">
        <f t="shared" si="149"/>
        <v>-10.0808080808081</v>
      </c>
      <c r="AG242" s="31" t="str">
        <f t="shared" si="165"/>
        <v>10918.9246340026i</v>
      </c>
      <c r="AH242" s="31">
        <f t="shared" si="166"/>
        <v>10918.9246340026</v>
      </c>
      <c r="AI242" s="31">
        <f t="shared" si="167"/>
        <v>1.5707963267948966</v>
      </c>
      <c r="AJ242" s="31" t="str">
        <f t="shared" si="150"/>
        <v>-1.28050393301832+14.6612441062867i</v>
      </c>
      <c r="AK242" s="31">
        <f t="shared" si="168"/>
        <v>14.717057079001968</v>
      </c>
      <c r="AL242" s="31">
        <f t="shared" si="169"/>
        <v>1.6579146354039112</v>
      </c>
      <c r="AM242" s="31" t="str">
        <f t="shared" si="151"/>
        <v>1+10822.4188105175i</v>
      </c>
      <c r="AN242" s="31">
        <f t="shared" si="170"/>
        <v>10822.418856717892</v>
      </c>
      <c r="AO242" s="31">
        <f t="shared" si="171"/>
        <v>1.5707039260095765</v>
      </c>
      <c r="AP242" s="31" t="str">
        <f t="shared" si="152"/>
        <v>1+12.6834228548574i</v>
      </c>
      <c r="AQ242" s="31">
        <f t="shared" si="172"/>
        <v>12.722783316362777</v>
      </c>
      <c r="AR242" s="31">
        <f t="shared" si="173"/>
        <v>1.4921160187271574</v>
      </c>
      <c r="AS242" s="58" t="str">
        <f t="shared" si="174"/>
        <v>-8.51917434261818+1.42636299031115i</v>
      </c>
      <c r="AT242" s="49">
        <f t="shared" si="175"/>
        <v>18.728019461335812</v>
      </c>
      <c r="AU242" s="61">
        <f t="shared" si="176"/>
        <v>170.49514484029214</v>
      </c>
      <c r="AV242" s="58" t="str">
        <f t="shared" si="153"/>
        <v>545.486531141948+247.859480555021i</v>
      </c>
      <c r="AW242" s="64">
        <f t="shared" si="177"/>
        <v>55.550822031864001</v>
      </c>
      <c r="AX242" s="61">
        <f t="shared" si="178"/>
        <v>24.43621180186863</v>
      </c>
    </row>
    <row r="243" spans="14:50" x14ac:dyDescent="0.4">
      <c r="N243" s="10">
        <v>25</v>
      </c>
      <c r="O243" s="50">
        <f t="shared" si="179"/>
        <v>1778.2794100389244</v>
      </c>
      <c r="P243" s="48" t="str">
        <f t="shared" si="144"/>
        <v>5120.19230769231</v>
      </c>
      <c r="Q243" s="17" t="str">
        <f t="shared" si="145"/>
        <v>1+52.2134990745314i</v>
      </c>
      <c r="R243" s="17">
        <f t="shared" si="154"/>
        <v>52.223074264218596</v>
      </c>
      <c r="S243" s="17">
        <f t="shared" si="155"/>
        <v>1.5516465326510691</v>
      </c>
      <c r="T243" s="17" t="str">
        <f t="shared" si="146"/>
        <v>1+0.000111620858021554i</v>
      </c>
      <c r="U243" s="17">
        <f t="shared" si="156"/>
        <v>1.0000000062296079</v>
      </c>
      <c r="V243" s="17">
        <f t="shared" si="157"/>
        <v>1.1162085755798455E-4</v>
      </c>
      <c r="W243" s="31" t="str">
        <f t="shared" si="147"/>
        <v>1-0.181006796791709i</v>
      </c>
      <c r="X243" s="17">
        <f t="shared" si="158"/>
        <v>1.016249703805514</v>
      </c>
      <c r="Y243" s="17">
        <f t="shared" si="159"/>
        <v>-0.17906796707137376</v>
      </c>
      <c r="Z243" s="31" t="str">
        <f t="shared" si="148"/>
        <v>0.998735088935933+1.10205475084364i</v>
      </c>
      <c r="AA243" s="17">
        <f t="shared" si="160"/>
        <v>1.4872782025327016</v>
      </c>
      <c r="AB243" s="17">
        <f t="shared" si="161"/>
        <v>0.83453990870333661</v>
      </c>
      <c r="AC243" s="66" t="str">
        <f t="shared" si="162"/>
        <v>-56.1674683525632-36.5148187558612i</v>
      </c>
      <c r="AD243" s="64">
        <f t="shared" si="163"/>
        <v>36.52064120589543</v>
      </c>
      <c r="AE243" s="61">
        <f t="shared" si="164"/>
        <v>-146.97185557608216</v>
      </c>
      <c r="AF243" s="31" t="str">
        <f t="shared" si="149"/>
        <v>-10.0808080808081</v>
      </c>
      <c r="AG243" s="31" t="str">
        <f t="shared" si="165"/>
        <v>11173.2590612166i</v>
      </c>
      <c r="AH243" s="31">
        <f t="shared" si="166"/>
        <v>11173.2590612166</v>
      </c>
      <c r="AI243" s="31">
        <f t="shared" si="167"/>
        <v>1.5707963267948966</v>
      </c>
      <c r="AJ243" s="31" t="str">
        <f t="shared" si="150"/>
        <v>-1.38798077220585+15.0027483520807i</v>
      </c>
      <c r="AK243" s="31">
        <f t="shared" si="168"/>
        <v>15.066816144755776</v>
      </c>
      <c r="AL243" s="31">
        <f t="shared" si="169"/>
        <v>1.663048827651844</v>
      </c>
      <c r="AM243" s="31" t="str">
        <f t="shared" si="151"/>
        <v>1+11074.50532833i</v>
      </c>
      <c r="AN243" s="31">
        <f t="shared" si="170"/>
        <v>11074.505373478743</v>
      </c>
      <c r="AO243" s="31">
        <f t="shared" si="171"/>
        <v>1.5707060293082247</v>
      </c>
      <c r="AP243" s="31" t="str">
        <f t="shared" si="152"/>
        <v>1+12.9788577255092i</v>
      </c>
      <c r="AQ243" s="31">
        <f t="shared" si="172"/>
        <v>13.01732491178621</v>
      </c>
      <c r="AR243" s="31">
        <f t="shared" si="173"/>
        <v>1.4938998678088569</v>
      </c>
      <c r="AS243" s="58" t="str">
        <f t="shared" si="174"/>
        <v>-8.50923737370908+1.45400543168823i</v>
      </c>
      <c r="AT243" s="49">
        <f t="shared" si="175"/>
        <v>18.722801454660008</v>
      </c>
      <c r="AU243" s="61">
        <f t="shared" si="176"/>
        <v>170.30330482708209</v>
      </c>
      <c r="AV243" s="58" t="str">
        <f t="shared" si="153"/>
        <v>531.035065700386+229.045456382784i</v>
      </c>
      <c r="AW243" s="64">
        <f t="shared" si="177"/>
        <v>55.243442660555438</v>
      </c>
      <c r="AX243" s="61">
        <f t="shared" si="178"/>
        <v>23.331449250999945</v>
      </c>
    </row>
    <row r="244" spans="14:50" x14ac:dyDescent="0.4">
      <c r="N244" s="10">
        <v>26</v>
      </c>
      <c r="O244" s="50">
        <f t="shared" si="179"/>
        <v>1819.7008586099832</v>
      </c>
      <c r="P244" s="48" t="str">
        <f t="shared" si="144"/>
        <v>5120.19230769231</v>
      </c>
      <c r="Q244" s="17" t="str">
        <f t="shared" si="145"/>
        <v>1+53.4297077054253i</v>
      </c>
      <c r="R244" s="17">
        <f t="shared" si="154"/>
        <v>53.43906497579448</v>
      </c>
      <c r="S244" s="17">
        <f t="shared" si="155"/>
        <v>1.5520823322336146</v>
      </c>
      <c r="T244" s="17" t="str">
        <f t="shared" si="146"/>
        <v>1+0.00011422084180582i</v>
      </c>
      <c r="U244" s="17">
        <f t="shared" si="156"/>
        <v>1.0000000065232002</v>
      </c>
      <c r="V244" s="17">
        <f t="shared" si="157"/>
        <v>1.1422084130909638E-4</v>
      </c>
      <c r="W244" s="31" t="str">
        <f t="shared" si="147"/>
        <v>1-0.185222986712141i</v>
      </c>
      <c r="X244" s="17">
        <f t="shared" si="158"/>
        <v>1.0170091222828661</v>
      </c>
      <c r="Y244" s="17">
        <f t="shared" si="159"/>
        <v>-0.18314736517578251</v>
      </c>
      <c r="Z244" s="31" t="str">
        <f t="shared" si="148"/>
        <v>0.99867547551407+1.127724903648i</v>
      </c>
      <c r="AA244" s="17">
        <f t="shared" si="160"/>
        <v>1.5063585773982053</v>
      </c>
      <c r="AB244" s="17">
        <f t="shared" si="161"/>
        <v>0.84601296646919621</v>
      </c>
      <c r="AC244" s="66" t="str">
        <f t="shared" si="162"/>
        <v>-54.7913051057184-34.3868257900433i</v>
      </c>
      <c r="AD244" s="64">
        <f t="shared" si="163"/>
        <v>36.216478173624495</v>
      </c>
      <c r="AE244" s="61">
        <f t="shared" si="164"/>
        <v>-147.88776616720972</v>
      </c>
      <c r="AF244" s="31" t="str">
        <f t="shared" si="149"/>
        <v>-10.0808080808081</v>
      </c>
      <c r="AG244" s="31" t="str">
        <f t="shared" si="165"/>
        <v>11433.5176982803i</v>
      </c>
      <c r="AH244" s="31">
        <f t="shared" si="166"/>
        <v>11433.5176982803</v>
      </c>
      <c r="AI244" s="31">
        <f t="shared" si="167"/>
        <v>1.5707963267948966</v>
      </c>
      <c r="AJ244" s="31" t="str">
        <f t="shared" si="150"/>
        <v>-1.50052283877334+15.3522072536358i</v>
      </c>
      <c r="AK244" s="31">
        <f t="shared" si="168"/>
        <v>15.425363410573771</v>
      </c>
      <c r="AL244" s="31">
        <f t="shared" si="169"/>
        <v>1.6682267359794054</v>
      </c>
      <c r="AM244" s="31" t="str">
        <f t="shared" si="151"/>
        <v>1+11332.4636954559i</v>
      </c>
      <c r="AN244" s="31">
        <f t="shared" si="170"/>
        <v>11332.463739576931</v>
      </c>
      <c r="AO244" s="31">
        <f t="shared" si="171"/>
        <v>1.5707080847299513</v>
      </c>
      <c r="AP244" s="31" t="str">
        <f t="shared" si="152"/>
        <v>1+13.2811741583224i</v>
      </c>
      <c r="AQ244" s="31">
        <f t="shared" si="172"/>
        <v>13.318768224715479</v>
      </c>
      <c r="AR244" s="31">
        <f t="shared" si="173"/>
        <v>1.4956435854779531</v>
      </c>
      <c r="AS244" s="58" t="str">
        <f t="shared" si="174"/>
        <v>-8.49888022362013+1.48227438810046i</v>
      </c>
      <c r="AT244" s="49">
        <f t="shared" si="175"/>
        <v>18.717369465707336</v>
      </c>
      <c r="AU244" s="61">
        <f t="shared" si="176"/>
        <v>170.1066579632988</v>
      </c>
      <c r="AV244" s="58" t="str">
        <f t="shared" si="153"/>
        <v>516.63545054598+211.033765411265i</v>
      </c>
      <c r="AW244" s="64">
        <f t="shared" si="177"/>
        <v>54.93384763933183</v>
      </c>
      <c r="AX244" s="61">
        <f t="shared" si="178"/>
        <v>22.218891796089064</v>
      </c>
    </row>
    <row r="245" spans="14:50" x14ac:dyDescent="0.4">
      <c r="N245" s="10">
        <v>27</v>
      </c>
      <c r="O245" s="50">
        <f t="shared" si="179"/>
        <v>1862.0871366628687</v>
      </c>
      <c r="P245" s="48" t="str">
        <f t="shared" si="144"/>
        <v>5120.19230769231</v>
      </c>
      <c r="Q245" s="17" t="str">
        <f t="shared" si="145"/>
        <v>1+54.6742454745707i</v>
      </c>
      <c r="R245" s="17">
        <f t="shared" si="154"/>
        <v>54.683389783494718</v>
      </c>
      <c r="S245" s="17">
        <f t="shared" si="155"/>
        <v>1.5525082186761845</v>
      </c>
      <c r="T245" s="17" t="str">
        <f t="shared" si="146"/>
        <v>1+0.000116881386992304i</v>
      </c>
      <c r="U245" s="17">
        <f t="shared" si="156"/>
        <v>1.0000000068306292</v>
      </c>
      <c r="V245" s="17">
        <f t="shared" si="157"/>
        <v>1.1688138646005506E-4</v>
      </c>
      <c r="W245" s="31" t="str">
        <f t="shared" si="147"/>
        <v>1-0.189537384311845i</v>
      </c>
      <c r="X245" s="17">
        <f t="shared" si="158"/>
        <v>1.0178037237364461</v>
      </c>
      <c r="Y245" s="17">
        <f t="shared" si="159"/>
        <v>-0.18731541152036382</v>
      </c>
      <c r="Z245" s="31" t="str">
        <f t="shared" si="148"/>
        <v>0.99861305259819+1.15399299112349i</v>
      </c>
      <c r="AA245" s="17">
        <f t="shared" si="160"/>
        <v>1.526082518208506</v>
      </c>
      <c r="AB245" s="17">
        <f t="shared" si="161"/>
        <v>0.85745543647988154</v>
      </c>
      <c r="AC245" s="66" t="str">
        <f t="shared" si="162"/>
        <v>-53.4192132899523-32.3436298562397i</v>
      </c>
      <c r="AD245" s="64">
        <f t="shared" si="163"/>
        <v>35.910337310205435</v>
      </c>
      <c r="AE245" s="61">
        <f t="shared" si="164"/>
        <v>-148.80643192808921</v>
      </c>
      <c r="AF245" s="31" t="str">
        <f t="shared" si="149"/>
        <v>-10.0808080808081</v>
      </c>
      <c r="AG245" s="31" t="str">
        <f t="shared" si="165"/>
        <v>11699.8385377682i</v>
      </c>
      <c r="AH245" s="31">
        <f t="shared" si="166"/>
        <v>11699.838537768201</v>
      </c>
      <c r="AI245" s="31">
        <f t="shared" si="167"/>
        <v>1.5707963267948966</v>
      </c>
      <c r="AJ245" s="31" t="str">
        <f t="shared" si="150"/>
        <v>-1.61836884953284+15.7098060986873i</v>
      </c>
      <c r="AK245" s="31">
        <f t="shared" si="168"/>
        <v>15.792945431156625</v>
      </c>
      <c r="AL245" s="31">
        <f t="shared" si="169"/>
        <v>1.6734506877536335</v>
      </c>
      <c r="AM245" s="31" t="str">
        <f t="shared" si="151"/>
        <v>1+11596.430684836i</v>
      </c>
      <c r="AN245" s="31">
        <f t="shared" si="170"/>
        <v>11596.430727952715</v>
      </c>
      <c r="AO245" s="31">
        <f t="shared" si="171"/>
        <v>1.5707100933645681</v>
      </c>
      <c r="AP245" s="31" t="str">
        <f t="shared" si="152"/>
        <v>1+13.5905324454715i</v>
      </c>
      <c r="AQ245" s="31">
        <f t="shared" si="172"/>
        <v>13.627273100345995</v>
      </c>
      <c r="AR245" s="31">
        <f t="shared" si="173"/>
        <v>1.4973480538380095</v>
      </c>
      <c r="AS245" s="58" t="str">
        <f t="shared" si="174"/>
        <v>-8.48808417238676+1.51117528765174i</v>
      </c>
      <c r="AT245" s="49">
        <f t="shared" si="175"/>
        <v>18.711712823748915</v>
      </c>
      <c r="AU245" s="61">
        <f t="shared" si="176"/>
        <v>169.90512150388656</v>
      </c>
      <c r="AV245" s="58" t="str">
        <f t="shared" si="153"/>
        <v>502.303672979501+193.809657650711i</v>
      </c>
      <c r="AW245" s="64">
        <f t="shared" si="177"/>
        <v>54.622050133954346</v>
      </c>
      <c r="AX245" s="61">
        <f t="shared" si="178"/>
        <v>21.098689575797373</v>
      </c>
    </row>
    <row r="246" spans="14:50" x14ac:dyDescent="0.4">
      <c r="N246" s="10">
        <v>28</v>
      </c>
      <c r="O246" s="50">
        <f t="shared" si="179"/>
        <v>1905.4607179632501</v>
      </c>
      <c r="P246" s="48" t="str">
        <f t="shared" si="144"/>
        <v>5120.19230769231</v>
      </c>
      <c r="Q246" s="17" t="str">
        <f t="shared" si="145"/>
        <v>1+55.9477722523663i</v>
      </c>
      <c r="R246" s="17">
        <f t="shared" si="154"/>
        <v>55.95670844503497</v>
      </c>
      <c r="S246" s="17">
        <f t="shared" si="155"/>
        <v>1.5529244171710777</v>
      </c>
      <c r="T246" s="17" t="str">
        <f t="shared" si="146"/>
        <v>1+0.000119603904237281i</v>
      </c>
      <c r="U246" s="17">
        <f t="shared" si="156"/>
        <v>1.000000007152547</v>
      </c>
      <c r="V246" s="17">
        <f t="shared" si="157"/>
        <v>1.1960390366696598E-4</v>
      </c>
      <c r="W246" s="31" t="str">
        <f t="shared" si="147"/>
        <v>1-0.193952277141537i</v>
      </c>
      <c r="X246" s="17">
        <f t="shared" si="158"/>
        <v>1.0186351092557078</v>
      </c>
      <c r="Y246" s="17">
        <f t="shared" si="159"/>
        <v>-0.19157373649726453</v>
      </c>
      <c r="Z246" s="31" t="str">
        <f t="shared" si="148"/>
        <v>0.99854768778092+1.18087294095778i</v>
      </c>
      <c r="AA246" s="17">
        <f t="shared" si="160"/>
        <v>1.5464664197643927</v>
      </c>
      <c r="AB246" s="17">
        <f t="shared" si="161"/>
        <v>0.86886148714140798</v>
      </c>
      <c r="AC246" s="66" t="str">
        <f t="shared" si="162"/>
        <v>-52.0528317898075-30.3835615064386i</v>
      </c>
      <c r="AD246" s="64">
        <f t="shared" si="163"/>
        <v>35.602245255357914</v>
      </c>
      <c r="AE246" s="61">
        <f t="shared" si="164"/>
        <v>-149.72762496933009</v>
      </c>
      <c r="AF246" s="31" t="str">
        <f t="shared" si="149"/>
        <v>-10.0808080808081</v>
      </c>
      <c r="AG246" s="31" t="str">
        <f t="shared" si="165"/>
        <v>11972.3627865146i</v>
      </c>
      <c r="AH246" s="31">
        <f t="shared" si="166"/>
        <v>11972.362786514601</v>
      </c>
      <c r="AI246" s="31">
        <f t="shared" si="167"/>
        <v>1.5707963267948966</v>
      </c>
      <c r="AJ246" s="31" t="str">
        <f t="shared" si="150"/>
        <v>-1.74176877167308+16.0757344908762i</v>
      </c>
      <c r="AK246" s="31">
        <f t="shared" si="168"/>
        <v>16.169817496654755</v>
      </c>
      <c r="AL246" s="31">
        <f t="shared" si="169"/>
        <v>1.678723010302076</v>
      </c>
      <c r="AM246" s="31" t="str">
        <f t="shared" si="151"/>
        <v>1+11866.5462552623i</v>
      </c>
      <c r="AN246" s="31">
        <f t="shared" si="170"/>
        <v>11866.546297397559</v>
      </c>
      <c r="AO246" s="31">
        <f t="shared" si="171"/>
        <v>1.5707120562770793</v>
      </c>
      <c r="AP246" s="31" t="str">
        <f t="shared" si="152"/>
        <v>1+13.9070966128154i</v>
      </c>
      <c r="AQ246" s="31">
        <f t="shared" si="172"/>
        <v>13.943003126951581</v>
      </c>
      <c r="AR246" s="31">
        <f t="shared" si="173"/>
        <v>1.4990141369837895</v>
      </c>
      <c r="AS246" s="58" t="str">
        <f t="shared" si="174"/>
        <v>-8.47682986266641+1.5407132585431i</v>
      </c>
      <c r="AT246" s="49">
        <f t="shared" si="175"/>
        <v>18.705820457505776</v>
      </c>
      <c r="AU246" s="61">
        <f t="shared" si="176"/>
        <v>169.69861167280268</v>
      </c>
      <c r="AV246" s="58" t="str">
        <f t="shared" si="153"/>
        <v>488.055355006921+177.35779342867i</v>
      </c>
      <c r="AW246" s="64">
        <f t="shared" si="177"/>
        <v>54.308065712863687</v>
      </c>
      <c r="AX246" s="61">
        <f t="shared" si="178"/>
        <v>19.970986703472597</v>
      </c>
    </row>
    <row r="247" spans="14:50" x14ac:dyDescent="0.4">
      <c r="N247" s="10">
        <v>29</v>
      </c>
      <c r="O247" s="50">
        <f t="shared" si="179"/>
        <v>1949.8445997580463</v>
      </c>
      <c r="P247" s="48" t="str">
        <f t="shared" si="144"/>
        <v>5120.19230769231</v>
      </c>
      <c r="Q247" s="17" t="str">
        <f t="shared" si="145"/>
        <v>1+57.2509632795658i</v>
      </c>
      <c r="R247" s="17">
        <f t="shared" si="154"/>
        <v>57.259696091039388</v>
      </c>
      <c r="S247" s="17">
        <f t="shared" si="155"/>
        <v>1.5533311478151588</v>
      </c>
      <c r="T247" s="17" t="str">
        <f t="shared" si="146"/>
        <v>1+0.000122389837055427i</v>
      </c>
      <c r="U247" s="17">
        <f t="shared" si="156"/>
        <v>1.000000007489636</v>
      </c>
      <c r="V247" s="17">
        <f t="shared" si="157"/>
        <v>1.2238983644432343E-4</v>
      </c>
      <c r="W247" s="31" t="str">
        <f t="shared" si="147"/>
        <v>1-0.198470006035828i</v>
      </c>
      <c r="X247" s="17">
        <f t="shared" si="158"/>
        <v>1.019504950108562</v>
      </c>
      <c r="Y247" s="17">
        <f t="shared" si="159"/>
        <v>-0.1959239798869585</v>
      </c>
      <c r="Z247" s="31" t="str">
        <f t="shared" si="148"/>
        <v>0.998479242414718+1.20837900525605i</v>
      </c>
      <c r="AA247" s="17">
        <f t="shared" si="160"/>
        <v>1.5675269113723918</v>
      </c>
      <c r="AB247" s="17">
        <f t="shared" si="161"/>
        <v>0.88022538300443232</v>
      </c>
      <c r="AC247" s="66" t="str">
        <f t="shared" si="162"/>
        <v>-50.6937528750953-28.5048980213535i</v>
      </c>
      <c r="AD247" s="64">
        <f t="shared" si="163"/>
        <v>35.292231413104915</v>
      </c>
      <c r="AE247" s="61">
        <f t="shared" si="164"/>
        <v>-150.65112315430594</v>
      </c>
      <c r="AF247" s="31" t="str">
        <f t="shared" si="149"/>
        <v>-10.0808080808081</v>
      </c>
      <c r="AG247" s="31" t="str">
        <f t="shared" si="165"/>
        <v>12251.2349404832i</v>
      </c>
      <c r="AH247" s="31">
        <f t="shared" si="166"/>
        <v>12251.2349404832</v>
      </c>
      <c r="AI247" s="31">
        <f t="shared" si="167"/>
        <v>1.5707963267948966</v>
      </c>
      <c r="AJ247" s="31" t="str">
        <f t="shared" si="150"/>
        <v>-1.87098435297328+16.4501864502796i</v>
      </c>
      <c r="AK247" s="31">
        <f t="shared" si="168"/>
        <v>16.556244039577134</v>
      </c>
      <c r="AL247" s="31">
        <f t="shared" si="169"/>
        <v>1.6840460303159666</v>
      </c>
      <c r="AM247" s="31" t="str">
        <f t="shared" si="151"/>
        <v>1+12142.9536255853i</v>
      </c>
      <c r="AN247" s="31">
        <f t="shared" si="170"/>
        <v>12142.953666761443</v>
      </c>
      <c r="AO247" s="31">
        <f t="shared" si="171"/>
        <v>1.5707139745082477</v>
      </c>
      <c r="AP247" s="31" t="str">
        <f t="shared" si="152"/>
        <v>1+14.2310345068653i</v>
      </c>
      <c r="AQ247" s="31">
        <f t="shared" si="172"/>
        <v>14.266125722689775</v>
      </c>
      <c r="AR247" s="31">
        <f t="shared" si="173"/>
        <v>1.5006426812757367</v>
      </c>
      <c r="AS247" s="58" t="str">
        <f t="shared" si="174"/>
        <v>-8.46509728480374+1.57089309459824i</v>
      </c>
      <c r="AT247" s="49">
        <f t="shared" si="175"/>
        <v>18.699680878849556</v>
      </c>
      <c r="AU247" s="61">
        <f t="shared" si="176"/>
        <v>169.48704371297188</v>
      </c>
      <c r="AV247" s="58" t="str">
        <f t="shared" si="153"/>
        <v>473.905697283452+161.66226851341i</v>
      </c>
      <c r="AW247" s="64">
        <f t="shared" si="177"/>
        <v>53.991912291954463</v>
      </c>
      <c r="AX247" s="61">
        <f t="shared" si="178"/>
        <v>18.83592055866594</v>
      </c>
    </row>
    <row r="248" spans="14:50" x14ac:dyDescent="0.4">
      <c r="N248" s="10">
        <v>30</v>
      </c>
      <c r="O248" s="50">
        <f t="shared" si="179"/>
        <v>1995.2623149688804</v>
      </c>
      <c r="P248" s="48" t="str">
        <f t="shared" si="144"/>
        <v>5120.19230769231</v>
      </c>
      <c r="Q248" s="17" t="str">
        <f t="shared" si="145"/>
        <v>1+58.5845095253025i</v>
      </c>
      <c r="R248" s="17">
        <f t="shared" si="154"/>
        <v>58.593043583007862</v>
      </c>
      <c r="S248" s="17">
        <f t="shared" si="155"/>
        <v>1.5537286257238077</v>
      </c>
      <c r="T248" s="17" t="str">
        <f t="shared" si="146"/>
        <v>1+0.000125240662585202i</v>
      </c>
      <c r="U248" s="17">
        <f t="shared" si="156"/>
        <v>1.0000000078426117</v>
      </c>
      <c r="V248" s="17">
        <f t="shared" si="157"/>
        <v>1.2524066193039273E-4</v>
      </c>
      <c r="W248" s="31" t="str">
        <f t="shared" si="147"/>
        <v>1-0.203092966354382i</v>
      </c>
      <c r="X248" s="17">
        <f t="shared" si="158"/>
        <v>1.020414990571298</v>
      </c>
      <c r="Y248" s="17">
        <f t="shared" si="159"/>
        <v>-0.20036778931653609</v>
      </c>
      <c r="Z248" s="31" t="str">
        <f t="shared" si="148"/>
        <v>0.998407571317786+1.23652576809771i</v>
      </c>
      <c r="AA248" s="17">
        <f t="shared" si="160"/>
        <v>1.5892808605260154</v>
      </c>
      <c r="AB248" s="17">
        <f t="shared" si="161"/>
        <v>0.89154149870683097</v>
      </c>
      <c r="AC248" s="66" t="str">
        <f t="shared" si="162"/>
        <v>-49.3435171678635-26.7058664022991i</v>
      </c>
      <c r="AD248" s="64">
        <f t="shared" si="163"/>
        <v>34.980327904366604</v>
      </c>
      <c r="AE248" s="61">
        <f t="shared" si="164"/>
        <v>-151.5767108161572</v>
      </c>
      <c r="AF248" s="31" t="str">
        <f t="shared" si="149"/>
        <v>-10.0808080808081</v>
      </c>
      <c r="AG248" s="31" t="str">
        <f t="shared" si="165"/>
        <v>12536.6028613816i</v>
      </c>
      <c r="AH248" s="31">
        <f t="shared" si="166"/>
        <v>12536.6028613816</v>
      </c>
      <c r="AI248" s="31">
        <f t="shared" si="167"/>
        <v>1.5707963267948966</v>
      </c>
      <c r="AJ248" s="31" t="str">
        <f t="shared" si="150"/>
        <v>-2.00628967700577+16.8333605162829i</v>
      </c>
      <c r="AK248" s="31">
        <f t="shared" si="168"/>
        <v>16.952499064716449</v>
      </c>
      <c r="AL248" s="31">
        <f t="shared" si="169"/>
        <v>1.6894220731593315</v>
      </c>
      <c r="AM248" s="31" t="str">
        <f t="shared" si="151"/>
        <v>1+12425.7993506516i</v>
      </c>
      <c r="AN248" s="31">
        <f t="shared" si="170"/>
        <v>12425.799390890459</v>
      </c>
      <c r="AO248" s="31">
        <f t="shared" si="171"/>
        <v>1.5707158490751443</v>
      </c>
      <c r="AP248" s="31" t="str">
        <f t="shared" si="152"/>
        <v>1+14.5625178837809i</v>
      </c>
      <c r="AQ248" s="31">
        <f t="shared" si="172"/>
        <v>14.596812224435803</v>
      </c>
      <c r="AR248" s="31">
        <f t="shared" si="173"/>
        <v>1.5022345156169661</v>
      </c>
      <c r="AS248" s="58" t="str">
        <f t="shared" si="174"/>
        <v>-8.45286576267963+1.60171921869269i</v>
      </c>
      <c r="AT248" s="49">
        <f t="shared" si="175"/>
        <v>18.693282166231771</v>
      </c>
      <c r="AU248" s="61">
        <f t="shared" si="176"/>
        <v>169.27033194177358</v>
      </c>
      <c r="AV248" s="58" t="str">
        <f t="shared" si="153"/>
        <v>459.86942634683+146.706644009031i</v>
      </c>
      <c r="AW248" s="64">
        <f t="shared" si="177"/>
        <v>53.673610070598379</v>
      </c>
      <c r="AX248" s="61">
        <f t="shared" si="178"/>
        <v>17.693621125616406</v>
      </c>
    </row>
    <row r="249" spans="14:50" x14ac:dyDescent="0.4">
      <c r="N249" s="10">
        <v>31</v>
      </c>
      <c r="O249" s="50">
        <f t="shared" si="179"/>
        <v>2041.7379446695318</v>
      </c>
      <c r="P249" s="48" t="str">
        <f t="shared" si="144"/>
        <v>5120.19230769231</v>
      </c>
      <c r="Q249" s="17" t="str">
        <f t="shared" si="145"/>
        <v>1+59.9491180534469i</v>
      </c>
      <c r="R249" s="17">
        <f t="shared" si="154"/>
        <v>59.957457879617557</v>
      </c>
      <c r="S249" s="17">
        <f t="shared" si="155"/>
        <v>1.5541170611424078</v>
      </c>
      <c r="T249" s="17" t="str">
        <f t="shared" si="146"/>
        <v>1+0.000128157892372036i</v>
      </c>
      <c r="U249" s="17">
        <f t="shared" si="156"/>
        <v>1.0000000082122227</v>
      </c>
      <c r="V249" s="17">
        <f t="shared" si="157"/>
        <v>1.2815789167039523E-4</v>
      </c>
      <c r="W249" s="31" t="str">
        <f t="shared" si="147"/>
        <v>1-0.207823609251949i</v>
      </c>
      <c r="X249" s="17">
        <f t="shared" si="158"/>
        <v>1.021367050850235</v>
      </c>
      <c r="Y249" s="17">
        <f t="shared" si="159"/>
        <v>-0.20490681858766996</v>
      </c>
      <c r="Z249" s="31" t="str">
        <f t="shared" si="148"/>
        <v>0.998332522466119+1.26532815326896i</v>
      </c>
      <c r="AA249" s="17">
        <f t="shared" si="160"/>
        <v>1.6117453771823267</v>
      </c>
      <c r="AB249" s="17">
        <f t="shared" si="161"/>
        <v>0.90280433224114698</v>
      </c>
      <c r="AC249" s="66" t="str">
        <f t="shared" si="162"/>
        <v>-48.0036089689777-24.984646790394i</v>
      </c>
      <c r="AD249" s="64">
        <f t="shared" si="163"/>
        <v>34.666569511592385</v>
      </c>
      <c r="AE249" s="61">
        <f t="shared" si="164"/>
        <v>-152.5041794285014</v>
      </c>
      <c r="AF249" s="31" t="str">
        <f t="shared" si="149"/>
        <v>-10.0808080808081</v>
      </c>
      <c r="AG249" s="31" t="str">
        <f t="shared" si="165"/>
        <v>12828.6178550586i</v>
      </c>
      <c r="AH249" s="31">
        <f t="shared" si="166"/>
        <v>12828.617855058599</v>
      </c>
      <c r="AI249" s="31">
        <f t="shared" si="167"/>
        <v>1.5707963267948966</v>
      </c>
      <c r="AJ249" s="31" t="str">
        <f t="shared" si="150"/>
        <v>-2.14797174450344+17.2254598528479i</v>
      </c>
      <c r="AK249" s="31">
        <f t="shared" si="168"/>
        <v>17.358866603475583</v>
      </c>
      <c r="AL249" s="31">
        <f t="shared" si="169"/>
        <v>1.6948534620779865</v>
      </c>
      <c r="AM249" s="31" t="str">
        <f t="shared" si="151"/>
        <v>1+12715.2333990085i</v>
      </c>
      <c r="AN249" s="31">
        <f t="shared" si="170"/>
        <v>12715.23343833141</v>
      </c>
      <c r="AO249" s="31">
        <f t="shared" si="171"/>
        <v>1.5707176809716894</v>
      </c>
      <c r="AP249" s="31" t="str">
        <f t="shared" si="152"/>
        <v>1+14.9017225004361i</v>
      </c>
      <c r="AQ249" s="31">
        <f t="shared" si="172"/>
        <v>14.935237978686629</v>
      </c>
      <c r="AR249" s="31">
        <f t="shared" si="173"/>
        <v>1.5037904517321272</v>
      </c>
      <c r="AS249" s="58" t="str">
        <f t="shared" si="174"/>
        <v>-8.44011394047378+1.63319564401698i</v>
      </c>
      <c r="AT249" s="49">
        <f t="shared" si="175"/>
        <v>18.686611947853422</v>
      </c>
      <c r="AU249" s="61">
        <f t="shared" si="176"/>
        <v>169.04838981237182</v>
      </c>
      <c r="AV249" s="58" t="str">
        <f t="shared" si="153"/>
        <v>445.960745557495+132.473980608189i</v>
      </c>
      <c r="AW249" s="64">
        <f t="shared" si="177"/>
        <v>53.3531814594458</v>
      </c>
      <c r="AX249" s="61">
        <f t="shared" si="178"/>
        <v>16.544210383870421</v>
      </c>
    </row>
    <row r="250" spans="14:50" x14ac:dyDescent="0.4">
      <c r="N250" s="10">
        <v>32</v>
      </c>
      <c r="O250" s="50">
        <f t="shared" si="179"/>
        <v>2089.2961308540398</v>
      </c>
      <c r="P250" s="48" t="str">
        <f t="shared" si="144"/>
        <v>5120.19230769231</v>
      </c>
      <c r="Q250" s="17" t="str">
        <f t="shared" si="145"/>
        <v>1+61.3455123975043i</v>
      </c>
      <c r="R250" s="17">
        <f t="shared" si="154"/>
        <v>61.353662411565566</v>
      </c>
      <c r="S250" s="17">
        <f t="shared" si="155"/>
        <v>1.5544966595554279</v>
      </c>
      <c r="T250" s="17" t="str">
        <f t="shared" si="146"/>
        <v>1+0.000131143073169776i</v>
      </c>
      <c r="U250" s="17">
        <f t="shared" si="156"/>
        <v>1.0000000085992529</v>
      </c>
      <c r="V250" s="17">
        <f t="shared" si="157"/>
        <v>1.3114307241795438E-4</v>
      </c>
      <c r="W250" s="31" t="str">
        <f t="shared" si="147"/>
        <v>1-0.212664442978015i</v>
      </c>
      <c r="X250" s="17">
        <f t="shared" si="158"/>
        <v>1.0223630300960365</v>
      </c>
      <c r="Y250" s="17">
        <f t="shared" si="159"/>
        <v>-0.20954272586787639</v>
      </c>
      <c r="Z250" s="31" t="str">
        <f t="shared" si="148"/>
        <v>0.998253936671039+1.29480143217568i</v>
      </c>
      <c r="AA250" s="17">
        <f t="shared" si="160"/>
        <v>1.6349378186473693</v>
      </c>
      <c r="AB250" s="17">
        <f t="shared" si="161"/>
        <v>0.91400851747636225</v>
      </c>
      <c r="AC250" s="66" t="str">
        <f t="shared" si="162"/>
        <v>-46.6754519805132-23.3393762686438i</v>
      </c>
      <c r="AD250" s="64">
        <f t="shared" si="163"/>
        <v>34.350993615996863</v>
      </c>
      <c r="AE250" s="61">
        <f t="shared" si="164"/>
        <v>-153.43332822544986</v>
      </c>
      <c r="AF250" s="31" t="str">
        <f t="shared" si="149"/>
        <v>-10.0808080808081</v>
      </c>
      <c r="AG250" s="31" t="str">
        <f t="shared" si="165"/>
        <v>13127.4347517293i</v>
      </c>
      <c r="AH250" s="31">
        <f t="shared" si="166"/>
        <v>13127.434751729301</v>
      </c>
      <c r="AI250" s="31">
        <f t="shared" si="167"/>
        <v>1.5707963267948966</v>
      </c>
      <c r="AJ250" s="31" t="str">
        <f t="shared" si="150"/>
        <v>-2.29633108212719+17.6266923562327i</v>
      </c>
      <c r="AK250" s="31">
        <f t="shared" si="168"/>
        <v>17.775641194061485</v>
      </c>
      <c r="AL250" s="31">
        <f t="shared" si="169"/>
        <v>1.7003425173024564</v>
      </c>
      <c r="AM250" s="31" t="str">
        <f t="shared" si="151"/>
        <v>1+13011.4092324197i</v>
      </c>
      <c r="AN250" s="31">
        <f t="shared" si="170"/>
        <v>13011.409270847513</v>
      </c>
      <c r="AO250" s="31">
        <f t="shared" si="171"/>
        <v>1.5707194711691785</v>
      </c>
      <c r="AP250" s="31" t="str">
        <f t="shared" si="152"/>
        <v>1+15.2488282076088i</v>
      </c>
      <c r="AQ250" s="31">
        <f t="shared" si="172"/>
        <v>15.281582434589877</v>
      </c>
      <c r="AR250" s="31">
        <f t="shared" si="173"/>
        <v>1.5053112844476086</v>
      </c>
      <c r="AS250" s="58" t="str">
        <f t="shared" si="174"/>
        <v>-8.42681977049197+1.66532593311068i</v>
      </c>
      <c r="AT250" s="49">
        <f t="shared" si="175"/>
        <v>18.679657384600016</v>
      </c>
      <c r="AU250" s="61">
        <f t="shared" si="176"/>
        <v>168.82112998119848</v>
      </c>
      <c r="AV250" s="58" t="str">
        <f t="shared" si="153"/>
        <v>432.193290108838+118.946876748748i</v>
      </c>
      <c r="AW250" s="64">
        <f t="shared" si="177"/>
        <v>53.03065100059689</v>
      </c>
      <c r="AX250" s="61">
        <f t="shared" si="178"/>
        <v>15.387801755748669</v>
      </c>
    </row>
    <row r="251" spans="14:50" x14ac:dyDescent="0.4">
      <c r="N251" s="10">
        <v>33</v>
      </c>
      <c r="O251" s="50">
        <f t="shared" si="179"/>
        <v>2137.9620895022344</v>
      </c>
      <c r="P251" s="48" t="str">
        <f t="shared" si="144"/>
        <v>5120.19230769231</v>
      </c>
      <c r="Q251" s="17" t="str">
        <f t="shared" si="145"/>
        <v>1+62.7744329442381i</v>
      </c>
      <c r="R251" s="17">
        <f t="shared" si="154"/>
        <v>62.782397465138637</v>
      </c>
      <c r="S251" s="17">
        <f t="shared" si="155"/>
        <v>1.5548676217931336</v>
      </c>
      <c r="T251" s="17" t="str">
        <f t="shared" si="146"/>
        <v>1+0.000134197787760793i</v>
      </c>
      <c r="U251" s="17">
        <f t="shared" si="156"/>
        <v>1.0000000090045231</v>
      </c>
      <c r="V251" s="17">
        <f t="shared" si="157"/>
        <v>1.3419778695520162E-4</v>
      </c>
      <c r="W251" s="31" t="str">
        <f t="shared" si="147"/>
        <v>1-0.217618034206692i</v>
      </c>
      <c r="X251" s="17">
        <f t="shared" si="158"/>
        <v>1.0234049095113746</v>
      </c>
      <c r="Y251" s="17">
        <f t="shared" si="159"/>
        <v>-0.21427717173849298</v>
      </c>
      <c r="Z251" s="31" t="str">
        <f t="shared" si="148"/>
        <v>0.998171647241541+1.32496123194046i</v>
      </c>
      <c r="AA251" s="17">
        <f t="shared" si="160"/>
        <v>1.6588757950799309</v>
      </c>
      <c r="AB251" s="17">
        <f t="shared" si="161"/>
        <v>0.92514883587136265</v>
      </c>
      <c r="AC251" s="66" t="str">
        <f t="shared" si="162"/>
        <v>-45.3604054543935-21.7681529993694i</v>
      </c>
      <c r="AD251" s="64">
        <f t="shared" si="163"/>
        <v>34.033640128018703</v>
      </c>
      <c r="AE251" s="61">
        <f t="shared" si="164"/>
        <v>-154.36396476696339</v>
      </c>
      <c r="AF251" s="31" t="str">
        <f t="shared" si="149"/>
        <v>-10.0808080808081</v>
      </c>
      <c r="AG251" s="31" t="str">
        <f t="shared" si="165"/>
        <v>13433.2119880674i</v>
      </c>
      <c r="AH251" s="31">
        <f t="shared" si="166"/>
        <v>13433.2119880674</v>
      </c>
      <c r="AI251" s="31">
        <f t="shared" si="167"/>
        <v>1.5707963267948966</v>
      </c>
      <c r="AJ251" s="31" t="str">
        <f t="shared" si="150"/>
        <v>-2.45168237992288+18.0372707652217i</v>
      </c>
      <c r="AK251" s="31">
        <f t="shared" si="168"/>
        <v>18.203128389096904</v>
      </c>
      <c r="AL251" s="31">
        <f t="shared" si="169"/>
        <v>1.7058915550384679</v>
      </c>
      <c r="AM251" s="31" t="str">
        <f t="shared" si="151"/>
        <v>1+13314.4838872321i</v>
      </c>
      <c r="AN251" s="31">
        <f t="shared" si="170"/>
        <v>13314.483924785189</v>
      </c>
      <c r="AO251" s="31">
        <f t="shared" si="171"/>
        <v>1.5707212206167984</v>
      </c>
      <c r="AP251" s="31" t="str">
        <f t="shared" si="152"/>
        <v>1+15.6040190453391i</v>
      </c>
      <c r="AQ251" s="31">
        <f t="shared" si="172"/>
        <v>15.63602923914206</v>
      </c>
      <c r="AR251" s="31">
        <f t="shared" si="173"/>
        <v>1.5067977919725408</v>
      </c>
      <c r="AS251" s="58" t="str">
        <f t="shared" si="174"/>
        <v>-8.41296050221494+1.69811315460531i</v>
      </c>
      <c r="AT251" s="49">
        <f t="shared" si="175"/>
        <v>18.672405152763446</v>
      </c>
      <c r="AU251" s="61">
        <f t="shared" si="176"/>
        <v>168.58846438192444</v>
      </c>
      <c r="AV251" s="58" t="str">
        <f t="shared" si="153"/>
        <v>418.580086411958+106.10751018953i</v>
      </c>
      <c r="AW251" s="64">
        <f t="shared" si="177"/>
        <v>52.706045280782156</v>
      </c>
      <c r="AX251" s="61">
        <f t="shared" si="178"/>
        <v>14.224499614960999</v>
      </c>
    </row>
    <row r="252" spans="14:50" x14ac:dyDescent="0.4">
      <c r="N252" s="10">
        <v>34</v>
      </c>
      <c r="O252" s="50">
        <f t="shared" si="179"/>
        <v>2187.7616239495528</v>
      </c>
      <c r="P252" s="48" t="str">
        <f t="shared" si="144"/>
        <v>5120.19230769231</v>
      </c>
      <c r="Q252" s="17" t="str">
        <f t="shared" si="145"/>
        <v>1+64.236637326237i</v>
      </c>
      <c r="R252" s="17">
        <f t="shared" si="154"/>
        <v>64.244420574727769</v>
      </c>
      <c r="S252" s="17">
        <f t="shared" si="155"/>
        <v>1.5552301441359861</v>
      </c>
      <c r="T252" s="17" t="str">
        <f t="shared" si="146"/>
        <v>1+0.0001373236557952i</v>
      </c>
      <c r="U252" s="17">
        <f t="shared" si="156"/>
        <v>1.0000000094288932</v>
      </c>
      <c r="V252" s="17">
        <f t="shared" si="157"/>
        <v>1.3732365493199328E-4</v>
      </c>
      <c r="W252" s="31" t="str">
        <f t="shared" si="147"/>
        <v>1-0.222687009397621i</v>
      </c>
      <c r="X252" s="17">
        <f t="shared" si="158"/>
        <v>1.0244947555524411</v>
      </c>
      <c r="Y252" s="17">
        <f t="shared" si="159"/>
        <v>-0.2191118170928881</v>
      </c>
      <c r="Z252" s="31" t="str">
        <f t="shared" si="148"/>
        <v>0.998085479630709+1.35582354368835i</v>
      </c>
      <c r="AA252" s="17">
        <f t="shared" si="160"/>
        <v>1.6835771756202023</v>
      </c>
      <c r="AB252" s="17">
        <f t="shared" si="161"/>
        <v>0.93622022732647225</v>
      </c>
      <c r="AC252" s="66" t="str">
        <f t="shared" si="162"/>
        <v>-44.0597607916444-20.2690406470613i</v>
      </c>
      <c r="AD252" s="64">
        <f t="shared" si="163"/>
        <v>33.714551411650802</v>
      </c>
      <c r="AE252" s="61">
        <f t="shared" si="164"/>
        <v>-155.29590544611011</v>
      </c>
      <c r="AF252" s="31" t="str">
        <f t="shared" si="149"/>
        <v>-10.0808080808081</v>
      </c>
      <c r="AG252" s="31" t="str">
        <f t="shared" si="165"/>
        <v>13746.1116912112i</v>
      </c>
      <c r="AH252" s="31">
        <f t="shared" si="166"/>
        <v>13746.111691211199</v>
      </c>
      <c r="AI252" s="31">
        <f t="shared" si="167"/>
        <v>1.5707963267948966</v>
      </c>
      <c r="AJ252" s="31" t="str">
        <f t="shared" si="150"/>
        <v>-2.61435515882152+18.4574127739218i</v>
      </c>
      <c r="AK252" s="31">
        <f t="shared" si="168"/>
        <v>18.64164529228545</v>
      </c>
      <c r="AL252" s="31">
        <f t="shared" si="169"/>
        <v>1.711502886338764</v>
      </c>
      <c r="AM252" s="31" t="str">
        <f t="shared" si="151"/>
        <v>1+13624.6180576396i</v>
      </c>
      <c r="AN252" s="31">
        <f t="shared" si="170"/>
        <v>13624.618094337877</v>
      </c>
      <c r="AO252" s="31">
        <f t="shared" si="171"/>
        <v>1.5707229302421291</v>
      </c>
      <c r="AP252" s="31" t="str">
        <f t="shared" si="152"/>
        <v>1+15.9674833405109i</v>
      </c>
      <c r="AQ252" s="31">
        <f t="shared" si="172"/>
        <v>15.998766334611339</v>
      </c>
      <c r="AR252" s="31">
        <f t="shared" si="173"/>
        <v>1.5082507361801445</v>
      </c>
      <c r="AS252" s="58" t="str">
        <f t="shared" si="174"/>
        <v>-8.39851267274457+1.73155983762291i</v>
      </c>
      <c r="AT252" s="49">
        <f t="shared" si="175"/>
        <v>18.664841426582221</v>
      </c>
      <c r="AU252" s="61">
        <f t="shared" si="176"/>
        <v>168.35030430624747</v>
      </c>
      <c r="AV252" s="58" t="str">
        <f t="shared" si="153"/>
        <v>405.133516098317+93.9376824966351i</v>
      </c>
      <c r="AW252" s="64">
        <f t="shared" si="177"/>
        <v>52.379392838233017</v>
      </c>
      <c r="AX252" s="61">
        <f t="shared" si="178"/>
        <v>13.054398860137352</v>
      </c>
    </row>
    <row r="253" spans="14:50" x14ac:dyDescent="0.4">
      <c r="N253" s="10">
        <v>35</v>
      </c>
      <c r="O253" s="50">
        <f t="shared" si="179"/>
        <v>2238.7211385683418</v>
      </c>
      <c r="P253" s="48" t="str">
        <f t="shared" si="144"/>
        <v>5120.19230769231</v>
      </c>
      <c r="Q253" s="17" t="str">
        <f t="shared" si="145"/>
        <v>1+65.7329008236188i</v>
      </c>
      <c r="R253" s="17">
        <f t="shared" si="154"/>
        <v>65.740506924480783</v>
      </c>
      <c r="S253" s="17">
        <f t="shared" si="155"/>
        <v>1.5555844184167624</v>
      </c>
      <c r="T253" s="17" t="str">
        <f t="shared" si="146"/>
        <v>1+0.000140522334649603i</v>
      </c>
      <c r="U253" s="17">
        <f t="shared" si="156"/>
        <v>1.0000000098732633</v>
      </c>
      <c r="V253" s="17">
        <f t="shared" si="157"/>
        <v>1.4052233372466034E-4</v>
      </c>
      <c r="W253" s="31" t="str">
        <f t="shared" si="147"/>
        <v>1-0.227874056188545i</v>
      </c>
      <c r="X253" s="17">
        <f t="shared" si="158"/>
        <v>1.0256347232245115</v>
      </c>
      <c r="Y253" s="17">
        <f t="shared" si="159"/>
        <v>-0.2240483208782916</v>
      </c>
      <c r="Z253" s="31" t="str">
        <f t="shared" si="148"/>
        <v>0.997995251065491+1.38740473102555i</v>
      </c>
      <c r="AA253" s="17">
        <f t="shared" si="160"/>
        <v>1.7090600951462624</v>
      </c>
      <c r="AB253" s="17">
        <f t="shared" si="161"/>
        <v>0.94721780012828627</v>
      </c>
      <c r="AC253" s="66" t="str">
        <f t="shared" si="162"/>
        <v>-42.7747386104763-18.8400730352725i</v>
      </c>
      <c r="AD253" s="64">
        <f t="shared" si="163"/>
        <v>33.393772203322399</v>
      </c>
      <c r="AE253" s="61">
        <f t="shared" si="164"/>
        <v>-156.22897593527949</v>
      </c>
      <c r="AF253" s="31" t="str">
        <f t="shared" si="149"/>
        <v>-10.0808080808081</v>
      </c>
      <c r="AG253" s="31" t="str">
        <f t="shared" si="165"/>
        <v>14066.299764725i</v>
      </c>
      <c r="AH253" s="31">
        <f t="shared" si="166"/>
        <v>14066.299764724999</v>
      </c>
      <c r="AI253" s="31">
        <f t="shared" si="167"/>
        <v>1.5707963267948966</v>
      </c>
      <c r="AJ253" s="31" t="str">
        <f t="shared" si="150"/>
        <v>-2.78469446959708+18.8873411471875i</v>
      </c>
      <c r="AK253" s="31">
        <f t="shared" si="168"/>
        <v>19.0915211258623</v>
      </c>
      <c r="AL253" s="31">
        <f t="shared" si="169"/>
        <v>1.7171788158496673</v>
      </c>
      <c r="AM253" s="31" t="str">
        <f t="shared" si="151"/>
        <v>1+13941.9761808845i</v>
      </c>
      <c r="AN253" s="31">
        <f t="shared" si="170"/>
        <v>13941.97621674742</v>
      </c>
      <c r="AO253" s="31">
        <f t="shared" si="171"/>
        <v>1.5707246009516367</v>
      </c>
      <c r="AP253" s="31" t="str">
        <f t="shared" si="152"/>
        <v>1+16.3394138067046i</v>
      </c>
      <c r="AQ253" s="31">
        <f t="shared" si="172"/>
        <v>16.369986058232577</v>
      </c>
      <c r="AR253" s="31">
        <f t="shared" si="173"/>
        <v>1.5096708628889661</v>
      </c>
      <c r="AS253" s="58" t="str">
        <f t="shared" si="174"/>
        <v>-8.38345209882907+1.76566792377977i</v>
      </c>
      <c r="AT253" s="49">
        <f t="shared" si="175"/>
        <v>18.656951860627814</v>
      </c>
      <c r="AU253" s="61">
        <f t="shared" si="176"/>
        <v>168.10656049185178</v>
      </c>
      <c r="AV253" s="58" t="str">
        <f t="shared" si="153"/>
        <v>391.865284820911+82.4188659170662i</v>
      </c>
      <c r="AW253" s="64">
        <f t="shared" si="177"/>
        <v>52.050724063950213</v>
      </c>
      <c r="AX253" s="61">
        <f t="shared" si="178"/>
        <v>11.877584556572309</v>
      </c>
    </row>
    <row r="254" spans="14:50" x14ac:dyDescent="0.4">
      <c r="N254" s="10">
        <v>36</v>
      </c>
      <c r="O254" s="50">
        <f t="shared" si="179"/>
        <v>2290.8676527677749</v>
      </c>
      <c r="P254" s="48" t="str">
        <f t="shared" si="144"/>
        <v>5120.19230769231</v>
      </c>
      <c r="Q254" s="17" t="str">
        <f t="shared" si="145"/>
        <v>1+67.2640167750949i</v>
      </c>
      <c r="R254" s="17">
        <f t="shared" si="154"/>
        <v>67.271449759316539</v>
      </c>
      <c r="S254" s="17">
        <f t="shared" si="155"/>
        <v>1.5559306321204511</v>
      </c>
      <c r="T254" s="17" t="str">
        <f t="shared" si="146"/>
        <v>1+0.00014379552030587i</v>
      </c>
      <c r="U254" s="17">
        <f t="shared" si="156"/>
        <v>1.0000000103385758</v>
      </c>
      <c r="V254" s="17">
        <f t="shared" si="157"/>
        <v>1.4379551931477608E-4</v>
      </c>
      <c r="W254" s="31" t="str">
        <f t="shared" si="147"/>
        <v>1-0.233181924820329i</v>
      </c>
      <c r="X254" s="17">
        <f t="shared" si="158"/>
        <v>1.0268270594715128</v>
      </c>
      <c r="Y254" s="17">
        <f t="shared" si="159"/>
        <v>-0.22908833767477976</v>
      </c>
      <c r="Z254" s="31" t="str">
        <f t="shared" si="148"/>
        <v>0.997900770159001+1.4197215387156i</v>
      </c>
      <c r="AA254" s="17">
        <f t="shared" si="160"/>
        <v>1.7353429616582763</v>
      </c>
      <c r="AB254" s="17">
        <f t="shared" si="161"/>
        <v>0.95813683995242405</v>
      </c>
      <c r="AC254" s="66" t="str">
        <f t="shared" si="162"/>
        <v>-41.5064862951946-17.4792589854345i</v>
      </c>
      <c r="AD254" s="64">
        <f t="shared" si="163"/>
        <v>33.071349526025415</v>
      </c>
      <c r="AE254" s="61">
        <f t="shared" si="164"/>
        <v>-157.1630115689627</v>
      </c>
      <c r="AF254" s="31" t="str">
        <f t="shared" si="149"/>
        <v>-10.0808080808081</v>
      </c>
      <c r="AG254" s="31" t="str">
        <f t="shared" si="165"/>
        <v>14393.9459765635i</v>
      </c>
      <c r="AH254" s="31">
        <f t="shared" si="166"/>
        <v>14393.9459765635</v>
      </c>
      <c r="AI254" s="31">
        <f t="shared" si="167"/>
        <v>1.5707963267948966</v>
      </c>
      <c r="AJ254" s="31" t="str">
        <f t="shared" si="150"/>
        <v>-2.96306162476546+19.3272838387329i</v>
      </c>
      <c r="AK254" s="31">
        <f t="shared" si="168"/>
        <v>19.553097830653424</v>
      </c>
      <c r="AL254" s="31">
        <f t="shared" si="169"/>
        <v>1.72292164042589</v>
      </c>
      <c r="AM254" s="31" t="str">
        <f t="shared" si="151"/>
        <v>1+14266.7265244443i</v>
      </c>
      <c r="AN254" s="31">
        <f t="shared" si="170"/>
        <v>14266.72655949088</v>
      </c>
      <c r="AO254" s="31">
        <f t="shared" si="171"/>
        <v>1.5707262336311532</v>
      </c>
      <c r="AP254" s="31" t="str">
        <f t="shared" si="152"/>
        <v>1+16.7200076463762i</v>
      </c>
      <c r="AQ254" s="31">
        <f t="shared" si="172"/>
        <v>16.749885244230139</v>
      </c>
      <c r="AR254" s="31">
        <f t="shared" si="173"/>
        <v>1.5110589021436152</v>
      </c>
      <c r="AS254" s="58" t="str">
        <f t="shared" si="174"/>
        <v>-8.36775387067128+1.80043871675677i</v>
      </c>
      <c r="AT254" s="49">
        <f t="shared" si="175"/>
        <v>18.64872157207822</v>
      </c>
      <c r="AU254" s="61">
        <f t="shared" si="176"/>
        <v>167.85714321788566</v>
      </c>
      <c r="AV254" s="58" t="str">
        <f t="shared" si="153"/>
        <v>378.786395972174+71.5322521094327i</v>
      </c>
      <c r="AW254" s="64">
        <f t="shared" si="177"/>
        <v>51.720071098103631</v>
      </c>
      <c r="AX254" s="61">
        <f t="shared" si="178"/>
        <v>10.694131648922992</v>
      </c>
    </row>
    <row r="255" spans="14:50" x14ac:dyDescent="0.4">
      <c r="N255" s="10">
        <v>37</v>
      </c>
      <c r="O255" s="50">
        <f t="shared" si="179"/>
        <v>2344.2288153199238</v>
      </c>
      <c r="P255" s="48" t="str">
        <f t="shared" si="144"/>
        <v>5120.19230769231</v>
      </c>
      <c r="Q255" s="17" t="str">
        <f t="shared" si="145"/>
        <v>1+68.8307969986097i</v>
      </c>
      <c r="R255" s="17">
        <f t="shared" si="154"/>
        <v>68.838060805515283</v>
      </c>
      <c r="S255" s="17">
        <f t="shared" si="155"/>
        <v>1.5562689684819617</v>
      </c>
      <c r="T255" s="17" t="str">
        <f t="shared" si="146"/>
        <v>1+0.000147144948250361i</v>
      </c>
      <c r="U255" s="17">
        <f t="shared" si="156"/>
        <v>1.0000000108258178</v>
      </c>
      <c r="V255" s="17">
        <f t="shared" si="157"/>
        <v>1.4714494718838473E-4</v>
      </c>
      <c r="W255" s="31" t="str">
        <f t="shared" si="147"/>
        <v>1-0.23861342959518i</v>
      </c>
      <c r="X255" s="17">
        <f t="shared" si="158"/>
        <v>1.02807410665923</v>
      </c>
      <c r="Y255" s="17">
        <f t="shared" si="159"/>
        <v>-0.2342335151049991</v>
      </c>
      <c r="Z255" s="31" t="str">
        <f t="shared" si="148"/>
        <v>0.997801836504569+1.45279110155773i</v>
      </c>
      <c r="AA255" s="17">
        <f t="shared" si="160"/>
        <v>1.7624444642873753</v>
      </c>
      <c r="AB255" s="17">
        <f t="shared" si="161"/>
        <v>0.96897281789809431</v>
      </c>
      <c r="AC255" s="66" t="str">
        <f t="shared" si="162"/>
        <v>-40.2560760318501-16.184587285597i</v>
      </c>
      <c r="AD255" s="64">
        <f t="shared" si="163"/>
        <v>32.747332599386517</v>
      </c>
      <c r="AE255" s="61">
        <f t="shared" si="164"/>
        <v>-158.09785766123338</v>
      </c>
      <c r="AF255" s="31" t="str">
        <f t="shared" si="149"/>
        <v>-10.0808080808081</v>
      </c>
      <c r="AG255" s="31" t="str">
        <f t="shared" si="165"/>
        <v>14729.2240490852i</v>
      </c>
      <c r="AH255" s="31">
        <f t="shared" si="166"/>
        <v>14729.2240490852</v>
      </c>
      <c r="AI255" s="31">
        <f t="shared" si="167"/>
        <v>1.5707963267948966</v>
      </c>
      <c r="AJ255" s="31" t="str">
        <f t="shared" si="150"/>
        <v>-3.14983496497689+19.7774741119965i</v>
      </c>
      <c r="AK255" s="31">
        <f t="shared" si="168"/>
        <v>20.026730700673109</v>
      </c>
      <c r="AL255" s="31">
        <f t="shared" si="169"/>
        <v>1.7287336476069153</v>
      </c>
      <c r="AM255" s="31" t="str">
        <f t="shared" si="151"/>
        <v>1+14599.0412752498i</v>
      </c>
      <c r="AN255" s="31">
        <f t="shared" si="170"/>
        <v>14599.041309498623</v>
      </c>
      <c r="AO255" s="31">
        <f t="shared" si="171"/>
        <v>1.5707278291463469</v>
      </c>
      <c r="AP255" s="31" t="str">
        <f t="shared" si="152"/>
        <v>1+17.1094666554174i</v>
      </c>
      <c r="AQ255" s="31">
        <f t="shared" si="172"/>
        <v>17.138665328223194</v>
      </c>
      <c r="AR255" s="31">
        <f t="shared" si="173"/>
        <v>1.5124155684946334</v>
      </c>
      <c r="AS255" s="58" t="str">
        <f t="shared" si="174"/>
        <v>-8.35139234773218+1.83587282940426i</v>
      </c>
      <c r="AT255" s="49">
        <f t="shared" si="175"/>
        <v>18.640135122917918</v>
      </c>
      <c r="AU255" s="61">
        <f t="shared" si="176"/>
        <v>167.60196240832076</v>
      </c>
      <c r="AV255" s="58" t="str">
        <f t="shared" si="153"/>
        <v>365.907129374867+61.2588022028327i</v>
      </c>
      <c r="AW255" s="64">
        <f t="shared" si="177"/>
        <v>51.387467722304443</v>
      </c>
      <c r="AX255" s="61">
        <f t="shared" si="178"/>
        <v>9.5041047470873838</v>
      </c>
    </row>
    <row r="256" spans="14:50" x14ac:dyDescent="0.4">
      <c r="N256" s="10">
        <v>38</v>
      </c>
      <c r="O256" s="50">
        <f t="shared" si="179"/>
        <v>2398.8329190194918</v>
      </c>
      <c r="P256" s="48" t="str">
        <f t="shared" si="144"/>
        <v>5120.19230769231</v>
      </c>
      <c r="Q256" s="17" t="str">
        <f t="shared" si="145"/>
        <v>1+70.4340722217763i</v>
      </c>
      <c r="R256" s="17">
        <f t="shared" si="154"/>
        <v>70.44117070110633</v>
      </c>
      <c r="S256" s="17">
        <f t="shared" si="155"/>
        <v>1.5565996065816947</v>
      </c>
      <c r="T256" s="17" t="str">
        <f t="shared" si="146"/>
        <v>1+0.000150572394394109i</v>
      </c>
      <c r="U256" s="17">
        <f t="shared" si="156"/>
        <v>1.000000011336023</v>
      </c>
      <c r="V256" s="17">
        <f t="shared" si="157"/>
        <v>1.5057239325618092E-4</v>
      </c>
      <c r="W256" s="31" t="str">
        <f t="shared" si="147"/>
        <v>1-0.244171450368824i</v>
      </c>
      <c r="X256" s="17">
        <f t="shared" si="158"/>
        <v>1.0293783061514434</v>
      </c>
      <c r="Y256" s="17">
        <f t="shared" si="159"/>
        <v>-0.23948549106834657</v>
      </c>
      <c r="Z256" s="31" t="str">
        <f t="shared" si="148"/>
        <v>0.997698240250651+1.48663095347186i</v>
      </c>
      <c r="AA256" s="17">
        <f t="shared" si="160"/>
        <v>1.79038358192313</v>
      </c>
      <c r="AB256" s="17">
        <f t="shared" si="161"/>
        <v>0.97972139753752463</v>
      </c>
      <c r="AC256" s="66" t="str">
        <f t="shared" si="162"/>
        <v>-39.0245033306475-14.9540317379349i</v>
      </c>
      <c r="AD256" s="64">
        <f t="shared" si="163"/>
        <v>32.42177274638297</v>
      </c>
      <c r="AE256" s="61">
        <f t="shared" si="164"/>
        <v>-159.03336975660372</v>
      </c>
      <c r="AF256" s="31" t="str">
        <f t="shared" si="149"/>
        <v>-10.0808080808081</v>
      </c>
      <c r="AG256" s="31" t="str">
        <f t="shared" si="165"/>
        <v>15072.311751162i</v>
      </c>
      <c r="AH256" s="31">
        <f t="shared" si="166"/>
        <v>15072.311751162</v>
      </c>
      <c r="AI256" s="31">
        <f t="shared" si="167"/>
        <v>1.5707963267948966</v>
      </c>
      <c r="AJ256" s="31" t="str">
        <f t="shared" si="150"/>
        <v>-3.34541066152708+20.23815066382i</v>
      </c>
      <c r="AK256" s="31">
        <f t="shared" si="168"/>
        <v>20.512789054288476</v>
      </c>
      <c r="AL256" s="31">
        <f t="shared" si="169"/>
        <v>1.7346171139482549</v>
      </c>
      <c r="AM256" s="31" t="str">
        <f t="shared" si="151"/>
        <v>1+14939.0966309806i</v>
      </c>
      <c r="AN256" s="31">
        <f t="shared" si="170"/>
        <v>14939.096664449826</v>
      </c>
      <c r="AO256" s="31">
        <f t="shared" si="171"/>
        <v>1.570729388343181</v>
      </c>
      <c r="AP256" s="31" t="str">
        <f t="shared" si="152"/>
        <v>1+17.5079973301498i</v>
      </c>
      <c r="AQ256" s="31">
        <f t="shared" si="172"/>
        <v>17.536532454066638</v>
      </c>
      <c r="AR256" s="31">
        <f t="shared" si="173"/>
        <v>1.5137415612771565</v>
      </c>
      <c r="AS256" s="58" t="str">
        <f t="shared" si="174"/>
        <v>-8.33434115675885+1.87197012836189i</v>
      </c>
      <c r="AT256" s="49">
        <f t="shared" si="175"/>
        <v>18.631176502111344</v>
      </c>
      <c r="AU256" s="61">
        <f t="shared" si="176"/>
        <v>167.34092774355611</v>
      </c>
      <c r="AV256" s="58" t="str">
        <f t="shared" si="153"/>
        <v>353.237024942678+51.5792976638177i</v>
      </c>
      <c r="AW256" s="64">
        <f t="shared" si="177"/>
        <v>51.052949248494315</v>
      </c>
      <c r="AX256" s="61">
        <f t="shared" si="178"/>
        <v>8.3075579869523768</v>
      </c>
    </row>
    <row r="257" spans="14:50" x14ac:dyDescent="0.4">
      <c r="N257" s="10">
        <v>39</v>
      </c>
      <c r="O257" s="50">
        <f t="shared" si="179"/>
        <v>2454.7089156850338</v>
      </c>
      <c r="P257" s="48" t="str">
        <f t="shared" si="144"/>
        <v>5120.19230769231</v>
      </c>
      <c r="Q257" s="17" t="str">
        <f t="shared" si="145"/>
        <v>1+72.0746925223401i</v>
      </c>
      <c r="R257" s="17">
        <f t="shared" si="154"/>
        <v>72.081629436284715</v>
      </c>
      <c r="S257" s="17">
        <f t="shared" si="155"/>
        <v>1.5569227214390142</v>
      </c>
      <c r="T257" s="17" t="str">
        <f t="shared" si="146"/>
        <v>1+0.000154079676014425i</v>
      </c>
      <c r="U257" s="17">
        <f t="shared" si="156"/>
        <v>1.0000000118702732</v>
      </c>
      <c r="V257" s="17">
        <f t="shared" si="157"/>
        <v>1.540796747951131E-4</v>
      </c>
      <c r="W257" s="31" t="str">
        <f t="shared" si="147"/>
        <v>1-0.249858934077445i</v>
      </c>
      <c r="X257" s="17">
        <f t="shared" si="158"/>
        <v>1.0307422019779324</v>
      </c>
      <c r="Y257" s="17">
        <f t="shared" si="159"/>
        <v>-0.24484589079355687</v>
      </c>
      <c r="Z257" s="31" t="str">
        <f t="shared" si="148"/>
        <v>0.997589761655703+1.5212590367954i</v>
      </c>
      <c r="AA257" s="17">
        <f t="shared" si="160"/>
        <v>1.8191795924514849</v>
      </c>
      <c r="AB257" s="17">
        <f t="shared" si="161"/>
        <v>0.99037844097249594</v>
      </c>
      <c r="AC257" s="66" t="str">
        <f t="shared" si="162"/>
        <v>-37.8126860295285-13.785556235401i</v>
      </c>
      <c r="AD257" s="64">
        <f t="shared" si="163"/>
        <v>32.094723297386395</v>
      </c>
      <c r="AE257" s="61">
        <f t="shared" si="164"/>
        <v>-159.96941381346548</v>
      </c>
      <c r="AF257" s="31" t="str">
        <f t="shared" si="149"/>
        <v>-10.0808080808081</v>
      </c>
      <c r="AG257" s="31" t="str">
        <f t="shared" si="165"/>
        <v>15423.3909924349i</v>
      </c>
      <c r="AH257" s="31">
        <f t="shared" si="166"/>
        <v>15423.390992434901</v>
      </c>
      <c r="AI257" s="31">
        <f t="shared" si="167"/>
        <v>1.5707963267948966</v>
      </c>
      <c r="AJ257" s="31" t="str">
        <f t="shared" si="150"/>
        <v>-3.55020355668973+20.7095577510091i</v>
      </c>
      <c r="AK257" s="31">
        <f t="shared" si="168"/>
        <v>21.011656944094472</v>
      </c>
      <c r="AL257" s="31">
        <f t="shared" si="169"/>
        <v>1.7405743032008727</v>
      </c>
      <c r="AM257" s="31" t="str">
        <f t="shared" si="151"/>
        <v>1+15287.0728934874i</v>
      </c>
      <c r="AN257" s="31">
        <f t="shared" si="170"/>
        <v>15287.072926194774</v>
      </c>
      <c r="AO257" s="31">
        <f t="shared" si="171"/>
        <v>1.5707309120483626</v>
      </c>
      <c r="AP257" s="31" t="str">
        <f t="shared" si="152"/>
        <v>1+17.9158109768124i</v>
      </c>
      <c r="AQ257" s="31">
        <f t="shared" si="172"/>
        <v>17.943697583187017</v>
      </c>
      <c r="AR257" s="31">
        <f t="shared" si="173"/>
        <v>1.5150375648880716</v>
      </c>
      <c r="AS257" s="58" t="str">
        <f t="shared" si="174"/>
        <v>-8.31657319228056+1.90872967618597i</v>
      </c>
      <c r="AT257" s="49">
        <f t="shared" si="175"/>
        <v>18.621829107801823</v>
      </c>
      <c r="AU257" s="61">
        <f t="shared" si="176"/>
        <v>167.07394878063567</v>
      </c>
      <c r="AV257" s="58" t="str">
        <f t="shared" si="153"/>
        <v>340.784871250539+42.4743914671484i</v>
      </c>
      <c r="AW257" s="64">
        <f t="shared" si="177"/>
        <v>50.716552405188224</v>
      </c>
      <c r="AX257" s="61">
        <f t="shared" si="178"/>
        <v>7.1045349671701947</v>
      </c>
    </row>
    <row r="258" spans="14:50" x14ac:dyDescent="0.4">
      <c r="N258" s="10">
        <v>40</v>
      </c>
      <c r="O258" s="50">
        <f t="shared" si="179"/>
        <v>2511.8864315095811</v>
      </c>
      <c r="P258" s="48" t="str">
        <f t="shared" si="144"/>
        <v>5120.19230769231</v>
      </c>
      <c r="Q258" s="17" t="str">
        <f t="shared" si="145"/>
        <v>1+73.7535277789009i</v>
      </c>
      <c r="R258" s="17">
        <f t="shared" si="154"/>
        <v>73.760306804087435</v>
      </c>
      <c r="S258" s="17">
        <f t="shared" si="155"/>
        <v>1.5572384841036657</v>
      </c>
      <c r="T258" s="17" t="str">
        <f t="shared" si="146"/>
        <v>1+0.000157668652718451i</v>
      </c>
      <c r="U258" s="17">
        <f t="shared" si="156"/>
        <v>1.0000000124297019</v>
      </c>
      <c r="V258" s="17">
        <f t="shared" si="157"/>
        <v>1.5766865141193478E-4</v>
      </c>
      <c r="W258" s="31" t="str">
        <f t="shared" si="147"/>
        <v>1-0.25567889630019i</v>
      </c>
      <c r="X258" s="17">
        <f t="shared" si="158"/>
        <v>1.0321684445928792</v>
      </c>
      <c r="Y258" s="17">
        <f t="shared" si="159"/>
        <v>-0.25031632370390156</v>
      </c>
      <c r="Z258" s="31" t="str">
        <f t="shared" si="148"/>
        <v>0.997476170622079+1.55669371179651i</v>
      </c>
      <c r="AA258" s="17">
        <f t="shared" si="160"/>
        <v>1.8488520825922454</v>
      </c>
      <c r="AB258" s="17">
        <f t="shared" si="161"/>
        <v>1.0009400138986944</v>
      </c>
      <c r="AC258" s="66" t="str">
        <f t="shared" si="162"/>
        <v>-36.6214637681411-12.6771198200869i</v>
      </c>
      <c r="AD258" s="64">
        <f t="shared" si="163"/>
        <v>31.76623949220027</v>
      </c>
      <c r="AE258" s="61">
        <f t="shared" si="164"/>
        <v>-160.90586631982796</v>
      </c>
      <c r="AF258" s="31" t="str">
        <f t="shared" si="149"/>
        <v>-10.0808080808081</v>
      </c>
      <c r="AG258" s="31" t="str">
        <f t="shared" si="165"/>
        <v>15782.6479197648i</v>
      </c>
      <c r="AH258" s="31">
        <f t="shared" si="166"/>
        <v>15782.6479197648</v>
      </c>
      <c r="AI258" s="31">
        <f t="shared" si="167"/>
        <v>1.5707963267948966</v>
      </c>
      <c r="AJ258" s="31" t="str">
        <f t="shared" si="150"/>
        <v>-3.76464804365259+21.1919453198412i</v>
      </c>
      <c r="AK258" s="31">
        <f t="shared" si="168"/>
        <v>21.523733907752082</v>
      </c>
      <c r="AL258" s="31">
        <f t="shared" si="169"/>
        <v>1.7466074643320764</v>
      </c>
      <c r="AM258" s="31" t="str">
        <f t="shared" si="151"/>
        <v>1+15643.1545643908i</v>
      </c>
      <c r="AN258" s="31">
        <f t="shared" si="170"/>
        <v>15643.154596353661</v>
      </c>
      <c r="AO258" s="31">
        <f t="shared" si="171"/>
        <v>1.5707324010697801</v>
      </c>
      <c r="AP258" s="31" t="str">
        <f t="shared" si="152"/>
        <v>1+18.3331238235988i</v>
      </c>
      <c r="AQ258" s="31">
        <f t="shared" si="172"/>
        <v>18.360376606469867</v>
      </c>
      <c r="AR258" s="31">
        <f t="shared" si="173"/>
        <v>1.5163042490613852</v>
      </c>
      <c r="AS258" s="58" t="str">
        <f t="shared" si="174"/>
        <v>-8.29806061983255+1.94614967099234i</v>
      </c>
      <c r="AT258" s="49">
        <f t="shared" si="175"/>
        <v>18.612075729594963</v>
      </c>
      <c r="AU258" s="61">
        <f t="shared" si="176"/>
        <v>166.80093508244505</v>
      </c>
      <c r="AV258" s="58" t="str">
        <f t="shared" si="153"/>
        <v>328.558698902029+33.9246590883361i</v>
      </c>
      <c r="AW258" s="64">
        <f t="shared" si="177"/>
        <v>50.378315221795241</v>
      </c>
      <c r="AX258" s="61">
        <f t="shared" si="178"/>
        <v>5.8950687626170888</v>
      </c>
    </row>
    <row r="259" spans="14:50" x14ac:dyDescent="0.4">
      <c r="N259" s="10">
        <v>41</v>
      </c>
      <c r="O259" s="50">
        <f t="shared" si="179"/>
        <v>2570.3957827688669</v>
      </c>
      <c r="P259" s="48" t="str">
        <f t="shared" si="144"/>
        <v>5120.19230769231</v>
      </c>
      <c r="Q259" s="17" t="str">
        <f t="shared" si="145"/>
        <v>1+75.4714681321331i</v>
      </c>
      <c r="R259" s="17">
        <f t="shared" si="154"/>
        <v>75.478092861568655</v>
      </c>
      <c r="S259" s="17">
        <f t="shared" si="155"/>
        <v>1.5575470617451816</v>
      </c>
      <c r="T259" s="17" t="str">
        <f t="shared" si="146"/>
        <v>1+0.000161341227429138i</v>
      </c>
      <c r="U259" s="17">
        <f t="shared" si="156"/>
        <v>1.0000000130154958</v>
      </c>
      <c r="V259" s="17">
        <f t="shared" si="157"/>
        <v>1.6134122602918065E-4</v>
      </c>
      <c r="W259" s="31" t="str">
        <f t="shared" si="147"/>
        <v>1-0.261634422858061i</v>
      </c>
      <c r="X259" s="17">
        <f t="shared" si="158"/>
        <v>1.0336597947217792</v>
      </c>
      <c r="Y259" s="17">
        <f t="shared" si="159"/>
        <v>-0.25589838008954802</v>
      </c>
      <c r="Z259" s="31" t="str">
        <f t="shared" si="148"/>
        <v>0.99735722620797+1.59295376640888i</v>
      </c>
      <c r="AA259" s="17">
        <f t="shared" si="160"/>
        <v>1.8794209583234653</v>
      </c>
      <c r="AB259" s="17">
        <f t="shared" si="161"/>
        <v>1.0114023896869295</v>
      </c>
      <c r="AC259" s="66" t="str">
        <f t="shared" si="162"/>
        <v>-35.4515979166336-11.6266816785707i</v>
      </c>
      <c r="AD259" s="64">
        <f t="shared" si="163"/>
        <v>31.436378380725284</v>
      </c>
      <c r="AE259" s="61">
        <f t="shared" si="164"/>
        <v>-161.84261434156076</v>
      </c>
      <c r="AF259" s="31" t="str">
        <f t="shared" si="149"/>
        <v>-10.0808080808081</v>
      </c>
      <c r="AG259" s="31" t="str">
        <f t="shared" si="165"/>
        <v>16150.2730159297i</v>
      </c>
      <c r="AH259" s="31">
        <f t="shared" si="166"/>
        <v>16150.273015929701</v>
      </c>
      <c r="AI259" s="31">
        <f t="shared" si="167"/>
        <v>1.5707963267948966</v>
      </c>
      <c r="AJ259" s="31" t="str">
        <f t="shared" si="150"/>
        <v>-3.98919898792348+21.6855691385904i</v>
      </c>
      <c r="AK259" s="31">
        <f t="shared" si="168"/>
        <v>22.049435762164844</v>
      </c>
      <c r="AL259" s="31">
        <f t="shared" si="169"/>
        <v>1.752718829381215</v>
      </c>
      <c r="AM259" s="31" t="str">
        <f t="shared" si="151"/>
        <v>1+16007.5304429058i</v>
      </c>
      <c r="AN259" s="31">
        <f t="shared" si="170"/>
        <v>16007.530474141098</v>
      </c>
      <c r="AO259" s="31">
        <f t="shared" si="171"/>
        <v>1.5707338561969324</v>
      </c>
      <c r="AP259" s="31" t="str">
        <f t="shared" si="152"/>
        <v>1+18.760157135304i</v>
      </c>
      <c r="AQ259" s="31">
        <f t="shared" si="172"/>
        <v>18.78679045875845</v>
      </c>
      <c r="AR259" s="31">
        <f t="shared" si="173"/>
        <v>1.5175422691415574</v>
      </c>
      <c r="AS259" s="58" t="str">
        <f t="shared" si="174"/>
        <v>-8.27877488217932+1.98422738363815i</v>
      </c>
      <c r="AT259" s="49">
        <f t="shared" si="175"/>
        <v>18.601898530988812</v>
      </c>
      <c r="AU259" s="61">
        <f t="shared" si="176"/>
        <v>166.52179635625646</v>
      </c>
      <c r="AV259" s="58" t="str">
        <f t="shared" si="153"/>
        <v>316.565778532811+25.910648863732i</v>
      </c>
      <c r="AW259" s="64">
        <f t="shared" si="177"/>
        <v>50.038276911714092</v>
      </c>
      <c r="AX259" s="61">
        <f t="shared" si="178"/>
        <v>4.6791820146957024</v>
      </c>
    </row>
    <row r="260" spans="14:50" x14ac:dyDescent="0.4">
      <c r="N260" s="10">
        <v>42</v>
      </c>
      <c r="O260" s="50">
        <f t="shared" si="179"/>
        <v>2630.2679918953822</v>
      </c>
      <c r="P260" s="48" t="str">
        <f t="shared" si="144"/>
        <v>5120.19230769231</v>
      </c>
      <c r="Q260" s="17" t="str">
        <f t="shared" si="145"/>
        <v>1+77.2294244567519i</v>
      </c>
      <c r="R260" s="17">
        <f t="shared" si="154"/>
        <v>77.235898401722167</v>
      </c>
      <c r="S260" s="17">
        <f t="shared" si="155"/>
        <v>1.5578486177403144</v>
      </c>
      <c r="T260" s="17" t="str">
        <f t="shared" si="146"/>
        <v>1+0.000165099347394212i</v>
      </c>
      <c r="U260" s="17">
        <f t="shared" si="156"/>
        <v>1.0000000136288971</v>
      </c>
      <c r="V260" s="17">
        <f t="shared" si="157"/>
        <v>1.6509934589413065E-4</v>
      </c>
      <c r="W260" s="31" t="str">
        <f t="shared" si="147"/>
        <v>1-0.267728671450073i</v>
      </c>
      <c r="X260" s="17">
        <f t="shared" si="158"/>
        <v>1.0352191272945168</v>
      </c>
      <c r="Y260" s="17">
        <f t="shared" si="159"/>
        <v>-0.26159362758208871</v>
      </c>
      <c r="Z260" s="31" t="str">
        <f t="shared" si="148"/>
        <v>0.997232676116324+1.63005842619344i</v>
      </c>
      <c r="AA260" s="17">
        <f t="shared" si="160"/>
        <v>1.9109064558785605</v>
      </c>
      <c r="AB260" s="17">
        <f t="shared" si="161"/>
        <v>1.0217620524980564</v>
      </c>
      <c r="AC260" s="66" t="str">
        <f t="shared" si="162"/>
        <v>-34.3037719394613-10.6322060327201i</v>
      </c>
      <c r="AD260" s="64">
        <f t="shared" si="163"/>
        <v>31.105198722851611</v>
      </c>
      <c r="AE260" s="61">
        <f t="shared" si="164"/>
        <v>-162.77955550382282</v>
      </c>
      <c r="AF260" s="31" t="str">
        <f t="shared" si="149"/>
        <v>-10.0808080808081</v>
      </c>
      <c r="AG260" s="31" t="str">
        <f t="shared" si="165"/>
        <v>16526.4612006218i</v>
      </c>
      <c r="AH260" s="31">
        <f t="shared" si="166"/>
        <v>16526.461200621801</v>
      </c>
      <c r="AI260" s="31">
        <f t="shared" si="167"/>
        <v>1.5707963267948966</v>
      </c>
      <c r="AJ260" s="31" t="str">
        <f t="shared" si="150"/>
        <v>-4.22433269216132+22.1906909331393i</v>
      </c>
      <c r="AK260" s="31">
        <f t="shared" si="168"/>
        <v>22.58919544348965</v>
      </c>
      <c r="AL260" s="31">
        <f t="shared" si="169"/>
        <v>1.7589106111436816</v>
      </c>
      <c r="AM260" s="31" t="str">
        <f t="shared" si="151"/>
        <v>1+16380.3937259463i</v>
      </c>
      <c r="AN260" s="31">
        <f t="shared" si="170"/>
        <v>16380.393756470598</v>
      </c>
      <c r="AO260" s="31">
        <f t="shared" si="171"/>
        <v>1.5707352782013471</v>
      </c>
      <c r="AP260" s="31" t="str">
        <f t="shared" si="152"/>
        <v>1+19.1971373306423i</v>
      </c>
      <c r="AQ260" s="31">
        <f t="shared" si="172"/>
        <v>19.223165236025523</v>
      </c>
      <c r="AR260" s="31">
        <f t="shared" si="173"/>
        <v>1.5187522663545725</v>
      </c>
      <c r="AS260" s="58" t="str">
        <f t="shared" si="174"/>
        <v>-8.25868670882694+2.02295909248638i</v>
      </c>
      <c r="AT260" s="49">
        <f t="shared" si="175"/>
        <v>18.591279032022847</v>
      </c>
      <c r="AU260" s="61">
        <f t="shared" si="176"/>
        <v>166.23644260198077</v>
      </c>
      <c r="AV260" s="58" t="str">
        <f t="shared" si="153"/>
        <v>304.812623246139+18.4129312964227i</v>
      </c>
      <c r="AW260" s="64">
        <f t="shared" si="177"/>
        <v>49.696477754874451</v>
      </c>
      <c r="AX260" s="61">
        <f t="shared" si="178"/>
        <v>3.456887098157956</v>
      </c>
    </row>
    <row r="261" spans="14:50" x14ac:dyDescent="0.4">
      <c r="N261" s="10">
        <v>43</v>
      </c>
      <c r="O261" s="50">
        <f t="shared" si="179"/>
        <v>2691.5348039269184</v>
      </c>
      <c r="P261" s="48" t="str">
        <f t="shared" si="144"/>
        <v>5120.19230769231</v>
      </c>
      <c r="Q261" s="17" t="str">
        <f t="shared" si="145"/>
        <v>1+79.0283288444703i</v>
      </c>
      <c r="R261" s="17">
        <f t="shared" si="154"/>
        <v>79.03465543639534</v>
      </c>
      <c r="S261" s="17">
        <f t="shared" si="155"/>
        <v>1.5581433117585399</v>
      </c>
      <c r="T261" s="17" t="str">
        <f t="shared" si="146"/>
        <v>1+0.000168945005218623i</v>
      </c>
      <c r="U261" s="17">
        <f t="shared" si="156"/>
        <v>1.0000000142712073</v>
      </c>
      <c r="V261" s="17">
        <f t="shared" si="157"/>
        <v>1.6894500361125687E-4</v>
      </c>
      <c r="W261" s="31" t="str">
        <f t="shared" si="147"/>
        <v>1-0.273964873327497i</v>
      </c>
      <c r="X261" s="17">
        <f t="shared" si="158"/>
        <v>1.0368494354617508</v>
      </c>
      <c r="Y261" s="17">
        <f t="shared" si="159"/>
        <v>-0.26740360742669017</v>
      </c>
      <c r="Z261" s="31" t="str">
        <f t="shared" si="148"/>
        <v>0.9971022561597+1.66802736453195i</v>
      </c>
      <c r="AA261" s="17">
        <f t="shared" si="160"/>
        <v>1.9433291533001213</v>
      </c>
      <c r="AB261" s="17">
        <f t="shared" si="161"/>
        <v>1.03201569945533</v>
      </c>
      <c r="AC261" s="66" t="str">
        <f t="shared" si="162"/>
        <v>-33.1785921706825-9.69166688800648i</v>
      </c>
      <c r="AD261" s="64">
        <f t="shared" si="163"/>
        <v>30.772760888135377</v>
      </c>
      <c r="AE261" s="61">
        <f t="shared" si="164"/>
        <v>-163.71659790677879</v>
      </c>
      <c r="AF261" s="31" t="str">
        <f t="shared" si="149"/>
        <v>-10.0808080808081</v>
      </c>
      <c r="AG261" s="31" t="str">
        <f t="shared" si="165"/>
        <v>16911.4119337961i</v>
      </c>
      <c r="AH261" s="31">
        <f t="shared" si="166"/>
        <v>16911.411933796098</v>
      </c>
      <c r="AI261" s="31">
        <f t="shared" si="167"/>
        <v>1.5707963267948966</v>
      </c>
      <c r="AJ261" s="31" t="str">
        <f t="shared" si="150"/>
        <v>-4.47054790647774+22.7075785257496i</v>
      </c>
      <c r="AK261" s="31">
        <f t="shared" si="168"/>
        <v>23.143463895605532</v>
      </c>
      <c r="AL261" s="31">
        <f t="shared" si="169"/>
        <v>1.765185000676778</v>
      </c>
      <c r="AM261" s="31" t="str">
        <f t="shared" si="151"/>
        <v>1+16761.9421105605i</v>
      </c>
      <c r="AN261" s="31">
        <f t="shared" si="170"/>
        <v>16761.94214038998</v>
      </c>
      <c r="AO261" s="31">
        <f t="shared" si="171"/>
        <v>1.5707366678369896</v>
      </c>
      <c r="AP261" s="31" t="str">
        <f t="shared" si="152"/>
        <v>1+19.6442961022976i</v>
      </c>
      <c r="AQ261" s="31">
        <f t="shared" si="172"/>
        <v>19.669732315279347</v>
      </c>
      <c r="AR261" s="31">
        <f t="shared" si="173"/>
        <v>1.5199348680765414</v>
      </c>
      <c r="AS261" s="58" t="str">
        <f t="shared" si="174"/>
        <v>-8.23776612912631+2.06234001581665i</v>
      </c>
      <c r="AT261" s="49">
        <f t="shared" si="175"/>
        <v>18.580198092222805</v>
      </c>
      <c r="AU261" s="61">
        <f t="shared" si="176"/>
        <v>165.9447842704844</v>
      </c>
      <c r="AV261" s="58" t="str">
        <f t="shared" si="153"/>
        <v>293.304995238845+11.4121469227353i</v>
      </c>
      <c r="AW261" s="64">
        <f t="shared" si="177"/>
        <v>49.352958980358189</v>
      </c>
      <c r="AX261" s="61">
        <f t="shared" si="178"/>
        <v>2.2281863637056283</v>
      </c>
    </row>
    <row r="262" spans="14:50" x14ac:dyDescent="0.4">
      <c r="N262" s="10">
        <v>44</v>
      </c>
      <c r="O262" s="50">
        <f t="shared" si="179"/>
        <v>2754.228703338169</v>
      </c>
      <c r="P262" s="48" t="str">
        <f t="shared" si="144"/>
        <v>5120.19230769231</v>
      </c>
      <c r="Q262" s="17" t="str">
        <f t="shared" si="145"/>
        <v>1+80.8691350982056i</v>
      </c>
      <c r="R262" s="17">
        <f t="shared" si="154"/>
        <v>80.875317690453798</v>
      </c>
      <c r="S262" s="17">
        <f t="shared" si="155"/>
        <v>1.5584312998456691</v>
      </c>
      <c r="T262" s="17" t="str">
        <f t="shared" si="146"/>
        <v>1+0.000172880239921053i</v>
      </c>
      <c r="U262" s="17">
        <f t="shared" si="156"/>
        <v>1.0000000149437884</v>
      </c>
      <c r="V262" s="17">
        <f t="shared" si="157"/>
        <v>1.728802381987292E-4</v>
      </c>
      <c r="W262" s="31" t="str">
        <f t="shared" si="147"/>
        <v>1-0.280346335007113i</v>
      </c>
      <c r="X262" s="17">
        <f t="shared" si="158"/>
        <v>1.0385538346912597</v>
      </c>
      <c r="Y262" s="17">
        <f t="shared" si="159"/>
        <v>-0.27332983054800242</v>
      </c>
      <c r="Z262" s="31" t="str">
        <f t="shared" si="148"/>
        <v>0.996965689699883+1.70688071305808i</v>
      </c>
      <c r="AA262" s="17">
        <f t="shared" si="160"/>
        <v>1.9767099825337109</v>
      </c>
      <c r="AB262" s="17">
        <f t="shared" si="161"/>
        <v>1.0421602419045486</v>
      </c>
      <c r="AC262" s="66" t="str">
        <f t="shared" si="162"/>
        <v>-32.0765889740779-8.80305260523964i</v>
      </c>
      <c r="AD262" s="64">
        <f t="shared" si="163"/>
        <v>30.439126755766384</v>
      </c>
      <c r="AE262" s="61">
        <f t="shared" si="164"/>
        <v>-164.65365997712394</v>
      </c>
      <c r="AF262" s="31" t="str">
        <f t="shared" si="149"/>
        <v>-10.0808080808081</v>
      </c>
      <c r="AG262" s="31" t="str">
        <f t="shared" si="165"/>
        <v>17305.3293214267i</v>
      </c>
      <c r="AH262" s="31">
        <f t="shared" si="166"/>
        <v>17305.3293214267</v>
      </c>
      <c r="AI262" s="31">
        <f t="shared" si="167"/>
        <v>1.5707963267948966</v>
      </c>
      <c r="AJ262" s="31" t="str">
        <f t="shared" si="150"/>
        <v>-4.72836688635296+23.2365059770645i</v>
      </c>
      <c r="AK262" s="31">
        <f t="shared" si="168"/>
        <v>23.712711009796276</v>
      </c>
      <c r="AL262" s="31">
        <f t="shared" si="169"/>
        <v>1.771544164621307</v>
      </c>
      <c r="AM262" s="31" t="str">
        <f t="shared" si="151"/>
        <v>1+17152.3778987523i</v>
      </c>
      <c r="AN262" s="31">
        <f t="shared" si="170"/>
        <v>17152.377927902777</v>
      </c>
      <c r="AO262" s="31">
        <f t="shared" si="171"/>
        <v>1.5707380258406634</v>
      </c>
      <c r="AP262" s="31" t="str">
        <f t="shared" si="152"/>
        <v>1+20.1018705397693i</v>
      </c>
      <c r="AQ262" s="31">
        <f t="shared" si="172"/>
        <v>20.126728477267363</v>
      </c>
      <c r="AR262" s="31">
        <f t="shared" si="173"/>
        <v>1.52109068809965</v>
      </c>
      <c r="AS262" s="58" t="str">
        <f t="shared" si="174"/>
        <v>-8.21598248928228+2.10236424197039i</v>
      </c>
      <c r="AT262" s="49">
        <f t="shared" si="175"/>
        <v>18.568635893924924</v>
      </c>
      <c r="AU262" s="61">
        <f t="shared" si="176"/>
        <v>165.64673243231098</v>
      </c>
      <c r="AV262" s="58" t="str">
        <f t="shared" si="153"/>
        <v>282.047916344369+4.88905239339658i</v>
      </c>
      <c r="AW262" s="64">
        <f t="shared" si="177"/>
        <v>49.007762649691308</v>
      </c>
      <c r="AX262" s="61">
        <f t="shared" si="178"/>
        <v>0.99307245518706766</v>
      </c>
    </row>
    <row r="263" spans="14:50" x14ac:dyDescent="0.4">
      <c r="N263" s="10">
        <v>45</v>
      </c>
      <c r="O263" s="50">
        <f t="shared" si="179"/>
        <v>2818.3829312644561</v>
      </c>
      <c r="P263" s="48" t="str">
        <f t="shared" si="144"/>
        <v>5120.19230769231</v>
      </c>
      <c r="Q263" s="17" t="str">
        <f t="shared" si="145"/>
        <v>1+82.7528192377993i</v>
      </c>
      <c r="R263" s="17">
        <f t="shared" si="154"/>
        <v>82.758861107460177</v>
      </c>
      <c r="S263" s="17">
        <f t="shared" si="155"/>
        <v>1.5587127345056091</v>
      </c>
      <c r="T263" s="17" t="str">
        <f t="shared" si="146"/>
        <v>1+0.000176907138015029i</v>
      </c>
      <c r="U263" s="17">
        <f t="shared" si="156"/>
        <v>1.0000000156480675</v>
      </c>
      <c r="V263" s="17">
        <f t="shared" si="157"/>
        <v>1.7690713616952579E-4</v>
      </c>
      <c r="W263" s="31" t="str">
        <f t="shared" si="147"/>
        <v>1-0.286876440024371i</v>
      </c>
      <c r="X263" s="17">
        <f t="shared" si="158"/>
        <v>1.0403355669403294</v>
      </c>
      <c r="Y263" s="17">
        <f t="shared" si="159"/>
        <v>-0.27937377340663705</v>
      </c>
      <c r="Z263" s="31" t="str">
        <f t="shared" si="148"/>
        <v>0.996822687061103+1.74663907233151i</v>
      </c>
      <c r="AA263" s="17">
        <f t="shared" si="160"/>
        <v>2.0110702420439708</v>
      </c>
      <c r="AB263" s="17">
        <f t="shared" si="161"/>
        <v>1.0521928057979637</v>
      </c>
      <c r="AC263" s="66" t="str">
        <f t="shared" si="162"/>
        <v>-30.9982182588779-7.96437026571745i</v>
      </c>
      <c r="AD263" s="64">
        <f t="shared" si="163"/>
        <v>30.104359615283869</v>
      </c>
      <c r="AE263" s="61">
        <f t="shared" si="164"/>
        <v>-165.59067025729485</v>
      </c>
      <c r="AF263" s="31" t="str">
        <f t="shared" si="149"/>
        <v>-10.0808080808081</v>
      </c>
      <c r="AG263" s="31" t="str">
        <f t="shared" si="165"/>
        <v>17708.4222237266i</v>
      </c>
      <c r="AH263" s="31">
        <f t="shared" si="166"/>
        <v>17708.4222237266</v>
      </c>
      <c r="AI263" s="31">
        <f t="shared" si="167"/>
        <v>1.5707963267948966</v>
      </c>
      <c r="AJ263" s="31" t="str">
        <f t="shared" si="150"/>
        <v>-4.99833650040962+23.7777537314199i</v>
      </c>
      <c r="AK263" s="31">
        <f t="shared" si="168"/>
        <v>24.297426618540904</v>
      </c>
      <c r="AL263" s="31">
        <f t="shared" si="169"/>
        <v>1.7779902423329643</v>
      </c>
      <c r="AM263" s="31" t="str">
        <f t="shared" si="151"/>
        <v>1+17551.9081047445i</v>
      </c>
      <c r="AN263" s="31">
        <f t="shared" si="170"/>
        <v>17551.908133231427</v>
      </c>
      <c r="AO263" s="31">
        <f t="shared" si="171"/>
        <v>1.5707393529323996</v>
      </c>
      <c r="AP263" s="31" t="str">
        <f t="shared" si="152"/>
        <v>1+20.5701032550808i</v>
      </c>
      <c r="AQ263" s="31">
        <f t="shared" si="172"/>
        <v>20.59439603204439</v>
      </c>
      <c r="AR263" s="31">
        <f t="shared" si="173"/>
        <v>1.5222203268952954</v>
      </c>
      <c r="AS263" s="58" t="str">
        <f t="shared" si="174"/>
        <v>-8.19330447359819+2.14302465734411i</v>
      </c>
      <c r="AT263" s="49">
        <f t="shared" si="175"/>
        <v>18.556571926072706</v>
      </c>
      <c r="AU263" s="61">
        <f t="shared" si="176"/>
        <v>165.34219895713994</v>
      </c>
      <c r="AV263" s="58" t="str">
        <f t="shared" si="153"/>
        <v>271.045682193688-1.17543553501456i</v>
      </c>
      <c r="AW263" s="64">
        <f t="shared" si="177"/>
        <v>48.660931541356575</v>
      </c>
      <c r="AX263" s="61">
        <f t="shared" si="178"/>
        <v>-0.24847130015491009</v>
      </c>
    </row>
    <row r="264" spans="14:50" x14ac:dyDescent="0.4">
      <c r="N264" s="10">
        <v>46</v>
      </c>
      <c r="O264" s="50">
        <f t="shared" si="179"/>
        <v>2884.0315031266077</v>
      </c>
      <c r="P264" s="48" t="str">
        <f t="shared" si="144"/>
        <v>5120.19230769231</v>
      </c>
      <c r="Q264" s="17" t="str">
        <f t="shared" si="145"/>
        <v>1+84.6803800175161i</v>
      </c>
      <c r="R264" s="17">
        <f t="shared" si="154"/>
        <v>84.686284367133155</v>
      </c>
      <c r="S264" s="17">
        <f t="shared" si="155"/>
        <v>1.5589877647803099</v>
      </c>
      <c r="T264" s="17" t="str">
        <f t="shared" si="146"/>
        <v>1+0.000181027834615223i</v>
      </c>
      <c r="U264" s="17">
        <f t="shared" si="156"/>
        <v>1.0000000163855383</v>
      </c>
      <c r="V264" s="17">
        <f t="shared" si="157"/>
        <v>1.8102783263773065E-4</v>
      </c>
      <c r="W264" s="31" t="str">
        <f t="shared" si="147"/>
        <v>1-0.293558650727389i</v>
      </c>
      <c r="X264" s="17">
        <f t="shared" si="158"/>
        <v>1.0421980048996857</v>
      </c>
      <c r="Y264" s="17">
        <f t="shared" si="159"/>
        <v>-0.28553687364385416</v>
      </c>
      <c r="Z264" s="31" t="str">
        <f t="shared" si="148"/>
        <v>0.996672944915589+1.78732352276059i</v>
      </c>
      <c r="AA264" s="17">
        <f t="shared" si="160"/>
        <v>2.0464316099347268</v>
      </c>
      <c r="AB264" s="17">
        <f t="shared" si="161"/>
        <v>1.0621107312429074</v>
      </c>
      <c r="AC264" s="66" t="str">
        <f t="shared" si="162"/>
        <v>-29.9438633199037-7.17364980396874i</v>
      </c>
      <c r="AD264" s="64">
        <f t="shared" si="163"/>
        <v>29.768524068438499</v>
      </c>
      <c r="AE264" s="61">
        <f t="shared" si="164"/>
        <v>-166.5275671345866</v>
      </c>
      <c r="AF264" s="31" t="str">
        <f t="shared" si="149"/>
        <v>-10.0808080808081</v>
      </c>
      <c r="AG264" s="31" t="str">
        <f t="shared" si="165"/>
        <v>18120.9043658882i</v>
      </c>
      <c r="AH264" s="31">
        <f t="shared" si="166"/>
        <v>18120.9043658882</v>
      </c>
      <c r="AI264" s="31">
        <f t="shared" si="167"/>
        <v>1.5707963267948966</v>
      </c>
      <c r="AJ264" s="31" t="str">
        <f t="shared" si="150"/>
        <v>-5.28102939039464+24.3316087655396i</v>
      </c>
      <c r="AK264" s="31">
        <f t="shared" si="168"/>
        <v>24.898121546443928</v>
      </c>
      <c r="AL264" s="31">
        <f t="shared" si="169"/>
        <v>1.7845253428180003</v>
      </c>
      <c r="AM264" s="31" t="str">
        <f t="shared" si="151"/>
        <v>1+17960.7445647408i</v>
      </c>
      <c r="AN264" s="31">
        <f t="shared" si="170"/>
        <v>17960.744592579289</v>
      </c>
      <c r="AO264" s="31">
        <f t="shared" si="171"/>
        <v>1.5707406498158403</v>
      </c>
      <c r="AP264" s="31" t="str">
        <f t="shared" si="152"/>
        <v>1+21.0492425114157i</v>
      </c>
      <c r="AQ264" s="31">
        <f t="shared" si="172"/>
        <v>21.072982947470674</v>
      </c>
      <c r="AR264" s="31">
        <f t="shared" si="173"/>
        <v>1.5233243718742584</v>
      </c>
      <c r="AS264" s="58" t="str">
        <f t="shared" si="174"/>
        <v>-8.16970013029546+2.18431287237394i</v>
      </c>
      <c r="AT264" s="49">
        <f t="shared" si="175"/>
        <v>18.543984968585498</v>
      </c>
      <c r="AU264" s="61">
        <f t="shared" si="176"/>
        <v>165.03109670428833</v>
      </c>
      <c r="AV264" s="58" t="str">
        <f t="shared" si="153"/>
        <v>260.301879674878-6.80019836009409i</v>
      </c>
      <c r="AW264" s="64">
        <f t="shared" si="177"/>
        <v>48.312509037023979</v>
      </c>
      <c r="AX264" s="61">
        <f t="shared" si="178"/>
        <v>-1.4964704302982506</v>
      </c>
    </row>
    <row r="265" spans="14:50" x14ac:dyDescent="0.4">
      <c r="N265" s="10">
        <v>47</v>
      </c>
      <c r="O265" s="50">
        <f t="shared" si="179"/>
        <v>2951.2092266663876</v>
      </c>
      <c r="P265" s="48" t="str">
        <f t="shared" si="144"/>
        <v>5120.19230769231</v>
      </c>
      <c r="Q265" s="17" t="str">
        <f t="shared" si="145"/>
        <v>1+86.6528394555953i</v>
      </c>
      <c r="R265" s="17">
        <f t="shared" si="154"/>
        <v>86.658609414859484</v>
      </c>
      <c r="S265" s="17">
        <f t="shared" si="155"/>
        <v>1.559256536327938</v>
      </c>
      <c r="T265" s="17" t="str">
        <f t="shared" si="146"/>
        <v>1+0.000185244514569517i</v>
      </c>
      <c r="U265" s="17">
        <f t="shared" si="156"/>
        <v>1.000000017157765</v>
      </c>
      <c r="V265" s="17">
        <f t="shared" si="157"/>
        <v>1.8524451245059581E-4</v>
      </c>
      <c r="W265" s="31" t="str">
        <f t="shared" si="147"/>
        <v>1-0.30039651011273i</v>
      </c>
      <c r="X265" s="17">
        <f t="shared" si="158"/>
        <v>1.0441446563038608</v>
      </c>
      <c r="Y265" s="17">
        <f t="shared" si="159"/>
        <v>-0.29182052551303567</v>
      </c>
      <c r="Z265" s="31" t="str">
        <f t="shared" si="148"/>
        <v>0.996516145640176+1.82895563577946i</v>
      </c>
      <c r="AA265" s="17">
        <f t="shared" si="160"/>
        <v>2.0828161575547184</v>
      </c>
      <c r="AB265" s="17">
        <f t="shared" si="161"/>
        <v>1.0719115712603404</v>
      </c>
      <c r="AC265" s="66" t="str">
        <f t="shared" si="162"/>
        <v>-28.9138369695337-6.42894788651319i</v>
      </c>
      <c r="AD265" s="64">
        <f t="shared" si="163"/>
        <v>29.431685932543218</v>
      </c>
      <c r="AE265" s="61">
        <f t="shared" si="164"/>
        <v>-167.46429851267737</v>
      </c>
      <c r="AF265" s="31" t="str">
        <f t="shared" si="149"/>
        <v>-10.0808080808081</v>
      </c>
      <c r="AG265" s="31" t="str">
        <f t="shared" si="165"/>
        <v>18542.9944514031i</v>
      </c>
      <c r="AH265" s="31">
        <f t="shared" si="166"/>
        <v>18542.994451403101</v>
      </c>
      <c r="AI265" s="31">
        <f t="shared" si="167"/>
        <v>1.5707963267948966</v>
      </c>
      <c r="AJ265" s="31" t="str">
        <f t="shared" si="150"/>
        <v>-5.57704518582895+24.8983647406936i</v>
      </c>
      <c r="AK265" s="31">
        <f t="shared" si="168"/>
        <v>25.515328721484117</v>
      </c>
      <c r="AL265" s="31">
        <f t="shared" si="169"/>
        <v>1.7911515414680041</v>
      </c>
      <c r="AM265" s="31" t="str">
        <f t="shared" si="151"/>
        <v>1+18379.1040492439i</v>
      </c>
      <c r="AN265" s="31">
        <f t="shared" si="170"/>
        <v>18379.104076448704</v>
      </c>
      <c r="AO265" s="31">
        <f t="shared" si="171"/>
        <v>1.5707419171786099</v>
      </c>
      <c r="AP265" s="31" t="str">
        <f t="shared" si="152"/>
        <v>1+21.5395423547499i</v>
      </c>
      <c r="AQ265" s="31">
        <f t="shared" si="172"/>
        <v>21.562742980707835</v>
      </c>
      <c r="AR265" s="31">
        <f t="shared" si="173"/>
        <v>1.5244033976437825</v>
      </c>
      <c r="AS265" s="58" t="str">
        <f t="shared" si="174"/>
        <v>-8.1451369022577+2.22621914568529i</v>
      </c>
      <c r="AT265" s="49">
        <f t="shared" si="175"/>
        <v>18.530853077406025</v>
      </c>
      <c r="AU265" s="61">
        <f t="shared" si="176"/>
        <v>164.71333972454519</v>
      </c>
      <c r="AV265" s="58" t="str">
        <f t="shared" si="153"/>
        <v>249.819407357981-12.0038767636688i</v>
      </c>
      <c r="AW265" s="64">
        <f t="shared" si="177"/>
        <v>47.962539009949253</v>
      </c>
      <c r="AX265" s="61">
        <f t="shared" si="178"/>
        <v>-2.750958788132154</v>
      </c>
    </row>
    <row r="266" spans="14:50" x14ac:dyDescent="0.4">
      <c r="N266" s="10">
        <v>48</v>
      </c>
      <c r="O266" s="50">
        <f t="shared" si="179"/>
        <v>3019.9517204020176</v>
      </c>
      <c r="P266" s="48" t="str">
        <f t="shared" si="144"/>
        <v>5120.19230769231</v>
      </c>
      <c r="Q266" s="17" t="str">
        <f t="shared" si="145"/>
        <v>1+88.6712433761399i</v>
      </c>
      <c r="R266" s="17">
        <f t="shared" si="154"/>
        <v>88.676882003544947</v>
      </c>
      <c r="S266" s="17">
        <f t="shared" si="155"/>
        <v>1.5595191914993121</v>
      </c>
      <c r="T266" s="17" t="str">
        <f t="shared" si="146"/>
        <v>1+0.000189559413617437i</v>
      </c>
      <c r="U266" s="17">
        <f t="shared" si="156"/>
        <v>1.0000000179663855</v>
      </c>
      <c r="V266" s="17">
        <f t="shared" si="157"/>
        <v>1.8955941134697203E-4</v>
      </c>
      <c r="W266" s="31" t="str">
        <f t="shared" si="147"/>
        <v>1-0.307393643703952i</v>
      </c>
      <c r="X266" s="17">
        <f t="shared" si="158"/>
        <v>1.0461791683022523</v>
      </c>
      <c r="Y266" s="17">
        <f t="shared" si="159"/>
        <v>-0.29822607509761351</v>
      </c>
      <c r="Z266" s="31" t="str">
        <f t="shared" si="148"/>
        <v>0.996351956642576+1.87155748528551i</v>
      </c>
      <c r="AA266" s="17">
        <f t="shared" si="160"/>
        <v>2.1202463635704487</v>
      </c>
      <c r="AB266" s="17">
        <f t="shared" si="161"/>
        <v>1.0815930898019728</v>
      </c>
      <c r="AC266" s="66" t="str">
        <f t="shared" si="162"/>
        <v>-27.9083839280395-5.72835151924836i</v>
      </c>
      <c r="AD266" s="64">
        <f t="shared" si="163"/>
        <v>29.093912145591851</v>
      </c>
      <c r="AE266" s="61">
        <f t="shared" si="164"/>
        <v>-168.40082142833984</v>
      </c>
      <c r="AF266" s="31" t="str">
        <f t="shared" si="149"/>
        <v>-10.0808080808081</v>
      </c>
      <c r="AG266" s="31" t="str">
        <f t="shared" si="165"/>
        <v>18974.9162780217i</v>
      </c>
      <c r="AH266" s="31">
        <f t="shared" si="166"/>
        <v>18974.916278021701</v>
      </c>
      <c r="AI266" s="31">
        <f t="shared" si="167"/>
        <v>1.5707963267948966</v>
      </c>
      <c r="AJ266" s="31" t="str">
        <f t="shared" si="150"/>
        <v>-5.88701177590223+25.478322158402i</v>
      </c>
      <c r="AK266" s="31">
        <f t="shared" si="168"/>
        <v>26.149604349911872</v>
      </c>
      <c r="AL266" s="31">
        <f t="shared" si="169"/>
        <v>1.7978708765892073</v>
      </c>
      <c r="AM266" s="31" t="str">
        <f t="shared" si="151"/>
        <v>1+18807.2083779901i</v>
      </c>
      <c r="AN266" s="31">
        <f t="shared" si="170"/>
        <v>18807.208404575649</v>
      </c>
      <c r="AO266" s="31">
        <f t="shared" si="171"/>
        <v>1.570743155692681</v>
      </c>
      <c r="AP266" s="31" t="str">
        <f t="shared" si="152"/>
        <v>1+22.04126274855i</v>
      </c>
      <c r="AQ266" s="31">
        <f t="shared" si="172"/>
        <v>22.063935812783221</v>
      </c>
      <c r="AR266" s="31">
        <f t="shared" si="173"/>
        <v>1.5254579662614491</v>
      </c>
      <c r="AS266" s="58" t="str">
        <f t="shared" si="174"/>
        <v>-8.11958166305746+2.26873230661662i</v>
      </c>
      <c r="AT266" s="49">
        <f t="shared" si="175"/>
        <v>18.517153570342696</v>
      </c>
      <c r="AU266" s="61">
        <f t="shared" si="176"/>
        <v>164.38884347359459</v>
      </c>
      <c r="AV266" s="58" t="str">
        <f t="shared" si="153"/>
        <v>239.600498543052-16.8048342877669i</v>
      </c>
      <c r="AW266" s="64">
        <f t="shared" si="177"/>
        <v>47.611065715934529</v>
      </c>
      <c r="AX266" s="61">
        <f t="shared" si="178"/>
        <v>-4.0119779547452072</v>
      </c>
    </row>
    <row r="267" spans="14:50" x14ac:dyDescent="0.4">
      <c r="N267" s="10">
        <v>49</v>
      </c>
      <c r="O267" s="50">
        <f t="shared" si="179"/>
        <v>3090.295432513592</v>
      </c>
      <c r="P267" s="48" t="str">
        <f t="shared" si="144"/>
        <v>5120.19230769231</v>
      </c>
      <c r="Q267" s="17" t="str">
        <f t="shared" si="145"/>
        <v>1+90.7366619636252i</v>
      </c>
      <c r="R267" s="17">
        <f t="shared" si="154"/>
        <v>90.742172248085325</v>
      </c>
      <c r="S267" s="17">
        <f t="shared" si="155"/>
        <v>1.5597758694126376</v>
      </c>
      <c r="T267" s="17" t="str">
        <f t="shared" si="146"/>
        <v>1+0.000193974819575572i</v>
      </c>
      <c r="U267" s="17">
        <f t="shared" si="156"/>
        <v>1.0000000188131151</v>
      </c>
      <c r="V267" s="17">
        <f t="shared" si="157"/>
        <v>1.9397481714272495E-4</v>
      </c>
      <c r="W267" s="31" t="str">
        <f t="shared" si="147"/>
        <v>1-0.3145537614739i</v>
      </c>
      <c r="X267" s="17">
        <f t="shared" si="158"/>
        <v>1.048305331884456</v>
      </c>
      <c r="Y267" s="17">
        <f t="shared" si="159"/>
        <v>-0.30475481531627863</v>
      </c>
      <c r="Z267" s="31" t="str">
        <f t="shared" si="148"/>
        <v>0.996180029655914+1.91515165934326i</v>
      </c>
      <c r="AA267" s="17">
        <f t="shared" si="160"/>
        <v>2.1587451284879604</v>
      </c>
      <c r="AB267" s="17">
        <f t="shared" si="161"/>
        <v>1.0911532590773201</v>
      </c>
      <c r="AC267" s="66" t="str">
        <f t="shared" si="162"/>
        <v>-26.9276834384988-5.06998137018482i</v>
      </c>
      <c r="AD267" s="64">
        <f t="shared" si="163"/>
        <v>28.755270673366063</v>
      </c>
      <c r="AE267" s="61">
        <f t="shared" si="164"/>
        <v>-169.33710161632558</v>
      </c>
      <c r="AF267" s="31" t="str">
        <f t="shared" si="149"/>
        <v>-10.0808080808081</v>
      </c>
      <c r="AG267" s="31" t="str">
        <f t="shared" si="165"/>
        <v>19416.8988564136i</v>
      </c>
      <c r="AH267" s="31">
        <f t="shared" si="166"/>
        <v>19416.898856413602</v>
      </c>
      <c r="AI267" s="31">
        <f t="shared" si="167"/>
        <v>1.5707963267948966</v>
      </c>
      <c r="AJ267" s="31" t="str">
        <f t="shared" si="150"/>
        <v>-6.21158664130994+26.0717885197642i</v>
      </c>
      <c r="AK267" s="31">
        <f t="shared" si="168"/>
        <v>26.801529158273944</v>
      </c>
      <c r="AL267" s="31">
        <f t="shared" si="169"/>
        <v>1.8046853457223038</v>
      </c>
      <c r="AM267" s="31" t="str">
        <f t="shared" si="151"/>
        <v>1+19245.2845375611i</v>
      </c>
      <c r="AN267" s="31">
        <f t="shared" si="170"/>
        <v>19245.284563541489</v>
      </c>
      <c r="AO267" s="31">
        <f t="shared" si="171"/>
        <v>1.57074436601473</v>
      </c>
      <c r="AP267" s="31" t="str">
        <f t="shared" si="152"/>
        <v>1+22.5546697116101i</v>
      </c>
      <c r="AQ267" s="31">
        <f t="shared" si="172"/>
        <v>22.576827186294846</v>
      </c>
      <c r="AR267" s="31">
        <f t="shared" si="173"/>
        <v>1.5264886274857481</v>
      </c>
      <c r="AS267" s="58" t="str">
        <f t="shared" si="174"/>
        <v>-8.09300075863072+2.31183967636373i</v>
      </c>
      <c r="AT267" s="49">
        <f t="shared" si="175"/>
        <v>18.502863013831885</v>
      </c>
      <c r="AU267" s="61">
        <f t="shared" si="176"/>
        <v>164.05752503725142</v>
      </c>
      <c r="AV267" s="58" t="str">
        <f t="shared" si="153"/>
        <v>229.646746585957-21.2211238905347i</v>
      </c>
      <c r="AW267" s="64">
        <f t="shared" si="177"/>
        <v>47.258133687197954</v>
      </c>
      <c r="AX267" s="61">
        <f t="shared" si="178"/>
        <v>-5.2795765790741678</v>
      </c>
    </row>
    <row r="268" spans="14:50" x14ac:dyDescent="0.4">
      <c r="N268" s="10">
        <v>50</v>
      </c>
      <c r="O268" s="50">
        <f t="shared" si="179"/>
        <v>3162.2776601683804</v>
      </c>
      <c r="P268" s="48" t="str">
        <f t="shared" si="144"/>
        <v>5120.19230769231</v>
      </c>
      <c r="Q268" s="17" t="str">
        <f t="shared" si="145"/>
        <v>1+92.8501903303251i</v>
      </c>
      <c r="R268" s="17">
        <f t="shared" si="154"/>
        <v>92.855575192756177</v>
      </c>
      <c r="S268" s="17">
        <f t="shared" si="155"/>
        <v>1.5600267060265771</v>
      </c>
      <c r="T268" s="17" t="str">
        <f t="shared" si="146"/>
        <v>1+0.000198493073550606i</v>
      </c>
      <c r="U268" s="17">
        <f t="shared" si="156"/>
        <v>1.0000000196997501</v>
      </c>
      <c r="V268" s="17">
        <f t="shared" si="157"/>
        <v>1.9849307094376342E-4</v>
      </c>
      <c r="W268" s="31" t="str">
        <f t="shared" si="147"/>
        <v>1-0.321880659811794i</v>
      </c>
      <c r="X268" s="17">
        <f t="shared" si="158"/>
        <v>1.0505270863527869</v>
      </c>
      <c r="Y268" s="17">
        <f t="shared" si="159"/>
        <v>-0.3114079807176896</v>
      </c>
      <c r="Z268" s="31" t="str">
        <f t="shared" si="148"/>
        <v>0.996+1.95976127216081i</v>
      </c>
      <c r="AA268" s="17">
        <f t="shared" si="160"/>
        <v>2.198335789605709</v>
      </c>
      <c r="AB268" s="17">
        <f t="shared" si="161"/>
        <v>1.1005902562440604</v>
      </c>
      <c r="AC268" s="66" t="str">
        <f t="shared" si="162"/>
        <v>-25.9718520726205-4.4519947981841i</v>
      </c>
      <c r="AD268" s="64">
        <f t="shared" si="163"/>
        <v>28.415830418689797</v>
      </c>
      <c r="AE268" s="61">
        <f t="shared" si="164"/>
        <v>-170.27311302561253</v>
      </c>
      <c r="AF268" s="31" t="str">
        <f t="shared" si="149"/>
        <v>-10.0808080808081</v>
      </c>
      <c r="AG268" s="31" t="str">
        <f t="shared" si="165"/>
        <v>19869.1765315922i</v>
      </c>
      <c r="AH268" s="31">
        <f t="shared" si="166"/>
        <v>19869.176531592198</v>
      </c>
      <c r="AI268" s="31">
        <f t="shared" si="167"/>
        <v>1.5707963267948966</v>
      </c>
      <c r="AJ268" s="31" t="str">
        <f t="shared" si="150"/>
        <v>-6.55145824885811+26.6790784885005i</v>
      </c>
      <c r="AK268" s="31">
        <f t="shared" si="168"/>
        <v>27.47170970620688</v>
      </c>
      <c r="AL268" s="31">
        <f t="shared" si="169"/>
        <v>1.8115969017494857</v>
      </c>
      <c r="AM268" s="31" t="str">
        <f t="shared" si="151"/>
        <v>1+19693.5648017354i</v>
      </c>
      <c r="AN268" s="31">
        <f t="shared" si="170"/>
        <v>19693.564827124403</v>
      </c>
      <c r="AO268" s="31">
        <f t="shared" si="171"/>
        <v>1.5707455487864859</v>
      </c>
      <c r="AP268" s="31" t="str">
        <f t="shared" si="152"/>
        <v>1+23.0800354590975i</v>
      </c>
      <c r="AQ268" s="31">
        <f t="shared" si="172"/>
        <v>23.10168904632728</v>
      </c>
      <c r="AR268" s="31">
        <f t="shared" si="173"/>
        <v>1.5274959190232547</v>
      </c>
      <c r="AS268" s="58" t="str">
        <f t="shared" si="174"/>
        <v>-8.0653600549645+2.3555269880303i</v>
      </c>
      <c r="AT268" s="49">
        <f t="shared" si="175"/>
        <v>18.487957210750672</v>
      </c>
      <c r="AU268" s="61">
        <f t="shared" si="176"/>
        <v>163.71930336869374</v>
      </c>
      <c r="AV268" s="58" t="str">
        <f t="shared" si="153"/>
        <v>219.959132157654-25.2704574760045i</v>
      </c>
      <c r="AW268" s="64">
        <f t="shared" si="177"/>
        <v>46.903787629440494</v>
      </c>
      <c r="AX268" s="61">
        <f t="shared" si="178"/>
        <v>-6.5538096569187605</v>
      </c>
    </row>
    <row r="269" spans="14:50" x14ac:dyDescent="0.4">
      <c r="N269" s="10">
        <v>51</v>
      </c>
      <c r="O269" s="50">
        <f t="shared" si="179"/>
        <v>3235.9365692962833</v>
      </c>
      <c r="P269" s="48" t="str">
        <f t="shared" si="144"/>
        <v>5120.19230769231</v>
      </c>
      <c r="Q269" s="17" t="str">
        <f t="shared" si="145"/>
        <v>1+95.0129490969559i</v>
      </c>
      <c r="R269" s="17">
        <f t="shared" si="154"/>
        <v>95.018211391820728</v>
      </c>
      <c r="S269" s="17">
        <f t="shared" si="155"/>
        <v>1.5602718342116919</v>
      </c>
      <c r="T269" s="17" t="str">
        <f t="shared" si="146"/>
        <v>1+0.000203116571180604i</v>
      </c>
      <c r="U269" s="17">
        <f t="shared" si="156"/>
        <v>1.0000000206281705</v>
      </c>
      <c r="V269" s="17">
        <f t="shared" si="157"/>
        <v>2.0311656838732187E-4</v>
      </c>
      <c r="W269" s="31" t="str">
        <f t="shared" si="147"/>
        <v>1-0.329378223536114i</v>
      </c>
      <c r="X269" s="17">
        <f t="shared" si="158"/>
        <v>1.0528485238341774</v>
      </c>
      <c r="Y269" s="17">
        <f t="shared" si="159"/>
        <v>-0.3181867420683091</v>
      </c>
      <c r="Z269" s="31" t="str">
        <f t="shared" si="148"/>
        <v>0.995811485807796+2.00540997634537i</v>
      </c>
      <c r="AA269" s="17">
        <f t="shared" si="160"/>
        <v>2.2390421363815975</v>
      </c>
      <c r="AB269" s="17">
        <f t="shared" si="161"/>
        <v>1.1099024595163918</v>
      </c>
      <c r="AC269" s="66" t="str">
        <f t="shared" si="162"/>
        <v>-25.0409466943699-3.87258858208876i</v>
      </c>
      <c r="AD269" s="64">
        <f t="shared" si="163"/>
        <v>28.075661132929213</v>
      </c>
      <c r="AE269" s="61">
        <f t="shared" si="164"/>
        <v>-171.20883729035867</v>
      </c>
      <c r="AF269" s="31" t="str">
        <f t="shared" si="149"/>
        <v>-10.0808080808081</v>
      </c>
      <c r="AG269" s="31" t="str">
        <f t="shared" si="165"/>
        <v>20331.9891071675i</v>
      </c>
      <c r="AH269" s="31">
        <f t="shared" si="166"/>
        <v>20331.989107167501</v>
      </c>
      <c r="AI269" s="31">
        <f t="shared" si="167"/>
        <v>1.5707963267948966</v>
      </c>
      <c r="AJ269" s="31" t="str">
        <f t="shared" si="150"/>
        <v>-6.90734751179378+27.3005140577908i</v>
      </c>
      <c r="AK269" s="31">
        <f t="shared" si="168"/>
        <v>28.160779773797401</v>
      </c>
      <c r="AL269" s="31">
        <f t="shared" si="169"/>
        <v>1.8186074487862234</v>
      </c>
      <c r="AM269" s="31" t="str">
        <f t="shared" si="151"/>
        <v>1+20152.2868546428i</v>
      </c>
      <c r="AN269" s="31">
        <f t="shared" si="170"/>
        <v>20152.286879453881</v>
      </c>
      <c r="AO269" s="31">
        <f t="shared" si="171"/>
        <v>1.5707467046350696</v>
      </c>
      <c r="AP269" s="31" t="str">
        <f t="shared" si="152"/>
        <v>1+23.6176385468858i</v>
      </c>
      <c r="AQ269" s="31">
        <f t="shared" si="172"/>
        <v>23.638799684657126</v>
      </c>
      <c r="AR269" s="31">
        <f t="shared" si="173"/>
        <v>1.5284803667723439</v>
      </c>
      <c r="AS269" s="58" t="str">
        <f t="shared" si="174"/>
        <v>-8.036624992167+2.39977830591442i</v>
      </c>
      <c r="AT269" s="49">
        <f t="shared" si="175"/>
        <v>18.472411189423052</v>
      </c>
      <c r="AU269" s="61">
        <f t="shared" si="176"/>
        <v>163.37409953783038</v>
      </c>
      <c r="AV269" s="58" t="str">
        <f t="shared" si="153"/>
        <v>210.538052098523-28.9701784535132i</v>
      </c>
      <c r="AW269" s="64">
        <f t="shared" si="177"/>
        <v>46.548072322352255</v>
      </c>
      <c r="AX269" s="61">
        <f t="shared" si="178"/>
        <v>-7.8347377525283219</v>
      </c>
    </row>
    <row r="270" spans="14:50" x14ac:dyDescent="0.4">
      <c r="N270" s="10">
        <v>52</v>
      </c>
      <c r="O270" s="50">
        <f t="shared" si="179"/>
        <v>3311.3112148259115</v>
      </c>
      <c r="P270" s="48" t="str">
        <f t="shared" si="144"/>
        <v>5120.19230769231</v>
      </c>
      <c r="Q270" s="17" t="str">
        <f t="shared" si="145"/>
        <v>1+97.2260849868433i</v>
      </c>
      <c r="R270" s="17">
        <f t="shared" si="154"/>
        <v>97.231227503661984</v>
      </c>
      <c r="S270" s="17">
        <f t="shared" si="155"/>
        <v>1.5605113838202893</v>
      </c>
      <c r="T270" s="17" t="str">
        <f t="shared" si="146"/>
        <v>1+0.000207847763905207i</v>
      </c>
      <c r="U270" s="17">
        <f t="shared" si="156"/>
        <v>1.0000000216003462</v>
      </c>
      <c r="V270" s="17">
        <f t="shared" si="157"/>
        <v>2.0784776091215128E-4</v>
      </c>
      <c r="W270" s="31" t="str">
        <f t="shared" si="147"/>
        <v>1-0.33705042795439i</v>
      </c>
      <c r="X270" s="17">
        <f t="shared" si="158"/>
        <v>1.0552738938229438</v>
      </c>
      <c r="Y270" s="17">
        <f t="shared" si="159"/>
        <v>-0.32509220073869793</v>
      </c>
      <c r="Z270" s="31" t="str">
        <f t="shared" si="148"/>
        <v>0.995614087215427+2.05212197544414i</v>
      </c>
      <c r="AA270" s="17">
        <f t="shared" si="160"/>
        <v>2.2808884261976887</v>
      </c>
      <c r="AB270" s="17">
        <f t="shared" si="161"/>
        <v>1.1190884437466904</v>
      </c>
      <c r="AC270" s="66" t="str">
        <f>(IMDIV(IMPRODUCT(P270,T270,W270),IMPRODUCT(Q270,Z270)))</f>
        <v>-24.1349675492268-3.33000134812039i</v>
      </c>
      <c r="AD270" s="64">
        <f t="shared" si="163"/>
        <v>27.734833329780887</v>
      </c>
      <c r="AE270" s="61">
        <f t="shared" si="164"/>
        <v>-172.14426315903665</v>
      </c>
      <c r="AF270" s="31" t="str">
        <f t="shared" si="149"/>
        <v>-10.0808080808081</v>
      </c>
      <c r="AG270" s="31" t="str">
        <f t="shared" si="165"/>
        <v>20805.5819724932i</v>
      </c>
      <c r="AH270" s="31">
        <f t="shared" si="166"/>
        <v>20805.581972493201</v>
      </c>
      <c r="AI270" s="31">
        <f t="shared" si="167"/>
        <v>1.5707963267948966</v>
      </c>
      <c r="AJ270" s="31" t="str">
        <f t="shared" si="150"/>
        <v>-7.28000931895856+27.9364247209995i</v>
      </c>
      <c r="AK270" s="31">
        <f t="shared" si="168"/>
        <v>28.869401827474633</v>
      </c>
      <c r="AL270" s="31">
        <f t="shared" si="169"/>
        <v>1.8257188378562379</v>
      </c>
      <c r="AM270" s="31" t="str">
        <f t="shared" si="151"/>
        <v>1+20621.6939167876i</v>
      </c>
      <c r="AN270" s="31">
        <f t="shared" si="170"/>
        <v>20621.693941033907</v>
      </c>
      <c r="AO270" s="31">
        <f t="shared" si="171"/>
        <v>1.5707478341733276</v>
      </c>
      <c r="AP270" s="31" t="str">
        <f t="shared" si="152"/>
        <v>1+24.1677640192481i</v>
      </c>
      <c r="AQ270" s="31">
        <f t="shared" si="172"/>
        <v>24.188443887320716</v>
      </c>
      <c r="AR270" s="31">
        <f t="shared" si="173"/>
        <v>1.5294424850633741</v>
      </c>
      <c r="AS270" s="58" t="str">
        <f t="shared" si="174"/>
        <v>-8.00676064528303+2.444575944406i</v>
      </c>
      <c r="AT270" s="49">
        <f t="shared" si="175"/>
        <v>18.456199193967425</v>
      </c>
      <c r="AU270" s="61">
        <f t="shared" si="176"/>
        <v>163.02183699288645</v>
      </c>
      <c r="AV270" s="58" t="str">
        <f t="shared" si="153"/>
        <v>201.383349538787-32.3372373469895i</v>
      </c>
      <c r="AW270" s="64">
        <f t="shared" si="177"/>
        <v>46.191032523748319</v>
      </c>
      <c r="AX270" s="61">
        <f t="shared" si="178"/>
        <v>-9.1224261661501984</v>
      </c>
    </row>
    <row r="271" spans="14:50" x14ac:dyDescent="0.4">
      <c r="N271" s="10">
        <v>53</v>
      </c>
      <c r="O271" s="50">
        <f t="shared" si="179"/>
        <v>3388.4415613920314</v>
      </c>
      <c r="P271" s="48" t="str">
        <f t="shared" si="144"/>
        <v>5120.19230769231</v>
      </c>
      <c r="Q271" s="17" t="str">
        <f t="shared" si="145"/>
        <v>1+99.4907714339299i</v>
      </c>
      <c r="R271" s="17">
        <f t="shared" si="154"/>
        <v>99.495796898755884</v>
      </c>
      <c r="S271" s="17">
        <f t="shared" si="155"/>
        <v>1.5607454817547084</v>
      </c>
      <c r="T271" s="17" t="str">
        <f t="shared" si="146"/>
        <v>1+0.000212689160265423i</v>
      </c>
      <c r="U271" s="17">
        <f t="shared" si="156"/>
        <v>1.0000000226183392</v>
      </c>
      <c r="V271" s="17">
        <f t="shared" si="157"/>
        <v>2.1268915705830601E-4</v>
      </c>
      <c r="W271" s="31" t="str">
        <f t="shared" si="147"/>
        <v>1-0.344901340970957i</v>
      </c>
      <c r="X271" s="17">
        <f t="shared" si="158"/>
        <v>1.0578076077451724</v>
      </c>
      <c r="Y271" s="17">
        <f t="shared" si="159"/>
        <v>-0.33212538289530769</v>
      </c>
      <c r="Z271" s="31" t="str">
        <f t="shared" si="148"/>
        <v>0.995407385514012+2.09992203677733i</v>
      </c>
      <c r="AA271" s="17">
        <f t="shared" si="160"/>
        <v>2.3238994005074511</v>
      </c>
      <c r="AB271" s="17">
        <f t="shared" si="161"/>
        <v>1.1281469755358988</v>
      </c>
      <c r="AC271" s="66" t="str">
        <f t="shared" si="162"/>
        <v>-23.253861448169-2.82251569662256i</v>
      </c>
      <c r="AD271" s="64">
        <f t="shared" si="163"/>
        <v>27.393418201333674</v>
      </c>
      <c r="AE271" s="61">
        <f t="shared" si="164"/>
        <v>-173.0793858853327</v>
      </c>
      <c r="AF271" s="31" t="str">
        <f t="shared" si="149"/>
        <v>-10.0808080808081</v>
      </c>
      <c r="AG271" s="31" t="str">
        <f t="shared" si="165"/>
        <v>21290.2062327751i</v>
      </c>
      <c r="AH271" s="31">
        <f t="shared" si="166"/>
        <v>21290.206232775101</v>
      </c>
      <c r="AI271" s="31">
        <f t="shared" si="167"/>
        <v>1.5707963267948966</v>
      </c>
      <c r="AJ271" s="31" t="str">
        <f t="shared" si="150"/>
        <v>-7.67023413600902+28.5871476463777i</v>
      </c>
      <c r="AK271" s="31">
        <f t="shared" si="168"/>
        <v>29.598268568566578</v>
      </c>
      <c r="AL271" s="31">
        <f t="shared" si="169"/>
        <v>1.8329328623491861</v>
      </c>
      <c r="AM271" s="31" t="str">
        <f t="shared" si="151"/>
        <v>1+21102.0348740074i</v>
      </c>
      <c r="AN271" s="31">
        <f t="shared" si="170"/>
        <v>21102.034897701797</v>
      </c>
      <c r="AO271" s="31">
        <f t="shared" si="171"/>
        <v>1.570748938000156</v>
      </c>
      <c r="AP271" s="31" t="str">
        <f t="shared" si="152"/>
        <v>1+24.7307035599916i</v>
      </c>
      <c r="AQ271" s="31">
        <f t="shared" si="172"/>
        <v>24.750913085625371</v>
      </c>
      <c r="AR271" s="31">
        <f t="shared" si="173"/>
        <v>1.5303827768952933</v>
      </c>
      <c r="AS271" s="58" t="str">
        <f t="shared" si="174"/>
        <v>-7.97573179221239+2.48990038691855i</v>
      </c>
      <c r="AT271" s="49">
        <f t="shared" si="175"/>
        <v>18.439294676144122</v>
      </c>
      <c r="AU271" s="61">
        <f t="shared" si="176"/>
        <v>162.66244183423461</v>
      </c>
      <c r="AV271" s="58" t="str">
        <f t="shared" si="153"/>
        <v>192.494344968968-35.3881704415753i</v>
      </c>
      <c r="AW271" s="64">
        <f t="shared" si="177"/>
        <v>45.83271287747781</v>
      </c>
      <c r="AX271" s="61">
        <f t="shared" si="178"/>
        <v>-10.416944051098072</v>
      </c>
    </row>
    <row r="272" spans="14:50" x14ac:dyDescent="0.4">
      <c r="N272" s="10">
        <v>54</v>
      </c>
      <c r="O272" s="50">
        <f t="shared" si="179"/>
        <v>3467.3685045253224</v>
      </c>
      <c r="P272" s="48" t="str">
        <f t="shared" si="144"/>
        <v>5120.19230769231</v>
      </c>
      <c r="Q272" s="17" t="str">
        <f t="shared" si="145"/>
        <v>1+101.808209204947i</v>
      </c>
      <c r="R272" s="17">
        <f t="shared" si="154"/>
        <v>101.81312028180974</v>
      </c>
      <c r="S272" s="17">
        <f t="shared" si="155"/>
        <v>1.5609742520340821</v>
      </c>
      <c r="T272" s="17" t="str">
        <f t="shared" si="146"/>
        <v>1+0.000217643327233686i</v>
      </c>
      <c r="U272" s="17">
        <f t="shared" si="156"/>
        <v>1.0000000236843087</v>
      </c>
      <c r="V272" s="17">
        <f t="shared" si="157"/>
        <v>2.1764332379719823E-4</v>
      </c>
      <c r="W272" s="31" t="str">
        <f t="shared" si="147"/>
        <v>1-0.352935125243815i</v>
      </c>
      <c r="X272" s="17">
        <f t="shared" si="158"/>
        <v>1.0604542435347539</v>
      </c>
      <c r="Y272" s="17">
        <f t="shared" si="159"/>
        <v>-0.33928723350678713</v>
      </c>
      <c r="Z272" s="31" t="str">
        <f t="shared" si="148"/>
        <v>0.99519094226153+2.14883550457017i</v>
      </c>
      <c r="AA272" s="17">
        <f t="shared" si="160"/>
        <v>2.3681003013514292</v>
      </c>
      <c r="AB272" s="17">
        <f t="shared" si="161"/>
        <v>1.1370770079275712</v>
      </c>
      <c r="AC272" s="66" t="str">
        <f t="shared" si="162"/>
        <v>-22.3975250170139-2.34846003212977i</v>
      </c>
      <c r="AD272" s="64">
        <f t="shared" si="163"/>
        <v>27.051487536337167</v>
      </c>
      <c r="AE272" s="61">
        <f t="shared" si="164"/>
        <v>-174.01420658447265</v>
      </c>
      <c r="AF272" s="31" t="str">
        <f t="shared" si="149"/>
        <v>-10.0808080808081</v>
      </c>
      <c r="AG272" s="31" t="str">
        <f t="shared" si="165"/>
        <v>21786.1188422108i</v>
      </c>
      <c r="AH272" s="31">
        <f t="shared" si="166"/>
        <v>21786.118842210799</v>
      </c>
      <c r="AI272" s="31">
        <f t="shared" si="167"/>
        <v>1.5707963267948966</v>
      </c>
      <c r="AJ272" s="31" t="str">
        <f t="shared" si="150"/>
        <v>-8.07884968210046+29.2530278558336i</v>
      </c>
      <c r="AK272" s="31">
        <f t="shared" si="168"/>
        <v>30.348104568821945</v>
      </c>
      <c r="AL272" s="31">
        <f t="shared" si="169"/>
        <v>1.8402512532617785</v>
      </c>
      <c r="AM272" s="31" t="str">
        <f t="shared" si="151"/>
        <v>1+21593.5644094359i</v>
      </c>
      <c r="AN272" s="31">
        <f t="shared" si="170"/>
        <v>21593.564432590949</v>
      </c>
      <c r="AO272" s="31">
        <f t="shared" si="171"/>
        <v>1.5707500167008184</v>
      </c>
      <c r="AP272" s="31" t="str">
        <f t="shared" si="152"/>
        <v>1+25.3067556471121i</v>
      </c>
      <c r="AQ272" s="31">
        <f t="shared" si="172"/>
        <v>25.326505510682683</v>
      </c>
      <c r="AR272" s="31">
        <f t="shared" si="173"/>
        <v>1.531301734168623</v>
      </c>
      <c r="AS272" s="58" t="str">
        <f t="shared" si="174"/>
        <v>-7.94350298907568+2.53573020532981i</v>
      </c>
      <c r="AT272" s="49">
        <f t="shared" si="175"/>
        <v>18.421670288868434</v>
      </c>
      <c r="AU272" s="61">
        <f t="shared" si="176"/>
        <v>162.29584310042617</v>
      </c>
      <c r="AV272" s="58" t="str">
        <f t="shared" si="153"/>
        <v>183.869867960029-38.1390814253246i</v>
      </c>
      <c r="AW272" s="64">
        <f t="shared" si="177"/>
        <v>45.473157825205625</v>
      </c>
      <c r="AX272" s="61">
        <f t="shared" si="178"/>
        <v>-11.718363484046437</v>
      </c>
    </row>
    <row r="273" spans="14:50" x14ac:dyDescent="0.4">
      <c r="N273" s="10">
        <v>55</v>
      </c>
      <c r="O273" s="50">
        <f t="shared" si="179"/>
        <v>3548.1338923357539</v>
      </c>
      <c r="P273" s="48" t="str">
        <f t="shared" si="144"/>
        <v>5120.19230769231</v>
      </c>
      <c r="Q273" s="17" t="str">
        <f t="shared" si="145"/>
        <v>1+104.179627036074i</v>
      </c>
      <c r="R273" s="17">
        <f t="shared" si="154"/>
        <v>104.18442632838884</v>
      </c>
      <c r="S273" s="17">
        <f t="shared" si="155"/>
        <v>1.5611978158596023</v>
      </c>
      <c r="T273" s="17" t="str">
        <f t="shared" si="146"/>
        <v>1+0.000222712891574897i</v>
      </c>
      <c r="U273" s="17">
        <f t="shared" si="156"/>
        <v>1.0000000248005159</v>
      </c>
      <c r="V273" s="17">
        <f t="shared" si="157"/>
        <v>2.22712887892634E-4</v>
      </c>
      <c r="W273" s="31" t="str">
        <f t="shared" si="147"/>
        <v>1-0.361156040391724i</v>
      </c>
      <c r="X273" s="17">
        <f t="shared" si="158"/>
        <v>1.0632185502103642</v>
      </c>
      <c r="Y273" s="17">
        <f t="shared" si="159"/>
        <v>-0.3465786101758625</v>
      </c>
      <c r="Z273" s="31" t="str">
        <f t="shared" si="148"/>
        <v>0.994964298352823+2.19888831339072i</v>
      </c>
      <c r="AA273" s="17">
        <f t="shared" si="160"/>
        <v>2.4135168882282576</v>
      </c>
      <c r="AB273" s="17">
        <f t="shared" si="161"/>
        <v>1.1458776747394923</v>
      </c>
      <c r="AC273" s="66" t="str">
        <f t="shared" si="162"/>
        <v>-21.5658079835232-1.90621010332903i</v>
      </c>
      <c r="AD273" s="64">
        <f t="shared" si="163"/>
        <v>26.70911364056348</v>
      </c>
      <c r="AE273" s="61">
        <f t="shared" si="164"/>
        <v>-174.94873155870212</v>
      </c>
      <c r="AF273" s="31" t="str">
        <f t="shared" si="149"/>
        <v>-10.0808080808081</v>
      </c>
      <c r="AG273" s="31" t="str">
        <f t="shared" si="165"/>
        <v>22293.5827402299i</v>
      </c>
      <c r="AH273" s="31">
        <f t="shared" si="166"/>
        <v>22293.5827402299</v>
      </c>
      <c r="AI273" s="31">
        <f t="shared" si="167"/>
        <v>1.5707963267948966</v>
      </c>
      <c r="AJ273" s="31" t="str">
        <f t="shared" si="150"/>
        <v>-8.50672268559015+29.9344184078681i</v>
      </c>
      <c r="AK273" s="31">
        <f t="shared" si="168"/>
        <v>31.119667997375018</v>
      </c>
      <c r="AL273" s="31">
        <f t="shared" si="169"/>
        <v>1.8476756742243368</v>
      </c>
      <c r="AM273" s="31" t="str">
        <f t="shared" si="151"/>
        <v>1+22096.5431385387i</v>
      </c>
      <c r="AN273" s="31">
        <f t="shared" si="170"/>
        <v>22096.543161166672</v>
      </c>
      <c r="AO273" s="31">
        <f t="shared" si="171"/>
        <v>1.5707510708472558</v>
      </c>
      <c r="AP273" s="31" t="str">
        <f t="shared" si="152"/>
        <v>1+25.8962257110511i</v>
      </c>
      <c r="AQ273" s="31">
        <f t="shared" si="172"/>
        <v>25.915526351546557</v>
      </c>
      <c r="AR273" s="31">
        <f t="shared" si="173"/>
        <v>1.5321998379147861</v>
      </c>
      <c r="AS273" s="58" t="str">
        <f t="shared" si="174"/>
        <v>-7.91003865335464+2.58204198045834i</v>
      </c>
      <c r="AT273" s="49">
        <f t="shared" si="175"/>
        <v>18.403297881562246</v>
      </c>
      <c r="AU273" s="61">
        <f t="shared" si="176"/>
        <v>161.92197306630501</v>
      </c>
      <c r="AV273" s="58" t="str">
        <f t="shared" si="153"/>
        <v>175.508289250862-40.6056259572128i</v>
      </c>
      <c r="AW273" s="64">
        <f t="shared" si="177"/>
        <v>45.112411522125726</v>
      </c>
      <c r="AX273" s="61">
        <f t="shared" si="178"/>
        <v>-13.026758492397114</v>
      </c>
    </row>
    <row r="274" spans="14:50" x14ac:dyDescent="0.4">
      <c r="N274" s="10">
        <v>56</v>
      </c>
      <c r="O274" s="50">
        <f t="shared" si="179"/>
        <v>3630.7805477010188</v>
      </c>
      <c r="P274" s="48" t="str">
        <f t="shared" si="144"/>
        <v>5120.19230769231</v>
      </c>
      <c r="Q274" s="17" t="str">
        <f t="shared" si="145"/>
        <v>1+106.606282284438i</v>
      </c>
      <c r="R274" s="17">
        <f t="shared" si="154"/>
        <v>106.61097233638419</v>
      </c>
      <c r="S274" s="17">
        <f t="shared" si="155"/>
        <v>1.5614162916783263</v>
      </c>
      <c r="T274" s="17" t="str">
        <f t="shared" si="146"/>
        <v>1+0.000227900541239176i</v>
      </c>
      <c r="U274" s="17">
        <f t="shared" si="156"/>
        <v>1.000000025969328</v>
      </c>
      <c r="V274" s="17">
        <f t="shared" si="157"/>
        <v>2.2790053729356013E-4</v>
      </c>
      <c r="W274" s="31" t="str">
        <f t="shared" si="147"/>
        <v>1-0.369568445252718i</v>
      </c>
      <c r="X274" s="17">
        <f t="shared" si="158"/>
        <v>1.0661054524419764</v>
      </c>
      <c r="Y274" s="17">
        <f t="shared" si="159"/>
        <v>-0.35400027681010093</v>
      </c>
      <c r="Z274" s="31" t="str">
        <f t="shared" si="148"/>
        <v>0.994726973045774+2.25010700190078i</v>
      </c>
      <c r="AA274" s="17">
        <f t="shared" si="160"/>
        <v>2.4601754553095847</v>
      </c>
      <c r="AB274" s="17">
        <f t="shared" si="161"/>
        <v>1.1545482845854356</v>
      </c>
      <c r="AC274" s="66" t="str">
        <f t="shared" si="162"/>
        <v>-20.7585164766054-1.49419026173976i</v>
      </c>
      <c r="AD274" s="64">
        <f t="shared" si="163"/>
        <v>26.366369259101067</v>
      </c>
      <c r="AE274" s="61">
        <f t="shared" si="164"/>
        <v>-175.88297159569649</v>
      </c>
      <c r="AF274" s="31" t="str">
        <f t="shared" si="149"/>
        <v>-10.0808080808081</v>
      </c>
      <c r="AG274" s="31" t="str">
        <f t="shared" si="165"/>
        <v>22812.8669909085i</v>
      </c>
      <c r="AH274" s="31">
        <f t="shared" si="166"/>
        <v>22812.8669909085</v>
      </c>
      <c r="AI274" s="31">
        <f t="shared" si="167"/>
        <v>1.5707963267948966</v>
      </c>
      <c r="AJ274" s="31" t="str">
        <f t="shared" si="150"/>
        <v>-8.95476072248463+30.6316805847715i</v>
      </c>
      <c r="AK274" s="31">
        <f t="shared" si="168"/>
        <v>31.913752443804238</v>
      </c>
      <c r="AL274" s="31">
        <f t="shared" si="169"/>
        <v>1.8552077163163108</v>
      </c>
      <c r="AM274" s="31" t="str">
        <f t="shared" si="151"/>
        <v>1+22611.2377472961i</v>
      </c>
      <c r="AN274" s="31">
        <f t="shared" si="170"/>
        <v>22611.237769408996</v>
      </c>
      <c r="AO274" s="31">
        <f t="shared" si="171"/>
        <v>1.5707521009983911</v>
      </c>
      <c r="AP274" s="31" t="str">
        <f t="shared" si="152"/>
        <v>1+26.4994262966393i</v>
      </c>
      <c r="AQ274" s="31">
        <f t="shared" si="172"/>
        <v>26.518287917039789</v>
      </c>
      <c r="AR274" s="31">
        <f t="shared" si="173"/>
        <v>1.5330775585217564</v>
      </c>
      <c r="AS274" s="58" t="str">
        <f t="shared" si="174"/>
        <v>-7.87530315511261+2.62881022415819i</v>
      </c>
      <c r="AT274" s="49">
        <f t="shared" si="175"/>
        <v>18.384148497526098</v>
      </c>
      <c r="AU274" s="61">
        <f t="shared" si="176"/>
        <v>161.54076755300338</v>
      </c>
      <c r="AV274" s="58" t="str">
        <f t="shared" si="153"/>
        <v>167.407552940567-42.8029990694389i</v>
      </c>
      <c r="AW274" s="64">
        <f t="shared" si="177"/>
        <v>44.750517756627175</v>
      </c>
      <c r="AX274" s="61">
        <f t="shared" si="178"/>
        <v>-14.342204042693087</v>
      </c>
    </row>
    <row r="275" spans="14:50" x14ac:dyDescent="0.4">
      <c r="N275" s="10">
        <v>57</v>
      </c>
      <c r="O275" s="50">
        <f t="shared" si="179"/>
        <v>3715.352290971724</v>
      </c>
      <c r="P275" s="48" t="str">
        <f t="shared" ref="P275:P338" si="180">COMPLEX(Adc,0)</f>
        <v>5120.19230769231</v>
      </c>
      <c r="Q275" s="17" t="str">
        <f t="shared" ref="Q275:Q338" si="181">IMSUM(COMPLEX(1,0),IMDIV(COMPLEX(0,2*PI()*O275),COMPLEX(wp_lf,0)))</f>
        <v>1+109.089461594769i</v>
      </c>
      <c r="R275" s="17">
        <f t="shared" si="154"/>
        <v>109.09404489263648</v>
      </c>
      <c r="S275" s="17">
        <f t="shared" si="155"/>
        <v>1.5616297952455511</v>
      </c>
      <c r="T275" s="17" t="str">
        <f t="shared" ref="T275:T338" si="182">IMSUM(COMPLEX(1,0),IMDIV(COMPLEX(0,2*PI()*O275),COMPLEX(wz_esr,0)))</f>
        <v>1+0.00023320902678704i</v>
      </c>
      <c r="U275" s="17">
        <f t="shared" si="156"/>
        <v>1.0000000271932248</v>
      </c>
      <c r="V275" s="17">
        <f t="shared" si="157"/>
        <v>2.3320902255923642E-4</v>
      </c>
      <c r="W275" s="31" t="str">
        <f t="shared" ref="W275:W338" si="183">IMSUB(COMPLEX(1,0),IMDIV(COMPLEX(0,2*PI()*O275),COMPLEX(wz_rhp,0)))</f>
        <v>1-0.3781768001952i</v>
      </c>
      <c r="X275" s="17">
        <f t="shared" si="158"/>
        <v>1.0691200550947868</v>
      </c>
      <c r="Y275" s="17">
        <f t="shared" si="159"/>
        <v>-0.36155289714718525</v>
      </c>
      <c r="Z275" s="31" t="str">
        <f t="shared" ref="Z275:Z338" si="184">IMSUM(COMPLEX(1,0),IMDIV(COMPLEX(0,2*PI()*O275),COMPLEX(Q*(wsl/2),0)),IMDIV(IMPOWER(COMPLEX(0,2*PI()*O275),2),IMPOWER(COMPLEX(wsl/2,0),2)))</f>
        <v>0.994478462941588+2.30251872692692i</v>
      </c>
      <c r="AA275" s="17">
        <f t="shared" si="160"/>
        <v>2.5081028489884201</v>
      </c>
      <c r="AB275" s="17">
        <f t="shared" si="161"/>
        <v>1.163088314637768</v>
      </c>
      <c r="AC275" s="66" t="str">
        <f t="shared" si="162"/>
        <v>-19.9754163140319-1.1108744498793i</v>
      </c>
      <c r="AD275" s="64">
        <f t="shared" si="163"/>
        <v>26.023327500385275</v>
      </c>
      <c r="AE275" s="61">
        <f t="shared" si="164"/>
        <v>-176.81694124370139</v>
      </c>
      <c r="AF275" s="31" t="str">
        <f t="shared" ref="AF275:AF338" si="185">COMPLEX(Adc_ea_iso,0)</f>
        <v>-10.0808080808081</v>
      </c>
      <c r="AG275" s="31" t="str">
        <f t="shared" si="165"/>
        <v>23344.2469256296i</v>
      </c>
      <c r="AH275" s="31">
        <f t="shared" si="166"/>
        <v>23344.246925629599</v>
      </c>
      <c r="AI275" s="31">
        <f t="shared" si="167"/>
        <v>1.5707963267948966</v>
      </c>
      <c r="AJ275" s="31" t="str">
        <f t="shared" ref="AJ275:AJ338" si="186">IMSUM(IMPRODUCT(COMPLEX(wpA_ea_iso,0),IMPOWER(COMPLEX(0,2*PI()*O275),2)),COMPLEX(0,wpB_ea_iso*2*PI()*O275),COMPLEX(1,0))</f>
        <v>-9.4239141415294+31.345184084179i</v>
      </c>
      <c r="AK275" s="31">
        <f t="shared" si="168"/>
        <v>32.731188842111834</v>
      </c>
      <c r="AL275" s="31">
        <f t="shared" si="169"/>
        <v>1.8628488926758473</v>
      </c>
      <c r="AM275" s="31" t="str">
        <f t="shared" ref="AM275:AM338" si="187">IMSUM(COMPLEX(1,0),IMDIV(COMPLEX(0,2*PI()*O275),COMPLEX(wz1_ea_iso,0)))</f>
        <v>1+23137.9211336022i</v>
      </c>
      <c r="AN275" s="31">
        <f t="shared" si="170"/>
        <v>23137.921155211745</v>
      </c>
      <c r="AO275" s="31">
        <f t="shared" si="171"/>
        <v>1.5707531077004238</v>
      </c>
      <c r="AP275" s="31" t="str">
        <f t="shared" ref="AP275:AP338" si="188">IMSUM(COMPLEX(1,0),IMDIV(COMPLEX(0,2*PI()*O275),COMPLEX(wz2_ea_iso,0)))</f>
        <v>1+27.1166772288114i</v>
      </c>
      <c r="AQ275" s="31">
        <f t="shared" si="172"/>
        <v>27.135109801354016</v>
      </c>
      <c r="AR275" s="31">
        <f t="shared" si="173"/>
        <v>1.5339353559560096</v>
      </c>
      <c r="AS275" s="58" t="str">
        <f t="shared" si="174"/>
        <v>-7.83926091656979+2.6760073036697i</v>
      </c>
      <c r="AT275" s="49">
        <f t="shared" si="175"/>
        <v>18.364192373518311</v>
      </c>
      <c r="AU275" s="61">
        <f t="shared" si="176"/>
        <v>161.15216624952438</v>
      </c>
      <c r="AV275" s="58" t="str">
        <f t="shared" ref="AV275:AV338" si="189">IMPRODUCT(AC275,AS275)</f>
        <v>159.565208544138-44.7459252920375i</v>
      </c>
      <c r="AW275" s="64">
        <f t="shared" si="177"/>
        <v>44.387519873903585</v>
      </c>
      <c r="AX275" s="61">
        <f t="shared" si="178"/>
        <v>-15.664774994177012</v>
      </c>
    </row>
    <row r="276" spans="14:50" x14ac:dyDescent="0.4">
      <c r="N276" s="10">
        <v>58</v>
      </c>
      <c r="O276" s="50">
        <f t="shared" si="179"/>
        <v>3801.8939632056172</v>
      </c>
      <c r="P276" s="48" t="str">
        <f t="shared" si="180"/>
        <v>5120.19230769231</v>
      </c>
      <c r="Q276" s="17" t="str">
        <f t="shared" si="181"/>
        <v>1+111.630481581608i</v>
      </c>
      <c r="R276" s="17">
        <f t="shared" ref="R276:R339" si="190">IMABS(Q276)</f>
        <v>111.63496055511339</v>
      </c>
      <c r="S276" s="17">
        <f t="shared" ref="S276:S339" si="191">IMARGUMENT(Q276)</f>
        <v>1.5618384396857914</v>
      </c>
      <c r="T276" s="17" t="str">
        <f t="shared" si="182"/>
        <v>1+0.000238641162847793i</v>
      </c>
      <c r="U276" s="17">
        <f t="shared" ref="U276:U339" si="192">IMABS(T276)</f>
        <v>1.0000000284748018</v>
      </c>
      <c r="V276" s="17">
        <f t="shared" ref="V276:V339" si="193">IMARGUMENT(T276)</f>
        <v>2.3864115831761986E-4</v>
      </c>
      <c r="W276" s="31" t="str">
        <f t="shared" si="183"/>
        <v>1-0.386985669482906i</v>
      </c>
      <c r="X276" s="17">
        <f t="shared" ref="X276:X339" si="194">IMABS(W276)</f>
        <v>1.0722676477377899</v>
      </c>
      <c r="Y276" s="17">
        <f t="shared" ref="Y276:Y339" si="195">IMARGUMENT(W276)</f>
        <v>-0.36923702815291509</v>
      </c>
      <c r="Z276" s="31" t="str">
        <f t="shared" si="184"/>
        <v>0.994218240917016+2.35615127785952i</v>
      </c>
      <c r="AA276" s="17">
        <f t="shared" ref="AA276:AA339" si="196">IMABS(Z276)</f>
        <v>2.5573264857524887</v>
      </c>
      <c r="AB276" s="17">
        <f t="shared" ref="AB276:AB339" si="197">IMARGUMENT(Z276)</f>
        <v>1.1714974041796165</v>
      </c>
      <c r="AC276" s="66" t="str">
        <f t="shared" ref="AC276:AC339" si="198">(IMDIV(IMPRODUCT(P276,T276,W276),IMPRODUCT(Q276,Z276)))</f>
        <v>-19.2162362572091-0.754786931291925i</v>
      </c>
      <c r="AD276" s="64">
        <f t="shared" ref="AD276:AD339" si="199">20*LOG(IMABS(AC276))</f>
        <v>25.680061761726598</v>
      </c>
      <c r="AE276" s="61">
        <f t="shared" ref="AE276:AE339" si="200">(180/PI())*IMARGUMENT(AC276)</f>
        <v>-177.75065806724268</v>
      </c>
      <c r="AF276" s="31" t="str">
        <f t="shared" si="185"/>
        <v>-10.0808080808081</v>
      </c>
      <c r="AG276" s="31" t="str">
        <f t="shared" ref="AG276:AG339" si="201">COMPLEX(0,1*2*PI()*O276)</f>
        <v>23888.0042890683i</v>
      </c>
      <c r="AH276" s="31">
        <f t="shared" ref="AH276:AH339" si="202">IMABS(AG276)</f>
        <v>23888.0042890683</v>
      </c>
      <c r="AI276" s="31">
        <f t="shared" ref="AI276:AI339" si="203">IMARGUMENT(AG276)</f>
        <v>1.5707963267948966</v>
      </c>
      <c r="AJ276" s="31" t="str">
        <f t="shared" si="186"/>
        <v>-9.915178080027+32.0753072150907i</v>
      </c>
      <c r="AK276" s="31">
        <f t="shared" ref="AK276:AK339" si="204">IMABS(AJ276)</f>
        <v>33.572847500638034</v>
      </c>
      <c r="AL276" s="31">
        <f t="shared" ref="AL276:AL339" si="205">IMARGUMENT(AJ276)</f>
        <v>1.8706006329103306</v>
      </c>
      <c r="AM276" s="31" t="str">
        <f t="shared" si="187"/>
        <v>1+23676.8725519599i</v>
      </c>
      <c r="AN276" s="31">
        <f t="shared" ref="AN276:AN339" si="206">IMABS(AM276)</f>
        <v>23676.872573077551</v>
      </c>
      <c r="AO276" s="31">
        <f t="shared" ref="AO276:AO339" si="207">IMARGUMENT(AM276)</f>
        <v>1.5707540914871205</v>
      </c>
      <c r="AP276" s="31" t="str">
        <f t="shared" si="188"/>
        <v>1+27.7483057821818i</v>
      </c>
      <c r="AQ276" s="31">
        <f t="shared" ref="AQ276:AQ339" si="208">IMABS(AP276)</f>
        <v>27.766319053512728</v>
      </c>
      <c r="AR276" s="31">
        <f t="shared" ref="AR276:AR339" si="209">IMARGUMENT(AP276)</f>
        <v>1.5347736799807647</v>
      </c>
      <c r="AS276" s="58" t="str">
        <f t="shared" ref="AS276:AS339" si="210">IMDIV(IMPRODUCT(AF276,AM276,AP276),IMPRODUCT(AG276,AJ276))</f>
        <v>-7.80187652027271+2.72360336892167i</v>
      </c>
      <c r="AT276" s="49">
        <f t="shared" ref="AT276:AT339" si="211">20*LOG(IMABS(AS276))</f>
        <v>18.343398941734872</v>
      </c>
      <c r="AU276" s="61">
        <f t="shared" ref="AU276:AU339" si="212">(180/PI())*IMARGUMENT(AS276)</f>
        <v>160.75611304551535</v>
      </c>
      <c r="AV276" s="58" t="str">
        <f t="shared" si="189"/>
        <v>151.978442692018-46.4486513710743i</v>
      </c>
      <c r="AW276" s="64">
        <f t="shared" ref="AW276:AW339" si="213">20*LOG(IMABS(AV276))</f>
        <v>44.023460703461495</v>
      </c>
      <c r="AX276" s="61">
        <f t="shared" ref="AX276:AX339" si="214">(180/PI())*IMARGUMENT(AV276)</f>
        <v>-16.994545021727298</v>
      </c>
    </row>
    <row r="277" spans="14:50" x14ac:dyDescent="0.4">
      <c r="N277" s="10">
        <v>59</v>
      </c>
      <c r="O277" s="50">
        <f t="shared" si="179"/>
        <v>3890.451449942811</v>
      </c>
      <c r="P277" s="48" t="str">
        <f t="shared" si="180"/>
        <v>5120.19230769231</v>
      </c>
      <c r="Q277" s="17" t="str">
        <f t="shared" si="181"/>
        <v>1+114.230689527385i</v>
      </c>
      <c r="R277" s="17">
        <f t="shared" si="190"/>
        <v>114.23506655095809</v>
      </c>
      <c r="S277" s="17">
        <f t="shared" si="191"/>
        <v>1.5620423355523867</v>
      </c>
      <c r="T277" s="17" t="str">
        <f t="shared" si="182"/>
        <v>1+0.000244199829611876i</v>
      </c>
      <c r="U277" s="17">
        <f t="shared" si="192"/>
        <v>1.0000000298167779</v>
      </c>
      <c r="V277" s="17">
        <f t="shared" si="193"/>
        <v>2.4419982475770805E-4</v>
      </c>
      <c r="W277" s="31" t="str">
        <f t="shared" si="183"/>
        <v>1-0.395999723694934i</v>
      </c>
      <c r="X277" s="17">
        <f t="shared" si="194"/>
        <v>1.0755537091035781</v>
      </c>
      <c r="Y277" s="17">
        <f t="shared" si="195"/>
        <v>-0.37705311331266222</v>
      </c>
      <c r="Z277" s="31" t="str">
        <f t="shared" si="184"/>
        <v>0.993945755006255+2.41103309138699i</v>
      </c>
      <c r="AA277" s="17">
        <f t="shared" si="196"/>
        <v>2.6078743703748577</v>
      </c>
      <c r="AB277" s="17">
        <f t="shared" si="197"/>
        <v>1.1797753479928073</v>
      </c>
      <c r="AC277" s="66" t="str">
        <f t="shared" si="198"/>
        <v>-18.4806712137666-0.424502776138745i</v>
      </c>
      <c r="AD277" s="64">
        <f t="shared" si="199"/>
        <v>25.336645656079742</v>
      </c>
      <c r="AE277" s="61">
        <f t="shared" si="200"/>
        <v>-178.68414188724256</v>
      </c>
      <c r="AF277" s="31" t="str">
        <f t="shared" si="185"/>
        <v>-10.0808080808081</v>
      </c>
      <c r="AG277" s="31" t="str">
        <f t="shared" si="201"/>
        <v>24444.4273885762i</v>
      </c>
      <c r="AH277" s="31">
        <f t="shared" si="202"/>
        <v>24444.427388576201</v>
      </c>
      <c r="AI277" s="31">
        <f t="shared" si="203"/>
        <v>1.5707963267948966</v>
      </c>
      <c r="AJ277" s="31" t="str">
        <f t="shared" si="186"/>
        <v>-10.4295945746556+32.8224370984546i</v>
      </c>
      <c r="AK277" s="31">
        <f t="shared" si="204"/>
        <v>34.439640243093343</v>
      </c>
      <c r="AL277" s="31">
        <f t="shared" si="205"/>
        <v>1.8784642773166182</v>
      </c>
      <c r="AM277" s="31" t="str">
        <f t="shared" si="187"/>
        <v>1+24228.3777615451i</v>
      </c>
      <c r="AN277" s="31">
        <f t="shared" si="206"/>
        <v>24228.377782182055</v>
      </c>
      <c r="AO277" s="31">
        <f t="shared" si="207"/>
        <v>1.5707550528800982</v>
      </c>
      <c r="AP277" s="31" t="str">
        <f t="shared" si="188"/>
        <v>1+28.3946468545701i</v>
      </c>
      <c r="AQ277" s="31">
        <f t="shared" si="208"/>
        <v>28.412250350786152</v>
      </c>
      <c r="AR277" s="31">
        <f t="shared" si="209"/>
        <v>1.5355929703705187</v>
      </c>
      <c r="AS277" s="58" t="str">
        <f t="shared" si="210"/>
        <v>-7.76311482605497+2.77156628353682i</v>
      </c>
      <c r="AT277" s="49">
        <f t="shared" si="211"/>
        <v>18.32173683438954</v>
      </c>
      <c r="AU277" s="61">
        <f t="shared" si="212"/>
        <v>160.35255637473196</v>
      </c>
      <c r="AV277" s="58" t="str">
        <f t="shared" si="189"/>
        <v>144.644110276653-47.9249414380608i</v>
      </c>
      <c r="AW277" s="64">
        <f t="shared" si="213"/>
        <v>43.6583824904693</v>
      </c>
      <c r="AX277" s="61">
        <f t="shared" si="214"/>
        <v>-18.331585512510564</v>
      </c>
    </row>
    <row r="278" spans="14:50" x14ac:dyDescent="0.4">
      <c r="N278" s="10">
        <v>60</v>
      </c>
      <c r="O278" s="50">
        <f t="shared" si="179"/>
        <v>3981.0717055349769</v>
      </c>
      <c r="P278" s="48" t="str">
        <f t="shared" si="180"/>
        <v>5120.19230769231</v>
      </c>
      <c r="Q278" s="17" t="str">
        <f t="shared" si="181"/>
        <v>1+116.891464096771i</v>
      </c>
      <c r="R278" s="17">
        <f t="shared" si="190"/>
        <v>116.89574149081182</v>
      </c>
      <c r="S278" s="17">
        <f t="shared" si="191"/>
        <v>1.5622415908857719</v>
      </c>
      <c r="T278" s="17" t="str">
        <f t="shared" si="182"/>
        <v>1+0.000249887974357987i</v>
      </c>
      <c r="U278" s="17">
        <f t="shared" si="192"/>
        <v>1.0000000312219994</v>
      </c>
      <c r="V278" s="17">
        <f t="shared" si="193"/>
        <v>2.498879691566523E-4</v>
      </c>
      <c r="W278" s="31" t="str">
        <f t="shared" si="183"/>
        <v>1-0.40522374220214i</v>
      </c>
      <c r="X278" s="17">
        <f t="shared" si="194"/>
        <v>1.0789839114853874</v>
      </c>
      <c r="Y278" s="17">
        <f t="shared" si="195"/>
        <v>-0.38500147583980432</v>
      </c>
      <c r="Z278" s="31" t="str">
        <f t="shared" si="184"/>
        <v>0.993660427230156+2.46719326657331i</v>
      </c>
      <c r="AA278" s="17">
        <f t="shared" si="196"/>
        <v>2.6597751144162349</v>
      </c>
      <c r="AB278" s="17">
        <f t="shared" si="197"/>
        <v>1.1879220896253389</v>
      </c>
      <c r="AC278" s="66" t="str">
        <f t="shared" si="198"/>
        <v>-17.7683853708907-0.118648117058055i</v>
      </c>
      <c r="AD278" s="64">
        <f t="shared" si="199"/>
        <v>24.993152939761679</v>
      </c>
      <c r="AE278" s="61">
        <f t="shared" si="200"/>
        <v>-179.61741400939655</v>
      </c>
      <c r="AF278" s="31" t="str">
        <f t="shared" si="185"/>
        <v>-10.0808080808081</v>
      </c>
      <c r="AG278" s="31" t="str">
        <f t="shared" si="201"/>
        <v>25013.8112470457i</v>
      </c>
      <c r="AH278" s="31">
        <f t="shared" si="202"/>
        <v>25013.811247045702</v>
      </c>
      <c r="AI278" s="31">
        <f t="shared" si="203"/>
        <v>1.5707963267948966</v>
      </c>
      <c r="AJ278" s="31" t="str">
        <f t="shared" si="186"/>
        <v>-10.9682547717695+33.5869698724245i</v>
      </c>
      <c r="AK278" s="31">
        <f t="shared" si="204"/>
        <v>35.332522666087613</v>
      </c>
      <c r="AL278" s="31">
        <f t="shared" si="205"/>
        <v>1.8864410709218991</v>
      </c>
      <c r="AM278" s="31" t="str">
        <f t="shared" si="187"/>
        <v>1+24792.7291777199i</v>
      </c>
      <c r="AN278" s="31">
        <f t="shared" si="206"/>
        <v>24792.729197887096</v>
      </c>
      <c r="AO278" s="31">
        <f t="shared" si="207"/>
        <v>1.5707559923891001</v>
      </c>
      <c r="AP278" s="31" t="str">
        <f t="shared" si="188"/>
        <v>1+29.0560431445683i</v>
      </c>
      <c r="AQ278" s="31">
        <f t="shared" si="208"/>
        <v>29.073246176149897</v>
      </c>
      <c r="AR278" s="31">
        <f t="shared" si="209"/>
        <v>1.5363936571218653</v>
      </c>
      <c r="AS278" s="58" t="str">
        <f t="shared" si="210"/>
        <v>-7.72294109693211+2.81986156034912i</v>
      </c>
      <c r="AT278" s="49">
        <f t="shared" si="211"/>
        <v>18.299173891095041</v>
      </c>
      <c r="AU278" s="61">
        <f t="shared" si="212"/>
        <v>159.94144956856726</v>
      </c>
      <c r="AV278" s="58" t="str">
        <f t="shared" si="189"/>
        <v>137.558764871479-49.1880744775431i</v>
      </c>
      <c r="AW278" s="64">
        <f t="shared" si="213"/>
        <v>43.292326830856723</v>
      </c>
      <c r="AX278" s="61">
        <f t="shared" si="214"/>
        <v>-19.675964440829322</v>
      </c>
    </row>
    <row r="279" spans="14:50" x14ac:dyDescent="0.4">
      <c r="N279" s="10">
        <v>61</v>
      </c>
      <c r="O279" s="50">
        <f t="shared" si="179"/>
        <v>4073.8027780411317</v>
      </c>
      <c r="P279" s="48" t="str">
        <f t="shared" si="180"/>
        <v>5120.19230769231</v>
      </c>
      <c r="Q279" s="17" t="str">
        <f t="shared" si="181"/>
        <v>1+119.614216067664i</v>
      </c>
      <c r="R279" s="17">
        <f t="shared" si="190"/>
        <v>119.61839609977142</v>
      </c>
      <c r="S279" s="17">
        <f t="shared" si="191"/>
        <v>1.5624363112704382</v>
      </c>
      <c r="T279" s="17" t="str">
        <f t="shared" si="182"/>
        <v>1+0.000255708613015761i</v>
      </c>
      <c r="U279" s="17">
        <f t="shared" si="192"/>
        <v>1.0000000326934468</v>
      </c>
      <c r="V279" s="17">
        <f t="shared" si="193"/>
        <v>2.557086074424305E-4</v>
      </c>
      <c r="W279" s="31" t="str">
        <f t="shared" si="183"/>
        <v>1-0.414662615701233i</v>
      </c>
      <c r="X279" s="17">
        <f t="shared" si="194"/>
        <v>1.0825641250568894</v>
      </c>
      <c r="Y279" s="17">
        <f t="shared" si="195"/>
        <v>-0.39308231182747605</v>
      </c>
      <c r="Z279" s="31" t="str">
        <f t="shared" si="184"/>
        <v>0.99336165237025+2.52466158028673i</v>
      </c>
      <c r="AA279" s="17">
        <f t="shared" si="196"/>
        <v>2.7130579550344369</v>
      </c>
      <c r="AB279" s="17">
        <f t="shared" si="197"/>
        <v>1.1959377145793471</v>
      </c>
      <c r="AC279" s="66" t="str">
        <f t="shared" si="198"/>
        <v>-17.0790152445187+0.164099809249146i</v>
      </c>
      <c r="AD279" s="64">
        <f t="shared" si="199"/>
        <v>24.649657440816686</v>
      </c>
      <c r="AE279" s="61">
        <f t="shared" si="200"/>
        <v>179.44950355532944</v>
      </c>
      <c r="AF279" s="31" t="str">
        <f t="shared" si="185"/>
        <v>-10.0808080808081</v>
      </c>
      <c r="AG279" s="31" t="str">
        <f t="shared" si="201"/>
        <v>25596.4577593354i</v>
      </c>
      <c r="AH279" s="31">
        <f t="shared" si="202"/>
        <v>25596.457759335401</v>
      </c>
      <c r="AI279" s="31">
        <f t="shared" si="203"/>
        <v>1.5707963267948966</v>
      </c>
      <c r="AJ279" s="31" t="str">
        <f t="shared" si="186"/>
        <v>-11.5323012418663+34.3693109023968i</v>
      </c>
      <c r="AK279" s="31">
        <f t="shared" si="204"/>
        <v>36.252496518705605</v>
      </c>
      <c r="AL279" s="31">
        <f t="shared" si="205"/>
        <v>1.8945321573581737</v>
      </c>
      <c r="AM279" s="31" t="str">
        <f t="shared" si="187"/>
        <v>1+25370.2260270754i</v>
      </c>
      <c r="AN279" s="31">
        <f t="shared" si="206"/>
        <v>25370.226046783544</v>
      </c>
      <c r="AO279" s="31">
        <f t="shared" si="207"/>
        <v>1.5707569105122661</v>
      </c>
      <c r="AP279" s="31" t="str">
        <f t="shared" si="188"/>
        <v>1+29.732845333244i</v>
      </c>
      <c r="AQ279" s="31">
        <f t="shared" si="208"/>
        <v>29.749656999881687</v>
      </c>
      <c r="AR279" s="31">
        <f t="shared" si="209"/>
        <v>1.5371761606606147</v>
      </c>
      <c r="AS279" s="58" t="str">
        <f t="shared" si="210"/>
        <v>-7.68132113401694+2.86845230229669i</v>
      </c>
      <c r="AT279" s="49">
        <f t="shared" si="211"/>
        <v>18.275677169251981</v>
      </c>
      <c r="AU279" s="61">
        <f t="shared" si="212"/>
        <v>159.52275121890005</v>
      </c>
      <c r="AV279" s="58" t="str">
        <f t="shared" si="189"/>
        <v>130.718688270272-50.2508439319735i</v>
      </c>
      <c r="AW279" s="64">
        <f t="shared" si="213"/>
        <v>42.925334610068674</v>
      </c>
      <c r="AX279" s="61">
        <f t="shared" si="214"/>
        <v>-21.02774522577046</v>
      </c>
    </row>
    <row r="280" spans="14:50" x14ac:dyDescent="0.4">
      <c r="N280" s="10">
        <v>62</v>
      </c>
      <c r="O280" s="50">
        <f t="shared" si="179"/>
        <v>4168.6938347033583</v>
      </c>
      <c r="P280" s="48" t="str">
        <f t="shared" si="180"/>
        <v>5120.19230769231</v>
      </c>
      <c r="Q280" s="17" t="str">
        <f t="shared" si="181"/>
        <v>1+122.400389079196i</v>
      </c>
      <c r="R280" s="17">
        <f t="shared" si="190"/>
        <v>122.40447396536845</v>
      </c>
      <c r="S280" s="17">
        <f t="shared" si="191"/>
        <v>1.5626265998906128</v>
      </c>
      <c r="T280" s="17" t="str">
        <f t="shared" si="182"/>
        <v>1+0.00026166483176486i</v>
      </c>
      <c r="U280" s="17">
        <f t="shared" si="192"/>
        <v>1.0000000342342414</v>
      </c>
      <c r="V280" s="17">
        <f t="shared" si="193"/>
        <v>2.6166482579292877E-4</v>
      </c>
      <c r="W280" s="31" t="str">
        <f t="shared" si="183"/>
        <v>1-0.42432134880788i</v>
      </c>
      <c r="X280" s="17">
        <f t="shared" si="194"/>
        <v>1.0863004220997701</v>
      </c>
      <c r="Y280" s="17">
        <f t="shared" si="195"/>
        <v>-0.4012956833728164</v>
      </c>
      <c r="Z280" s="31" t="str">
        <f t="shared" si="184"/>
        <v>0.993048796685002+2.58346850298787i</v>
      </c>
      <c r="AA280" s="17">
        <f t="shared" si="196"/>
        <v>2.7677527740981338</v>
      </c>
      <c r="AB280" s="17">
        <f t="shared" si="197"/>
        <v>1.2038224434577076</v>
      </c>
      <c r="AC280" s="66" t="str">
        <f t="shared" si="198"/>
        <v>-16.4121726316145+0.425012818764487i</v>
      </c>
      <c r="AD280" s="64">
        <f t="shared" si="199"/>
        <v>24.306232987710818</v>
      </c>
      <c r="AE280" s="61">
        <f t="shared" si="200"/>
        <v>178.51658887422155</v>
      </c>
      <c r="AF280" s="31" t="str">
        <f t="shared" si="185"/>
        <v>-10.0808080808081</v>
      </c>
      <c r="AG280" s="31" t="str">
        <f t="shared" si="201"/>
        <v>26192.6758523383i</v>
      </c>
      <c r="AH280" s="31">
        <f t="shared" si="202"/>
        <v>26192.6758523383</v>
      </c>
      <c r="AI280" s="31">
        <f t="shared" si="203"/>
        <v>1.5707963267948966</v>
      </c>
      <c r="AJ280" s="31" t="str">
        <f t="shared" si="186"/>
        <v>-12.122930403132+35.1698749959411i</v>
      </c>
      <c r="AK280" s="31">
        <f t="shared" si="204"/>
        <v>37.200612209872368</v>
      </c>
      <c r="AL280" s="31">
        <f t="shared" si="205"/>
        <v>1.9027385725857966</v>
      </c>
      <c r="AM280" s="31" t="str">
        <f t="shared" si="187"/>
        <v>1+25961.1745060851i</v>
      </c>
      <c r="AN280" s="31">
        <f t="shared" si="206"/>
        <v>25961.174525344624</v>
      </c>
      <c r="AO280" s="31">
        <f t="shared" si="207"/>
        <v>1.5707578077363975</v>
      </c>
      <c r="AP280" s="31" t="str">
        <f t="shared" si="188"/>
        <v>1+30.4254122700762i</v>
      </c>
      <c r="AQ280" s="31">
        <f t="shared" si="208"/>
        <v>30.441841465392717</v>
      </c>
      <c r="AR280" s="31">
        <f t="shared" si="209"/>
        <v>1.5379408920452218</v>
      </c>
      <c r="AS280" s="58" t="str">
        <f t="shared" si="210"/>
        <v>-7.63822142047073+2.91729914960611i</v>
      </c>
      <c r="AT280" s="49">
        <f t="shared" si="211"/>
        <v>18.251212957650861</v>
      </c>
      <c r="AU280" s="61">
        <f t="shared" si="212"/>
        <v>159.09642554938054</v>
      </c>
      <c r="AV280" s="58" t="str">
        <f t="shared" si="189"/>
        <v>124.119919016508-51.1255592776592i</v>
      </c>
      <c r="AW280" s="64">
        <f t="shared" si="213"/>
        <v>42.557445945361685</v>
      </c>
      <c r="AX280" s="61">
        <f t="shared" si="214"/>
        <v>-22.386985576397908</v>
      </c>
    </row>
    <row r="281" spans="14:50" x14ac:dyDescent="0.4">
      <c r="N281" s="10">
        <v>63</v>
      </c>
      <c r="O281" s="50">
        <f t="shared" si="179"/>
        <v>4265.7951880159299</v>
      </c>
      <c r="P281" s="48" t="str">
        <f t="shared" si="180"/>
        <v>5120.19230769231</v>
      </c>
      <c r="Q281" s="17" t="str">
        <f t="shared" si="181"/>
        <v>1+125.251460397179i</v>
      </c>
      <c r="R281" s="17">
        <f t="shared" si="190"/>
        <v>125.25545230298799</v>
      </c>
      <c r="S281" s="17">
        <f t="shared" si="191"/>
        <v>1.562812557584687</v>
      </c>
      <c r="T281" s="17" t="str">
        <f t="shared" si="182"/>
        <v>1+0.000267759788671303i</v>
      </c>
      <c r="U281" s="17">
        <f t="shared" si="192"/>
        <v>1.0000000358476515</v>
      </c>
      <c r="V281" s="17">
        <f t="shared" si="193"/>
        <v>2.6775978227226347E-4</v>
      </c>
      <c r="W281" s="31" t="str">
        <f t="shared" si="183"/>
        <v>1-0.434205062710221i</v>
      </c>
      <c r="X281" s="17">
        <f t="shared" si="194"/>
        <v>1.090199081123804</v>
      </c>
      <c r="Y281" s="17">
        <f t="shared" si="195"/>
        <v>-0.40964151170586427</v>
      </c>
      <c r="Z281" s="31" t="str">
        <f t="shared" si="184"/>
        <v>0.99272119656556+2.64364521488554i</v>
      </c>
      <c r="AA281" s="17">
        <f t="shared" si="196"/>
        <v>2.8238901176033333</v>
      </c>
      <c r="AB281" s="17">
        <f t="shared" si="197"/>
        <v>1.2115766251045104</v>
      </c>
      <c r="AC281" s="66" t="str">
        <f t="shared" si="198"/>
        <v>-15.7674474547788+0.665312119024596i</v>
      </c>
      <c r="AD281" s="64">
        <f t="shared" si="199"/>
        <v>23.962953338030978</v>
      </c>
      <c r="AE281" s="61">
        <f t="shared" si="200"/>
        <v>177.58382087650168</v>
      </c>
      <c r="AF281" s="31" t="str">
        <f t="shared" si="185"/>
        <v>-10.0808080808081</v>
      </c>
      <c r="AG281" s="31" t="str">
        <f t="shared" si="201"/>
        <v>26802.7816487791i</v>
      </c>
      <c r="AH281" s="31">
        <f t="shared" si="202"/>
        <v>26802.781648779099</v>
      </c>
      <c r="AI281" s="31">
        <f t="shared" si="203"/>
        <v>1.5707963267948966</v>
      </c>
      <c r="AJ281" s="31" t="str">
        <f t="shared" si="186"/>
        <v>-12.7413950592046+35.9890866227367i</v>
      </c>
      <c r="AK281" s="31">
        <f t="shared" si="204"/>
        <v>38.177971449431006</v>
      </c>
      <c r="AL281" s="31">
        <f t="shared" si="205"/>
        <v>1.911061238483992</v>
      </c>
      <c r="AM281" s="31" t="str">
        <f t="shared" si="187"/>
        <v>1+26565.8879434546i</v>
      </c>
      <c r="AN281" s="31">
        <f t="shared" si="206"/>
        <v>26565.887962275727</v>
      </c>
      <c r="AO281" s="31">
        <f t="shared" si="207"/>
        <v>1.5707586845372143</v>
      </c>
      <c r="AP281" s="31" t="str">
        <f t="shared" si="188"/>
        <v>1+31.1341111632218i</v>
      </c>
      <c r="AQ281" s="31">
        <f t="shared" si="208"/>
        <v>31.150166579391708</v>
      </c>
      <c r="AR281" s="31">
        <f t="shared" si="209"/>
        <v>1.5386882531665378</v>
      </c>
      <c r="AS281" s="58" t="str">
        <f t="shared" si="210"/>
        <v>-7.59360927442942+2.96636023423371i</v>
      </c>
      <c r="AT281" s="49">
        <f t="shared" si="211"/>
        <v>18.225746793493734</v>
      </c>
      <c r="AU281" s="61">
        <f t="shared" si="212"/>
        <v>158.66244279412638</v>
      </c>
      <c r="AV281" s="58" t="str">
        <f t="shared" si="189"/>
        <v>117.758279813459-51.8240494026408i</v>
      </c>
      <c r="AW281" s="64">
        <f t="shared" si="213"/>
        <v>42.188700131524747</v>
      </c>
      <c r="AX281" s="61">
        <f t="shared" si="214"/>
        <v>-23.753736329371851</v>
      </c>
    </row>
    <row r="282" spans="14:50" x14ac:dyDescent="0.4">
      <c r="N282" s="10">
        <v>64</v>
      </c>
      <c r="O282" s="50">
        <f t="shared" si="179"/>
        <v>4365.1583224016631</v>
      </c>
      <c r="P282" s="48" t="str">
        <f t="shared" si="180"/>
        <v>5120.19230769231</v>
      </c>
      <c r="Q282" s="17" t="str">
        <f t="shared" si="181"/>
        <v>1+128.168941697364i</v>
      </c>
      <c r="R282" s="17">
        <f t="shared" si="190"/>
        <v>128.17284273910093</v>
      </c>
      <c r="S282" s="17">
        <f t="shared" si="191"/>
        <v>1.5629942828984182</v>
      </c>
      <c r="T282" s="17" t="str">
        <f t="shared" si="182"/>
        <v>1+0.00027399671536192i</v>
      </c>
      <c r="U282" s="17">
        <f t="shared" si="192"/>
        <v>1.0000000375370992</v>
      </c>
      <c r="V282" s="17">
        <f t="shared" si="193"/>
        <v>2.7399670850522561E-4</v>
      </c>
      <c r="W282" s="31" t="str">
        <f t="shared" si="183"/>
        <v>1-0.444318997884194i</v>
      </c>
      <c r="X282" s="17">
        <f t="shared" si="194"/>
        <v>1.09426659086386</v>
      </c>
      <c r="Y282" s="17">
        <f t="shared" si="195"/>
        <v>-0.41811957035815966</v>
      </c>
      <c r="Z282" s="31" t="str">
        <f t="shared" si="184"/>
        <v>0.992378157128147+2.70522362246891i</v>
      </c>
      <c r="AA282" s="17">
        <f t="shared" si="196"/>
        <v>2.8815012153925714</v>
      </c>
      <c r="AB282" s="17">
        <f t="shared" si="197"/>
        <v>1.2192007297717142</v>
      </c>
      <c r="AC282" s="66" t="str">
        <f t="shared" si="198"/>
        <v>-15.1444104903922+0.88616881386879i</v>
      </c>
      <c r="AD282" s="64">
        <f t="shared" si="199"/>
        <v>23.619892106867152</v>
      </c>
      <c r="AE282" s="61">
        <f t="shared" si="200"/>
        <v>176.65118013330681</v>
      </c>
      <c r="AF282" s="31" t="str">
        <f t="shared" si="185"/>
        <v>-10.0808080808081</v>
      </c>
      <c r="AG282" s="31" t="str">
        <f t="shared" si="201"/>
        <v>27427.0986348268i</v>
      </c>
      <c r="AH282" s="31">
        <f t="shared" si="202"/>
        <v>27427.098634826802</v>
      </c>
      <c r="AI282" s="31">
        <f t="shared" si="203"/>
        <v>1.5707963267948966</v>
      </c>
      <c r="AJ282" s="31" t="str">
        <f t="shared" si="186"/>
        <v>-13.3890070565387+36.8273801396315i</v>
      </c>
      <c r="AK282" s="31">
        <f t="shared" si="204"/>
        <v>39.185730029042048</v>
      </c>
      <c r="AL282" s="31">
        <f t="shared" si="205"/>
        <v>1.9195009563288428</v>
      </c>
      <c r="AM282" s="31" t="str">
        <f t="shared" si="187"/>
        <v>1+27184.6869662528i</v>
      </c>
      <c r="AN282" s="31">
        <f t="shared" si="206"/>
        <v>27184.686984645505</v>
      </c>
      <c r="AO282" s="31">
        <f t="shared" si="207"/>
        <v>1.5707595413796078</v>
      </c>
      <c r="AP282" s="31" t="str">
        <f t="shared" si="188"/>
        <v>1+31.8593177742148i</v>
      </c>
      <c r="AQ282" s="31">
        <f t="shared" si="208"/>
        <v>31.87500790648371</v>
      </c>
      <c r="AR282" s="31">
        <f t="shared" si="209"/>
        <v>1.5394186369439129</v>
      </c>
      <c r="AS282" s="58" t="str">
        <f t="shared" si="210"/>
        <v>-7.54745301075681+3.01559114257326i</v>
      </c>
      <c r="AT282" s="49">
        <f t="shared" si="211"/>
        <v>18.199243483039076</v>
      </c>
      <c r="AU282" s="61">
        <f t="shared" si="212"/>
        <v>158.22077958265632</v>
      </c>
      <c r="AV282" s="58" t="str">
        <f t="shared" si="189"/>
        <v>111.62940372592-52.3576676165931i</v>
      </c>
      <c r="AW282" s="64">
        <f t="shared" si="213"/>
        <v>41.81913558990621</v>
      </c>
      <c r="AX282" s="61">
        <f t="shared" si="214"/>
        <v>-25.128040284036913</v>
      </c>
    </row>
    <row r="283" spans="14:50" x14ac:dyDescent="0.4">
      <c r="N283" s="10">
        <v>65</v>
      </c>
      <c r="O283" s="50">
        <f t="shared" si="179"/>
        <v>4466.8359215096343</v>
      </c>
      <c r="P283" s="48" t="str">
        <f t="shared" si="180"/>
        <v>5120.19230769231</v>
      </c>
      <c r="Q283" s="17" t="str">
        <f t="shared" si="181"/>
        <v>1+131.154379866953i</v>
      </c>
      <c r="R283" s="17">
        <f t="shared" si="190"/>
        <v>131.1581921127499</v>
      </c>
      <c r="S283" s="17">
        <f t="shared" si="191"/>
        <v>1.5631718721369352</v>
      </c>
      <c r="T283" s="17" t="str">
        <f t="shared" si="182"/>
        <v>1+0.000280378918737797i</v>
      </c>
      <c r="U283" s="17">
        <f t="shared" si="192"/>
        <v>1.0000000393061683</v>
      </c>
      <c r="V283" s="17">
        <f t="shared" si="193"/>
        <v>2.803789113907166E-4</v>
      </c>
      <c r="W283" s="31" t="str">
        <f t="shared" si="183"/>
        <v>1-0.454668516872103i</v>
      </c>
      <c r="X283" s="17">
        <f t="shared" si="194"/>
        <v>1.0985096541381318</v>
      </c>
      <c r="Y283" s="17">
        <f t="shared" si="195"/>
        <v>-0.42672947840901859</v>
      </c>
      <c r="Z283" s="31" t="str">
        <f t="shared" si="184"/>
        <v>0.992018950740124+2.7682363754248i</v>
      </c>
      <c r="AA283" s="17">
        <f t="shared" si="196"/>
        <v>2.9406180011780809</v>
      </c>
      <c r="AB283" s="17">
        <f t="shared" si="197"/>
        <v>1.2266953423413536</v>
      </c>
      <c r="AC283" s="66" t="str">
        <f t="shared" si="198"/>
        <v>-14.542615973307+1.08870455794091i</v>
      </c>
      <c r="AD283" s="64">
        <f t="shared" si="199"/>
        <v>23.277122694558727</v>
      </c>
      <c r="AE283" s="61">
        <f t="shared" si="200"/>
        <v>175.71864963010623</v>
      </c>
      <c r="AF283" s="31" t="str">
        <f t="shared" si="185"/>
        <v>-10.0808080808081</v>
      </c>
      <c r="AG283" s="31" t="str">
        <f t="shared" si="201"/>
        <v>28065.9578316113i</v>
      </c>
      <c r="AH283" s="31">
        <f t="shared" si="202"/>
        <v>28065.9578316113</v>
      </c>
      <c r="AI283" s="31">
        <f t="shared" si="203"/>
        <v>1.5707963267948966</v>
      </c>
      <c r="AJ283" s="31" t="str">
        <f t="shared" si="186"/>
        <v>-14.0671400670075+37.6852000209443i</v>
      </c>
      <c r="AK283" s="31">
        <f t="shared" si="204"/>
        <v>40.225100749201211</v>
      </c>
      <c r="AL283" s="31">
        <f t="shared" si="205"/>
        <v>1.9280584001819594</v>
      </c>
      <c r="AM283" s="31" t="str">
        <f t="shared" si="187"/>
        <v>1+27817.8996699125i</v>
      </c>
      <c r="AN283" s="31">
        <f t="shared" si="206"/>
        <v>27817.899687886533</v>
      </c>
      <c r="AO283" s="31">
        <f t="shared" si="207"/>
        <v>1.5707603787178874</v>
      </c>
      <c r="AP283" s="31" t="str">
        <f t="shared" si="188"/>
        <v>1+32.6014166171997i</v>
      </c>
      <c r="AQ283" s="31">
        <f t="shared" si="208"/>
        <v>32.616749768305013</v>
      </c>
      <c r="AR283" s="31">
        <f t="shared" si="209"/>
        <v>1.540132427517664</v>
      </c>
      <c r="AS283" s="58" t="str">
        <f t="shared" si="210"/>
        <v>-7.49972211137946+3.064944887477i</v>
      </c>
      <c r="AT283" s="49">
        <f t="shared" si="211"/>
        <v>18.171667126067948</v>
      </c>
      <c r="AU283" s="61">
        <f t="shared" si="212"/>
        <v>157.7714193297343</v>
      </c>
      <c r="AV283" s="58" t="str">
        <f t="shared" si="189"/>
        <v>105.728759103477-52.7372981238777i</v>
      </c>
      <c r="AW283" s="64">
        <f t="shared" si="213"/>
        <v>41.4487898206267</v>
      </c>
      <c r="AX283" s="61">
        <f t="shared" si="214"/>
        <v>-26.509931040159415</v>
      </c>
    </row>
    <row r="284" spans="14:50" x14ac:dyDescent="0.4">
      <c r="N284" s="10">
        <v>66</v>
      </c>
      <c r="O284" s="50">
        <f t="shared" ref="O284:O318" si="215">10^(3+(N284/100))</f>
        <v>4570.8818961487532</v>
      </c>
      <c r="P284" s="48" t="str">
        <f t="shared" si="180"/>
        <v>5120.19230769231</v>
      </c>
      <c r="Q284" s="17" t="str">
        <f t="shared" si="181"/>
        <v>1+134.209357824781i</v>
      </c>
      <c r="R284" s="17">
        <f t="shared" si="190"/>
        <v>134.21308329570596</v>
      </c>
      <c r="S284" s="17">
        <f t="shared" si="191"/>
        <v>1.5633454194155707</v>
      </c>
      <c r="T284" s="17" t="str">
        <f t="shared" si="182"/>
        <v>1+0.000286909782727643i</v>
      </c>
      <c r="U284" s="17">
        <f t="shared" si="192"/>
        <v>1.000000041158611</v>
      </c>
      <c r="V284" s="17">
        <f t="shared" si="193"/>
        <v>2.8690977485510452E-4</v>
      </c>
      <c r="W284" s="31" t="str">
        <f t="shared" si="183"/>
        <v>1-0.465259107125907i</v>
      </c>
      <c r="X284" s="17">
        <f t="shared" si="194"/>
        <v>1.1029351915518864</v>
      </c>
      <c r="Y284" s="17">
        <f t="shared" si="195"/>
        <v>-0.4354706938503014</v>
      </c>
      <c r="Z284" s="31" t="str">
        <f t="shared" si="184"/>
        <v>0.991642815476584+2.83271688394887i</v>
      </c>
      <c r="AA284" s="17">
        <f t="shared" si="196"/>
        <v>3.001273132871336</v>
      </c>
      <c r="AB284" s="17">
        <f t="shared" si="197"/>
        <v>1.2340611556297731</v>
      </c>
      <c r="AC284" s="66" t="str">
        <f t="shared" si="198"/>
        <v>-13.9616040728106+1.27399234511801i</v>
      </c>
      <c r="AD284" s="64">
        <f t="shared" si="199"/>
        <v>22.934718213500002</v>
      </c>
      <c r="AE284" s="61">
        <f t="shared" si="200"/>
        <v>174.78621552769957</v>
      </c>
      <c r="AF284" s="31" t="str">
        <f t="shared" si="185"/>
        <v>-10.0808080808081</v>
      </c>
      <c r="AG284" s="31" t="str">
        <f t="shared" si="201"/>
        <v>28719.697970735i</v>
      </c>
      <c r="AH284" s="31">
        <f t="shared" si="202"/>
        <v>28719.697970735</v>
      </c>
      <c r="AI284" s="31">
        <f t="shared" si="203"/>
        <v>1.5707963267948966</v>
      </c>
      <c r="AJ284" s="31" t="str">
        <f t="shared" si="186"/>
        <v>-14.7772325016451+38.5630010941308i</v>
      </c>
      <c r="AK284" s="31">
        <f t="shared" si="204"/>
        <v>41.297356498856068</v>
      </c>
      <c r="AL284" s="31">
        <f t="shared" si="205"/>
        <v>1.936734110215895</v>
      </c>
      <c r="AM284" s="31" t="str">
        <f t="shared" si="187"/>
        <v>1+28465.8617921906i</v>
      </c>
      <c r="AN284" s="31">
        <f t="shared" si="206"/>
        <v>28465.861809755497</v>
      </c>
      <c r="AO284" s="31">
        <f t="shared" si="207"/>
        <v>1.5707611969960207</v>
      </c>
      <c r="AP284" s="31" t="str">
        <f t="shared" si="188"/>
        <v>1+33.3608011628058i</v>
      </c>
      <c r="AQ284" s="31">
        <f t="shared" si="208"/>
        <v>33.375785447300927</v>
      </c>
      <c r="AR284" s="31">
        <f t="shared" si="209"/>
        <v>1.5408300004379443</v>
      </c>
      <c r="AS284" s="58" t="str">
        <f t="shared" si="210"/>
        <v>-7.4503874038546+3.11437189066957i</v>
      </c>
      <c r="AT284" s="49">
        <f t="shared" si="211"/>
        <v>18.142981144365383</v>
      </c>
      <c r="AU284" s="61">
        <f t="shared" si="212"/>
        <v>157.31435262862863</v>
      </c>
      <c r="AV284" s="58" t="str">
        <f t="shared" si="189"/>
        <v>100.051673173109-52.9733637936935i</v>
      </c>
      <c r="AW284" s="64">
        <f t="shared" si="213"/>
        <v>41.077699357865356</v>
      </c>
      <c r="AX284" s="61">
        <f t="shared" si="214"/>
        <v>-27.899431843671884</v>
      </c>
    </row>
    <row r="285" spans="14:50" x14ac:dyDescent="0.4">
      <c r="N285" s="10">
        <v>67</v>
      </c>
      <c r="O285" s="50">
        <f t="shared" si="215"/>
        <v>4677.3514128719844</v>
      </c>
      <c r="P285" s="48" t="str">
        <f t="shared" si="180"/>
        <v>5120.19230769231</v>
      </c>
      <c r="Q285" s="17" t="str">
        <f t="shared" si="181"/>
        <v>1+137.335495360598i</v>
      </c>
      <c r="R285" s="17">
        <f t="shared" si="190"/>
        <v>137.33913603172562</v>
      </c>
      <c r="S285" s="17">
        <f t="shared" si="191"/>
        <v>1.5635150167095488</v>
      </c>
      <c r="T285" s="17" t="str">
        <f t="shared" si="182"/>
        <v>1+0.000293592770081991i</v>
      </c>
      <c r="U285" s="17">
        <f t="shared" si="192"/>
        <v>1.0000000430983564</v>
      </c>
      <c r="V285" s="17">
        <f t="shared" si="193"/>
        <v>2.9359276164641398E-4</v>
      </c>
      <c r="W285" s="31" t="str">
        <f t="shared" si="183"/>
        <v>1-0.476096383916741i</v>
      </c>
      <c r="X285" s="17">
        <f t="shared" si="194"/>
        <v>1.1075503450311397</v>
      </c>
      <c r="Y285" s="17">
        <f t="shared" si="195"/>
        <v>-0.44434250711323348</v>
      </c>
      <c r="Z285" s="31" t="str">
        <f t="shared" si="184"/>
        <v>0.991248953504202+2.89869933646025i</v>
      </c>
      <c r="AA285" s="17">
        <f t="shared" si="196"/>
        <v>3.0635000132231553</v>
      </c>
      <c r="AB285" s="17">
        <f t="shared" si="197"/>
        <v>1.2412989637976026</v>
      </c>
      <c r="AC285" s="66" t="str">
        <f t="shared" si="198"/>
        <v>-13.4009032361507+1.443057415469i</v>
      </c>
      <c r="AD285" s="64">
        <f t="shared" si="199"/>
        <v>22.592751413716023</v>
      </c>
      <c r="AE285" s="61">
        <f t="shared" si="200"/>
        <v>173.85386790793936</v>
      </c>
      <c r="AF285" s="31" t="str">
        <f t="shared" si="185"/>
        <v>-10.0808080808081</v>
      </c>
      <c r="AG285" s="31" t="str">
        <f t="shared" si="201"/>
        <v>29388.6656738729i</v>
      </c>
      <c r="AH285" s="31">
        <f t="shared" si="202"/>
        <v>29388.6656738729</v>
      </c>
      <c r="AI285" s="31">
        <f t="shared" si="203"/>
        <v>1.5707963267948966</v>
      </c>
      <c r="AJ285" s="31" t="str">
        <f t="shared" si="186"/>
        <v>-15.5207905617091+39.4612487809391i</v>
      </c>
      <c r="AK285" s="31">
        <f t="shared" si="204"/>
        <v>42.403833494291597</v>
      </c>
      <c r="AL285" s="31">
        <f t="shared" si="205"/>
        <v>1.9455284860052053</v>
      </c>
      <c r="AM285" s="31" t="str">
        <f t="shared" si="187"/>
        <v>1+29128.916891181i</v>
      </c>
      <c r="AN285" s="31">
        <f t="shared" si="206"/>
        <v>29128.916908346077</v>
      </c>
      <c r="AO285" s="31">
        <f t="shared" si="207"/>
        <v>1.5707619966478699</v>
      </c>
      <c r="AP285" s="31" t="str">
        <f t="shared" si="188"/>
        <v>1+34.1378740467708i</v>
      </c>
      <c r="AQ285" s="31">
        <f t="shared" si="208"/>
        <v>34.152517395254883</v>
      </c>
      <c r="AR285" s="31">
        <f t="shared" si="209"/>
        <v>1.5415117228500395</v>
      </c>
      <c r="AS285" s="58" t="str">
        <f t="shared" si="210"/>
        <v>-7.39942124770579+3.16381997665367i</v>
      </c>
      <c r="AT285" s="49">
        <f t="shared" si="211"/>
        <v>18.113148314398696</v>
      </c>
      <c r="AU285" s="61">
        <f t="shared" si="212"/>
        <v>156.84957764613767</v>
      </c>
      <c r="AV285" s="58" t="str">
        <f t="shared" si="189"/>
        <v>94.5933542655037-53.0758350654171i</v>
      </c>
      <c r="AW285" s="64">
        <f t="shared" si="213"/>
        <v>40.705899728114716</v>
      </c>
      <c r="AX285" s="61">
        <f t="shared" si="214"/>
        <v>-29.296554445922968</v>
      </c>
    </row>
    <row r="286" spans="14:50" x14ac:dyDescent="0.4">
      <c r="N286" s="10">
        <v>68</v>
      </c>
      <c r="O286" s="50">
        <f t="shared" si="215"/>
        <v>4786.3009232263848</v>
      </c>
      <c r="P286" s="48" t="str">
        <f t="shared" si="180"/>
        <v>5120.19230769231</v>
      </c>
      <c r="Q286" s="17" t="str">
        <f t="shared" si="181"/>
        <v>1+140.534449993906i</v>
      </c>
      <c r="R286" s="17">
        <f t="shared" si="190"/>
        <v>140.53800779536357</v>
      </c>
      <c r="S286" s="17">
        <f t="shared" si="191"/>
        <v>1.5636807539025521</v>
      </c>
      <c r="T286" s="17" t="str">
        <f t="shared" si="182"/>
        <v>1+0.000300431424209196i</v>
      </c>
      <c r="U286" s="17">
        <f t="shared" si="192"/>
        <v>1.0000000451295192</v>
      </c>
      <c r="V286" s="17">
        <f t="shared" si="193"/>
        <v>3.0043141517031245E-4</v>
      </c>
      <c r="W286" s="31" t="str">
        <f t="shared" si="183"/>
        <v>1-0.487186093312209i</v>
      </c>
      <c r="X286" s="17">
        <f t="shared" si="194"/>
        <v>1.1123624811709591</v>
      </c>
      <c r="Y286" s="17">
        <f t="shared" si="195"/>
        <v>-0.4533440348034124</v>
      </c>
      <c r="Z286" s="31" t="str">
        <f t="shared" si="184"/>
        <v>0.990836529388929+2.96621871772865i</v>
      </c>
      <c r="AA286" s="17">
        <f t="shared" si="196"/>
        <v>3.1273328107790661</v>
      </c>
      <c r="AB286" s="17">
        <f t="shared" si="197"/>
        <v>1.2484096558863629</v>
      </c>
      <c r="AC286" s="66" t="str">
        <f t="shared" si="198"/>
        <v>-12.8600323973503+1.5968782658887i</v>
      </c>
      <c r="AD286" s="64">
        <f t="shared" si="199"/>
        <v>22.251294606944839</v>
      </c>
      <c r="AE286" s="61">
        <f t="shared" si="200"/>
        <v>172.9216015003359</v>
      </c>
      <c r="AF286" s="31" t="str">
        <f t="shared" si="185"/>
        <v>-10.0808080808081</v>
      </c>
      <c r="AG286" s="31" t="str">
        <f t="shared" si="201"/>
        <v>30073.2156365561i</v>
      </c>
      <c r="AH286" s="31">
        <f t="shared" si="202"/>
        <v>30073.215636556099</v>
      </c>
      <c r="AI286" s="31">
        <f t="shared" si="203"/>
        <v>1.5707963267948966</v>
      </c>
      <c r="AJ286" s="31" t="str">
        <f t="shared" si="186"/>
        <v>-16.2993914335354+40.3804193441824i</v>
      </c>
      <c r="AK286" s="31">
        <f t="shared" si="204"/>
        <v>43.545934684142757</v>
      </c>
      <c r="AL286" s="31">
        <f t="shared" si="205"/>
        <v>1.9544417798149929</v>
      </c>
      <c r="AM286" s="31" t="str">
        <f t="shared" si="187"/>
        <v>1+29807.4165274741i</v>
      </c>
      <c r="AN286" s="31">
        <f t="shared" si="206"/>
        <v>29807.416544248445</v>
      </c>
      <c r="AO286" s="31">
        <f t="shared" si="207"/>
        <v>1.5707627780974205</v>
      </c>
      <c r="AP286" s="31" t="str">
        <f t="shared" si="188"/>
        <v>1+34.9330472834236i</v>
      </c>
      <c r="AQ286" s="31">
        <f t="shared" si="208"/>
        <v>34.947357446678403</v>
      </c>
      <c r="AR286" s="31">
        <f t="shared" si="209"/>
        <v>1.5421779536761271</v>
      </c>
      <c r="AS286" s="58" t="str">
        <f t="shared" si="210"/>
        <v>-7.34679772793933+3.21323437921944i</v>
      </c>
      <c r="AT286" s="49">
        <f t="shared" si="211"/>
        <v>18.082130804364361</v>
      </c>
      <c r="AU286" s="61">
        <f t="shared" si="212"/>
        <v>156.37710051755437</v>
      </c>
      <c r="AV286" s="58" t="str">
        <f t="shared" si="189"/>
        <v>89.3489126546975-53.0542398326686i</v>
      </c>
      <c r="AW286" s="64">
        <f t="shared" si="213"/>
        <v>40.3334254113092</v>
      </c>
      <c r="AX286" s="61">
        <f t="shared" si="214"/>
        <v>-30.701297982109761</v>
      </c>
    </row>
    <row r="287" spans="14:50" x14ac:dyDescent="0.4">
      <c r="N287" s="10">
        <v>69</v>
      </c>
      <c r="O287" s="50">
        <f t="shared" si="215"/>
        <v>4897.7881936844633</v>
      </c>
      <c r="P287" s="48" t="str">
        <f t="shared" si="180"/>
        <v>5120.19230769231</v>
      </c>
      <c r="Q287" s="17" t="str">
        <f t="shared" si="181"/>
        <v>1+143.807917852795i</v>
      </c>
      <c r="R287" s="17">
        <f t="shared" si="190"/>
        <v>143.81139467078481</v>
      </c>
      <c r="S287" s="17">
        <f t="shared" si="191"/>
        <v>1.5638427188341923</v>
      </c>
      <c r="T287" s="17" t="str">
        <f t="shared" si="182"/>
        <v>1+0.000307429371054197i</v>
      </c>
      <c r="U287" s="17">
        <f t="shared" si="192"/>
        <v>1.0000000472564079</v>
      </c>
      <c r="V287" s="17">
        <f t="shared" si="193"/>
        <v>3.0742936136885879E-4</v>
      </c>
      <c r="W287" s="31" t="str">
        <f t="shared" si="183"/>
        <v>1-0.498534115223022i</v>
      </c>
      <c r="X287" s="17">
        <f t="shared" si="194"/>
        <v>1.1173791943835367</v>
      </c>
      <c r="Y287" s="17">
        <f t="shared" si="195"/>
        <v>-0.46247421369251263</v>
      </c>
      <c r="Z287" s="31" t="str">
        <f t="shared" si="184"/>
        <v>0.990404668323922+3.03531082742373i</v>
      </c>
      <c r="AA287" s="17">
        <f t="shared" si="196"/>
        <v>3.1928064811562802</v>
      </c>
      <c r="AB287" s="17">
        <f t="shared" si="197"/>
        <v>1.2553942095000399</v>
      </c>
      <c r="AC287" s="66" t="str">
        <f t="shared" si="198"/>
        <v>-12.3385030503381+1.73638775019005i</v>
      </c>
      <c r="AD287" s="64">
        <f t="shared" si="199"/>
        <v>21.910419588991111</v>
      </c>
      <c r="AE287" s="61">
        <f t="shared" si="200"/>
        <v>171.98941638571489</v>
      </c>
      <c r="AF287" s="31" t="str">
        <f t="shared" si="185"/>
        <v>-10.0808080808081</v>
      </c>
      <c r="AG287" s="31" t="str">
        <f t="shared" si="201"/>
        <v>30773.7108162359i</v>
      </c>
      <c r="AH287" s="31">
        <f t="shared" si="202"/>
        <v>30773.7108162359</v>
      </c>
      <c r="AI287" s="31">
        <f t="shared" si="203"/>
        <v>1.5707963267948966</v>
      </c>
      <c r="AJ287" s="31" t="str">
        <f t="shared" si="186"/>
        <v>-17.1146866339622+41.3210001402601i</v>
      </c>
      <c r="AK287" s="31">
        <f t="shared" si="204"/>
        <v>44.725133327583272</v>
      </c>
      <c r="AL287" s="31">
        <f t="shared" si="205"/>
        <v>1.9634740899217114</v>
      </c>
      <c r="AM287" s="31" t="str">
        <f t="shared" si="187"/>
        <v>1+30501.7204505578i</v>
      </c>
      <c r="AN287" s="31">
        <f t="shared" si="206"/>
        <v>30501.720466950315</v>
      </c>
      <c r="AO287" s="31">
        <f t="shared" si="207"/>
        <v>1.5707635417590078</v>
      </c>
      <c r="AP287" s="31" t="str">
        <f t="shared" si="188"/>
        <v>1+35.7467424841396i</v>
      </c>
      <c r="AQ287" s="31">
        <f t="shared" si="208"/>
        <v>35.760727037175734</v>
      </c>
      <c r="AR287" s="31">
        <f t="shared" si="209"/>
        <v>1.542829043793531</v>
      </c>
      <c r="AS287" s="58" t="str">
        <f t="shared" si="210"/>
        <v>-7.29249285502338+3.26255776166743i</v>
      </c>
      <c r="AT287" s="49">
        <f t="shared" si="211"/>
        <v>18.049890215759561</v>
      </c>
      <c r="AU287" s="61">
        <f t="shared" si="212"/>
        <v>155.89693573958186</v>
      </c>
      <c r="AV287" s="58" t="str">
        <f t="shared" si="189"/>
        <v>84.313380004628-52.9176741560489i</v>
      </c>
      <c r="AW287" s="64">
        <f t="shared" si="213"/>
        <v>39.960309804750679</v>
      </c>
      <c r="AX287" s="61">
        <f t="shared" si="214"/>
        <v>-32.113647874703226</v>
      </c>
    </row>
    <row r="288" spans="14:50" x14ac:dyDescent="0.4">
      <c r="N288" s="10">
        <v>70</v>
      </c>
      <c r="O288" s="50">
        <f t="shared" si="215"/>
        <v>5011.8723362727324</v>
      </c>
      <c r="P288" s="48" t="str">
        <f t="shared" si="180"/>
        <v>5120.19230769231</v>
      </c>
      <c r="Q288" s="17" t="str">
        <f t="shared" si="181"/>
        <v>1+147.157634573251i</v>
      </c>
      <c r="R288" s="17">
        <f t="shared" si="190"/>
        <v>147.16103225104965</v>
      </c>
      <c r="S288" s="17">
        <f t="shared" si="191"/>
        <v>1.5640009973464104</v>
      </c>
      <c r="T288" s="17" t="str">
        <f t="shared" si="182"/>
        <v>1+0.00031459032102104i</v>
      </c>
      <c r="U288" s="17">
        <f t="shared" si="192"/>
        <v>1.0000000494835337</v>
      </c>
      <c r="V288" s="17">
        <f t="shared" si="193"/>
        <v>3.1459031064301317E-4</v>
      </c>
      <c r="W288" s="31" t="str">
        <f t="shared" si="183"/>
        <v>1-0.510146466520605i</v>
      </c>
      <c r="X288" s="17">
        <f t="shared" si="194"/>
        <v>1.1226083098318214</v>
      </c>
      <c r="Y288" s="17">
        <f t="shared" si="195"/>
        <v>-0.47173179501732976</v>
      </c>
      <c r="Z288" s="31" t="str">
        <f t="shared" si="184"/>
        <v>0.989952454273962+3.10601229909661i</v>
      </c>
      <c r="AA288" s="17">
        <f t="shared" si="196"/>
        <v>3.2599567886495753</v>
      </c>
      <c r="AB288" s="17">
        <f t="shared" si="197"/>
        <v>1.2622536846474344</v>
      </c>
      <c r="AC288" s="66" t="str">
        <f t="shared" si="198"/>
        <v>-11.8358211865781+1.86247425514807i</v>
      </c>
      <c r="AD288" s="64">
        <f t="shared" si="199"/>
        <v>21.57019756014882</v>
      </c>
      <c r="AE288" s="61">
        <f t="shared" si="200"/>
        <v>171.05731867311607</v>
      </c>
      <c r="AF288" s="31" t="str">
        <f t="shared" si="185"/>
        <v>-10.0808080808081</v>
      </c>
      <c r="AG288" s="31" t="str">
        <f t="shared" si="201"/>
        <v>31490.5226247287i</v>
      </c>
      <c r="AH288" s="31">
        <f t="shared" si="202"/>
        <v>31490.522624728699</v>
      </c>
      <c r="AI288" s="31">
        <f t="shared" si="203"/>
        <v>1.5707963267948966</v>
      </c>
      <c r="AJ288" s="31" t="str">
        <f t="shared" si="186"/>
        <v>-17.9684055134179+42.2834898775603i</v>
      </c>
      <c r="AK288" s="31">
        <f t="shared" si="204"/>
        <v>45.942976752931145</v>
      </c>
      <c r="AL288" s="31">
        <f t="shared" si="205"/>
        <v>1.9726253540038949</v>
      </c>
      <c r="AM288" s="31" t="str">
        <f t="shared" si="187"/>
        <v>1+31212.1967895624i</v>
      </c>
      <c r="AN288" s="31">
        <f t="shared" si="206"/>
        <v>31212.196805581778</v>
      </c>
      <c r="AO288" s="31">
        <f t="shared" si="207"/>
        <v>1.5707642880375352</v>
      </c>
      <c r="AP288" s="31" t="str">
        <f t="shared" si="188"/>
        <v>1+36.5793910808849i</v>
      </c>
      <c r="AQ288" s="31">
        <f t="shared" si="208"/>
        <v>36.593057426898916</v>
      </c>
      <c r="AR288" s="31">
        <f t="shared" si="209"/>
        <v>1.5434653362095141</v>
      </c>
      <c r="AS288" s="58" t="str">
        <f t="shared" si="210"/>
        <v>-7.23648477047404+3.31173025183992i</v>
      </c>
      <c r="AT288" s="49">
        <f t="shared" si="211"/>
        <v>18.016387629616215</v>
      </c>
      <c r="AU288" s="61">
        <f t="shared" si="212"/>
        <v>155.40910655904506</v>
      </c>
      <c r="AV288" s="58" t="str">
        <f t="shared" si="189"/>
        <v>79.4817274286795-52.6748136617375i</v>
      </c>
      <c r="AW288" s="64">
        <f t="shared" si="213"/>
        <v>39.586585189765032</v>
      </c>
      <c r="AX288" s="61">
        <f t="shared" si="214"/>
        <v>-33.533574767838843</v>
      </c>
    </row>
    <row r="289" spans="14:50" x14ac:dyDescent="0.4">
      <c r="N289" s="10">
        <v>71</v>
      </c>
      <c r="O289" s="50">
        <f t="shared" si="215"/>
        <v>5128.6138399136489</v>
      </c>
      <c r="P289" s="48" t="str">
        <f t="shared" si="180"/>
        <v>5120.19230769231</v>
      </c>
      <c r="Q289" s="17" t="str">
        <f t="shared" si="181"/>
        <v>1+150.58537621942i</v>
      </c>
      <c r="R289" s="17">
        <f t="shared" si="190"/>
        <v>150.5886965583548</v>
      </c>
      <c r="S289" s="17">
        <f t="shared" si="191"/>
        <v>1.5641556733288287</v>
      </c>
      <c r="T289" s="17" t="str">
        <f t="shared" si="182"/>
        <v>1+0.000321918070940182i</v>
      </c>
      <c r="U289" s="17">
        <f t="shared" si="192"/>
        <v>1.0000000518156209</v>
      </c>
      <c r="V289" s="17">
        <f t="shared" si="193"/>
        <v>3.219180598199259E-4</v>
      </c>
      <c r="W289" s="31" t="str">
        <f t="shared" si="183"/>
        <v>1-0.522029304227321i</v>
      </c>
      <c r="X289" s="17">
        <f t="shared" si="194"/>
        <v>1.1280578861353086</v>
      </c>
      <c r="Y289" s="17">
        <f t="shared" si="195"/>
        <v>-0.48111533913859655</v>
      </c>
      <c r="Z289" s="31" t="str">
        <f t="shared" si="184"/>
        <v>0.989478928032419+3.17836061960338i</v>
      </c>
      <c r="AA289" s="17">
        <f t="shared" si="196"/>
        <v>3.3288203281741966</v>
      </c>
      <c r="AB289" s="17">
        <f t="shared" si="197"/>
        <v>1.2689892177587037</v>
      </c>
      <c r="AC289" s="66" t="str">
        <f t="shared" si="198"/>
        <v>-11.3514890984135+1.97598293975219i</v>
      </c>
      <c r="AD289" s="64">
        <f t="shared" si="199"/>
        <v>21.230699043532578</v>
      </c>
      <c r="AE289" s="61">
        <f t="shared" si="200"/>
        <v>170.12532114616306</v>
      </c>
      <c r="AF289" s="31" t="str">
        <f t="shared" si="185"/>
        <v>-10.0808080808081</v>
      </c>
      <c r="AG289" s="31" t="str">
        <f t="shared" si="201"/>
        <v>32224.0311251433i</v>
      </c>
      <c r="AH289" s="31">
        <f t="shared" si="202"/>
        <v>32224.031125143301</v>
      </c>
      <c r="AI289" s="31">
        <f t="shared" si="203"/>
        <v>1.5707963267948966</v>
      </c>
      <c r="AJ289" s="31" t="str">
        <f t="shared" si="186"/>
        <v>-18.8623589241058+43.2683988808816i</v>
      </c>
      <c r="AK289" s="31">
        <f t="shared" si="204"/>
        <v>47.201090304111297</v>
      </c>
      <c r="AL289" s="31">
        <f t="shared" si="205"/>
        <v>1.9818953426433938</v>
      </c>
      <c r="AM289" s="31" t="str">
        <f t="shared" si="187"/>
        <v>1+31939.2222484469i</v>
      </c>
      <c r="AN289" s="31">
        <f t="shared" si="206"/>
        <v>31939.222264101631</v>
      </c>
      <c r="AO289" s="31">
        <f t="shared" si="207"/>
        <v>1.5707650173286893</v>
      </c>
      <c r="AP289" s="31" t="str">
        <f t="shared" si="188"/>
        <v>1+37.4314345549665i</v>
      </c>
      <c r="AQ289" s="31">
        <f t="shared" si="208"/>
        <v>37.444789929210984</v>
      </c>
      <c r="AR289" s="31">
        <f t="shared" si="209"/>
        <v>1.5440871662326416</v>
      </c>
      <c r="AS289" s="58" t="str">
        <f t="shared" si="210"/>
        <v>-7.17875395704932+3.36068949302614i</v>
      </c>
      <c r="AT289" s="49">
        <f t="shared" si="211"/>
        <v>17.981583657514392</v>
      </c>
      <c r="AU289" s="61">
        <f t="shared" si="212"/>
        <v>154.91364535507236</v>
      </c>
      <c r="AV289" s="58" t="str">
        <f t="shared" si="189"/>
        <v>74.848882179614-52.333925491047i</v>
      </c>
      <c r="AW289" s="64">
        <f t="shared" si="213"/>
        <v>39.212282701046966</v>
      </c>
      <c r="AX289" s="61">
        <f t="shared" si="214"/>
        <v>-34.961033498764607</v>
      </c>
    </row>
    <row r="290" spans="14:50" x14ac:dyDescent="0.4">
      <c r="N290" s="10">
        <v>72</v>
      </c>
      <c r="O290" s="50">
        <f t="shared" si="215"/>
        <v>5248.0746024977261</v>
      </c>
      <c r="P290" s="48" t="str">
        <f t="shared" si="180"/>
        <v>5120.19230769231</v>
      </c>
      <c r="Q290" s="17" t="str">
        <f t="shared" si="181"/>
        <v>1+154.092960225293i</v>
      </c>
      <c r="R290" s="17">
        <f t="shared" si="190"/>
        <v>154.09620498569632</v>
      </c>
      <c r="S290" s="17">
        <f t="shared" si="191"/>
        <v>1.5643068287630788</v>
      </c>
      <c r="T290" s="17" t="str">
        <f t="shared" si="182"/>
        <v>1+0.000329416506081627i</v>
      </c>
      <c r="U290" s="17">
        <f t="shared" si="192"/>
        <v>1.0000000542576157</v>
      </c>
      <c r="V290" s="17">
        <f t="shared" si="193"/>
        <v>3.2941649416605797E-4</v>
      </c>
      <c r="W290" s="31" t="str">
        <f t="shared" si="183"/>
        <v>1-0.534188928781017i</v>
      </c>
      <c r="X290" s="17">
        <f t="shared" si="194"/>
        <v>1.1337362178356174</v>
      </c>
      <c r="Y290" s="17">
        <f t="shared" si="195"/>
        <v>-0.49062321061345371</v>
      </c>
      <c r="Z290" s="31" t="str">
        <f t="shared" si="184"/>
        <v>0.988983085186647+3.25239414898126i</v>
      </c>
      <c r="AA290" s="17">
        <f t="shared" si="196"/>
        <v>3.3994345475553476</v>
      </c>
      <c r="AB290" s="17">
        <f t="shared" si="197"/>
        <v>1.275602015887326</v>
      </c>
      <c r="AC290" s="66" t="str">
        <f t="shared" si="198"/>
        <v>-10.8850070502333+2.07771702573039i</v>
      </c>
      <c r="AD290" s="64">
        <f t="shared" si="199"/>
        <v>20.891993801199348</v>
      </c>
      <c r="AE290" s="61">
        <f t="shared" si="200"/>
        <v>169.19344387516679</v>
      </c>
      <c r="AF290" s="31" t="str">
        <f t="shared" si="185"/>
        <v>-10.0808080808081</v>
      </c>
      <c r="AG290" s="31" t="str">
        <f t="shared" si="201"/>
        <v>32974.6252333961i</v>
      </c>
      <c r="AH290" s="31">
        <f t="shared" si="202"/>
        <v>32974.625233396102</v>
      </c>
      <c r="AI290" s="31">
        <f t="shared" si="203"/>
        <v>1.5707963267948966</v>
      </c>
      <c r="AJ290" s="31" t="str">
        <f t="shared" si="186"/>
        <v>-19.7984430610648+44.2762493620145i</v>
      </c>
      <c r="AK290" s="31">
        <f t="shared" si="204"/>
        <v>48.50118148261457</v>
      </c>
      <c r="AL290" s="31">
        <f t="shared" si="205"/>
        <v>1.9912836529803772</v>
      </c>
      <c r="AM290" s="31" t="str">
        <f t="shared" si="187"/>
        <v>1+32683.1823057334i</v>
      </c>
      <c r="AN290" s="31">
        <f t="shared" si="206"/>
        <v>32683.182321031789</v>
      </c>
      <c r="AO290" s="31">
        <f t="shared" si="207"/>
        <v>1.5707657300191502</v>
      </c>
      <c r="AP290" s="31" t="str">
        <f t="shared" si="188"/>
        <v>1+38.3033246711129i</v>
      </c>
      <c r="AQ290" s="31">
        <f t="shared" si="208"/>
        <v>38.316376144681094</v>
      </c>
      <c r="AR290" s="31">
        <f t="shared" si="209"/>
        <v>1.5446948616407645</v>
      </c>
      <c r="AS290" s="58" t="str">
        <f t="shared" si="210"/>
        <v>-7.11928345240572+3.40937071175852i</v>
      </c>
      <c r="AT290" s="49">
        <f t="shared" si="211"/>
        <v>17.945438497467951</v>
      </c>
      <c r="AU290" s="61">
        <f t="shared" si="212"/>
        <v>154.41059401227463</v>
      </c>
      <c r="AV290" s="58" t="str">
        <f t="shared" si="189"/>
        <v>70.4097429971983-51.9028806744144i</v>
      </c>
      <c r="AW290" s="64">
        <f t="shared" si="213"/>
        <v>38.837432298667295</v>
      </c>
      <c r="AX290" s="61">
        <f t="shared" si="214"/>
        <v>-36.395962112558614</v>
      </c>
    </row>
    <row r="291" spans="14:50" x14ac:dyDescent="0.4">
      <c r="N291" s="10">
        <v>73</v>
      </c>
      <c r="O291" s="50">
        <f t="shared" si="215"/>
        <v>5370.3179637025269</v>
      </c>
      <c r="P291" s="48" t="str">
        <f t="shared" si="180"/>
        <v>5120.19230769231</v>
      </c>
      <c r="Q291" s="17" t="str">
        <f t="shared" si="181"/>
        <v>1+157.682246358339i</v>
      </c>
      <c r="R291" s="17">
        <f t="shared" si="190"/>
        <v>157.68541726048073</v>
      </c>
      <c r="S291" s="17">
        <f t="shared" si="191"/>
        <v>1.5644545437661281</v>
      </c>
      <c r="T291" s="17" t="str">
        <f t="shared" si="182"/>
        <v>1+0.000337089602214939i</v>
      </c>
      <c r="U291" s="17">
        <f t="shared" si="192"/>
        <v>1.0000000568146983</v>
      </c>
      <c r="V291" s="17">
        <f t="shared" si="193"/>
        <v>3.3708958944717678E-4</v>
      </c>
      <c r="W291" s="31" t="str">
        <f t="shared" si="183"/>
        <v>1-0.546631787375576i</v>
      </c>
      <c r="X291" s="17">
        <f t="shared" si="194"/>
        <v>1.1396518376106877</v>
      </c>
      <c r="Y291" s="17">
        <f t="shared" si="195"/>
        <v>-0.50025357373640655</v>
      </c>
      <c r="Z291" s="31" t="str">
        <f t="shared" si="184"/>
        <v>0.988463873987493+3.32815214078745i</v>
      </c>
      <c r="AA291" s="17">
        <f t="shared" si="196"/>
        <v>3.4718377701739533</v>
      </c>
      <c r="AB291" s="17">
        <f t="shared" si="197"/>
        <v>1.2820933511065651</v>
      </c>
      <c r="AC291" s="66" t="str">
        <f t="shared" si="198"/>
        <v>-10.4358748203459+2.16843912823228i</v>
      </c>
      <c r="AD291" s="64">
        <f t="shared" si="199"/>
        <v>20.554150747992132</v>
      </c>
      <c r="AE291" s="61">
        <f t="shared" si="200"/>
        <v>168.26171479130591</v>
      </c>
      <c r="AF291" s="31" t="str">
        <f t="shared" si="185"/>
        <v>-10.0808080808081</v>
      </c>
      <c r="AG291" s="31" t="str">
        <f t="shared" si="201"/>
        <v>33742.7029244183i</v>
      </c>
      <c r="AH291" s="31">
        <f t="shared" si="202"/>
        <v>33742.7029244183</v>
      </c>
      <c r="AI291" s="31">
        <f t="shared" si="203"/>
        <v>1.5707963267948966</v>
      </c>
      <c r="AJ291" s="31" t="str">
        <f t="shared" si="186"/>
        <v>-20.7786434842521+45.3075756966247i</v>
      </c>
      <c r="AK291" s="31">
        <f t="shared" si="204"/>
        <v>49.845044292798349</v>
      </c>
      <c r="AL291" s="31">
        <f t="shared" si="205"/>
        <v>2.0007897025679857</v>
      </c>
      <c r="AM291" s="31" t="str">
        <f t="shared" si="187"/>
        <v>1+33444.4714188912i</v>
      </c>
      <c r="AN291" s="31">
        <f t="shared" si="206"/>
        <v>33444.471433841347</v>
      </c>
      <c r="AO291" s="31">
        <f t="shared" si="207"/>
        <v>1.5707664264867955</v>
      </c>
      <c r="AP291" s="31" t="str">
        <f t="shared" si="188"/>
        <v>1+39.1955237170043i</v>
      </c>
      <c r="AQ291" s="31">
        <f t="shared" si="208"/>
        <v>39.208278200531154</v>
      </c>
      <c r="AR291" s="31">
        <f t="shared" si="209"/>
        <v>1.5452887428456592</v>
      </c>
      <c r="AS291" s="58" t="str">
        <f t="shared" si="210"/>
        <v>-7.05805906492109+3.45770680345171i</v>
      </c>
      <c r="AT291" s="49">
        <f t="shared" si="211"/>
        <v>17.907911994745774</v>
      </c>
      <c r="AU291" s="61">
        <f t="shared" si="212"/>
        <v>153.90000428229183</v>
      </c>
      <c r="AV291" s="58" t="str">
        <f t="shared" si="189"/>
        <v>66.1591941495645-51.3891668120298i</v>
      </c>
      <c r="AW291" s="64">
        <f t="shared" si="213"/>
        <v>38.462062742737906</v>
      </c>
      <c r="AX291" s="61">
        <f t="shared" si="214"/>
        <v>-37.838280926402234</v>
      </c>
    </row>
    <row r="292" spans="14:50" x14ac:dyDescent="0.4">
      <c r="N292" s="10">
        <v>74</v>
      </c>
      <c r="O292" s="50">
        <f t="shared" si="215"/>
        <v>5495.4087385762541</v>
      </c>
      <c r="P292" s="48" t="str">
        <f t="shared" si="180"/>
        <v>5120.19230769231</v>
      </c>
      <c r="Q292" s="17" t="str">
        <f t="shared" si="181"/>
        <v>1+161.355137705576i</v>
      </c>
      <c r="R292" s="17">
        <f t="shared" si="190"/>
        <v>161.35823643057515</v>
      </c>
      <c r="S292" s="17">
        <f t="shared" si="191"/>
        <v>1.5645988966326272</v>
      </c>
      <c r="T292" s="17" t="str">
        <f t="shared" si="182"/>
        <v>1+0.000344941427717255i</v>
      </c>
      <c r="U292" s="17">
        <f t="shared" si="192"/>
        <v>1.0000000594922926</v>
      </c>
      <c r="V292" s="17">
        <f t="shared" si="193"/>
        <v>3.4494141403635135E-4</v>
      </c>
      <c r="W292" s="31" t="str">
        <f t="shared" si="183"/>
        <v>1-0.559364477379331i</v>
      </c>
      <c r="X292" s="17">
        <f t="shared" si="194"/>
        <v>1.1458135182279237</v>
      </c>
      <c r="Y292" s="17">
        <f t="shared" si="195"/>
        <v>-0.51000438860421859</v>
      </c>
      <c r="Z292" s="31" t="str">
        <f t="shared" si="184"/>
        <v>0.987920193118392+3.40567476291199i</v>
      </c>
      <c r="AA292" s="17">
        <f t="shared" si="196"/>
        <v>3.546069217980202</v>
      </c>
      <c r="AB292" s="17">
        <f t="shared" si="197"/>
        <v>1.2884645551076652</v>
      </c>
      <c r="AC292" s="66" t="str">
        <f t="shared" si="198"/>
        <v>-10.0035931170959+2.24887261640098i</v>
      </c>
      <c r="AD292" s="64">
        <f t="shared" si="199"/>
        <v>20.217237863087526</v>
      </c>
      <c r="AE292" s="61">
        <f t="shared" si="200"/>
        <v>167.33017021928649</v>
      </c>
      <c r="AF292" s="31" t="str">
        <f t="shared" si="185"/>
        <v>-10.0808080808081</v>
      </c>
      <c r="AG292" s="31" t="str">
        <f t="shared" si="201"/>
        <v>34528.6714431686i</v>
      </c>
      <c r="AH292" s="31">
        <f t="shared" si="202"/>
        <v>34528.671443168598</v>
      </c>
      <c r="AI292" s="31">
        <f t="shared" si="203"/>
        <v>1.5707963267948966</v>
      </c>
      <c r="AJ292" s="31" t="str">
        <f t="shared" si="186"/>
        <v>-21.8050393301832+46.3629247075859i</v>
      </c>
      <c r="AK292" s="31">
        <f t="shared" si="204"/>
        <v>51.234563798593179</v>
      </c>
      <c r="AL292" s="31">
        <f t="shared" si="205"/>
        <v>2.010412723475004</v>
      </c>
      <c r="AM292" s="31" t="str">
        <f t="shared" si="187"/>
        <v>1+34223.4932334854i</v>
      </c>
      <c r="AN292" s="31">
        <f t="shared" si="206"/>
        <v>34223.493248095248</v>
      </c>
      <c r="AO292" s="31">
        <f t="shared" si="207"/>
        <v>1.5707671071009017</v>
      </c>
      <c r="AP292" s="31" t="str">
        <f t="shared" si="188"/>
        <v>1+40.1085047483847i</v>
      </c>
      <c r="AQ292" s="31">
        <f t="shared" si="208"/>
        <v>40.120968995666068</v>
      </c>
      <c r="AR292" s="31">
        <f t="shared" si="209"/>
        <v>1.5458691230543709</v>
      </c>
      <c r="AS292" s="58" t="str">
        <f t="shared" si="210"/>
        <v>-6.99506959023969+3.50562843675142i</v>
      </c>
      <c r="AT292" s="49">
        <f t="shared" si="211"/>
        <v>17.868963707662747</v>
      </c>
      <c r="AU292" s="61">
        <f t="shared" si="212"/>
        <v>153.38193813094145</v>
      </c>
      <c r="AV292" s="58" t="str">
        <f t="shared" si="189"/>
        <v>62.0921182118418-50.7999009522914i</v>
      </c>
      <c r="AW292" s="64">
        <f t="shared" si="213"/>
        <v>38.086201570750276</v>
      </c>
      <c r="AX292" s="61">
        <f t="shared" si="214"/>
        <v>-39.287891649772014</v>
      </c>
    </row>
    <row r="293" spans="14:50" x14ac:dyDescent="0.4">
      <c r="N293" s="10">
        <v>75</v>
      </c>
      <c r="O293" s="50">
        <f t="shared" si="215"/>
        <v>5623.4132519034993</v>
      </c>
      <c r="P293" s="48" t="str">
        <f t="shared" si="180"/>
        <v>5120.19230769231</v>
      </c>
      <c r="Q293" s="17" t="str">
        <f t="shared" si="181"/>
        <v>1+165.113581682612i</v>
      </c>
      <c r="R293" s="17">
        <f t="shared" si="190"/>
        <v>165.11660987332735</v>
      </c>
      <c r="S293" s="17">
        <f t="shared" si="191"/>
        <v>1.5647399638762984</v>
      </c>
      <c r="T293" s="17" t="str">
        <f t="shared" si="182"/>
        <v>1+0.000352976145730385i</v>
      </c>
      <c r="U293" s="17">
        <f t="shared" si="192"/>
        <v>1.0000000622960779</v>
      </c>
      <c r="V293" s="17">
        <f t="shared" si="193"/>
        <v>3.5297613107103273E-4</v>
      </c>
      <c r="W293" s="31" t="str">
        <f t="shared" si="183"/>
        <v>1-0.572393749833056i</v>
      </c>
      <c r="X293" s="17">
        <f t="shared" si="194"/>
        <v>1.15223027422818</v>
      </c>
      <c r="Y293" s="17">
        <f t="shared" si="195"/>
        <v>-0.519873407760018</v>
      </c>
      <c r="Z293" s="31" t="str">
        <f t="shared" si="184"/>
        <v>0.987350889359326+3.48500311887525i</v>
      </c>
      <c r="AA293" s="17">
        <f t="shared" si="196"/>
        <v>3.6221690348862619</v>
      </c>
      <c r="AB293" s="17">
        <f t="shared" si="197"/>
        <v>1.2947170140051374</v>
      </c>
      <c r="AC293" s="66" t="str">
        <f t="shared" si="198"/>
        <v>-9.58766487330746+2.3197029943977i</v>
      </c>
      <c r="AD293" s="64">
        <f t="shared" si="199"/>
        <v>19.881322099285434</v>
      </c>
      <c r="AE293" s="61">
        <f t="shared" si="200"/>
        <v>166.39885536500702</v>
      </c>
      <c r="AF293" s="31" t="str">
        <f t="shared" si="185"/>
        <v>-10.0808080808081</v>
      </c>
      <c r="AG293" s="31" t="str">
        <f t="shared" si="201"/>
        <v>35332.947520559i</v>
      </c>
      <c r="AH293" s="31">
        <f t="shared" si="202"/>
        <v>35332.947520558999</v>
      </c>
      <c r="AI293" s="31">
        <f t="shared" si="203"/>
        <v>1.5707963267948966</v>
      </c>
      <c r="AJ293" s="31" t="str">
        <f t="shared" si="186"/>
        <v>-22.8798077220583+47.4428559549129i</v>
      </c>
      <c r="AK293" s="31">
        <f t="shared" si="204"/>
        <v>52.671720899900095</v>
      </c>
      <c r="AL293" s="31">
        <f t="shared" si="205"/>
        <v>2.020151756686916</v>
      </c>
      <c r="AM293" s="31" t="str">
        <f t="shared" si="187"/>
        <v>1+35020.6607971934i</v>
      </c>
      <c r="AN293" s="31">
        <f t="shared" si="206"/>
        <v>35020.660811470683</v>
      </c>
      <c r="AO293" s="31">
        <f t="shared" si="207"/>
        <v>1.5707677722223397</v>
      </c>
      <c r="AP293" s="31" t="str">
        <f t="shared" si="188"/>
        <v>1+41.0427518398814i</v>
      </c>
      <c r="AQ293" s="31">
        <f t="shared" si="208"/>
        <v>41.054932451413038</v>
      </c>
      <c r="AR293" s="31">
        <f t="shared" si="209"/>
        <v>1.5464363084273047</v>
      </c>
      <c r="AS293" s="58" t="str">
        <f t="shared" si="210"/>
        <v>-6.93030702694628+3.55306417735245i</v>
      </c>
      <c r="AT293" s="49">
        <f t="shared" si="211"/>
        <v>17.828552978336916</v>
      </c>
      <c r="AU293" s="61">
        <f t="shared" si="212"/>
        <v>152.8564680680831</v>
      </c>
      <c r="AV293" s="58" t="str">
        <f t="shared" si="189"/>
        <v>58.203407631997-50.1418425683119i</v>
      </c>
      <c r="AW293" s="64">
        <f t="shared" si="213"/>
        <v>37.70987507762235</v>
      </c>
      <c r="AX293" s="61">
        <f t="shared" si="214"/>
        <v>-40.744676566909909</v>
      </c>
    </row>
    <row r="294" spans="14:50" x14ac:dyDescent="0.4">
      <c r="N294" s="10">
        <v>76</v>
      </c>
      <c r="O294" s="50">
        <f t="shared" si="215"/>
        <v>5754.399373371567</v>
      </c>
      <c r="P294" s="48" t="str">
        <f t="shared" si="180"/>
        <v>5120.19230769231</v>
      </c>
      <c r="Q294" s="17" t="str">
        <f t="shared" si="181"/>
        <v>1+168.959571066193i</v>
      </c>
      <c r="R294" s="17">
        <f t="shared" si="190"/>
        <v>168.96253032809349</v>
      </c>
      <c r="S294" s="17">
        <f t="shared" si="191"/>
        <v>1.5648778202703912</v>
      </c>
      <c r="T294" s="17" t="str">
        <f t="shared" si="182"/>
        <v>1+0.000361198016368172i</v>
      </c>
      <c r="U294" s="17">
        <f t="shared" si="192"/>
        <v>1.0000000652320014</v>
      </c>
      <c r="V294" s="17">
        <f t="shared" si="193"/>
        <v>3.6119800066039304E-4</v>
      </c>
      <c r="W294" s="31" t="str">
        <f t="shared" si="183"/>
        <v>1-0.585726513029468i</v>
      </c>
      <c r="X294" s="17">
        <f t="shared" si="194"/>
        <v>1.1589113633344268</v>
      </c>
      <c r="Y294" s="17">
        <f t="shared" si="195"/>
        <v>-0.52985817347140007</v>
      </c>
      <c r="Z294" s="31" t="str">
        <f t="shared" si="184"/>
        <v>0.986754755140696+3.56617926962161i</v>
      </c>
      <c r="AA294" s="17">
        <f t="shared" si="196"/>
        <v>3.7001783105509514</v>
      </c>
      <c r="AB294" s="17">
        <f t="shared" si="197"/>
        <v>1.3008521633529251</v>
      </c>
      <c r="AC294" s="66" t="str">
        <f t="shared" si="198"/>
        <v>-9.1875964235808+2.38157929427297i</v>
      </c>
      <c r="AD294" s="64">
        <f t="shared" si="199"/>
        <v>19.546469290137544</v>
      </c>
      <c r="AE294" s="61">
        <f t="shared" si="200"/>
        <v>165.46782475487402</v>
      </c>
      <c r="AF294" s="31" t="str">
        <f t="shared" si="185"/>
        <v>-10.0808080808081</v>
      </c>
      <c r="AG294" s="31" t="str">
        <f t="shared" si="201"/>
        <v>36155.9575944116i</v>
      </c>
      <c r="AH294" s="31">
        <f t="shared" si="202"/>
        <v>36155.9575944116</v>
      </c>
      <c r="AI294" s="31">
        <f t="shared" si="203"/>
        <v>1.5707963267948966</v>
      </c>
      <c r="AJ294" s="31" t="str">
        <f t="shared" si="186"/>
        <v>-24.0052283877334+48.5479420324475i</v>
      </c>
      <c r="AK294" s="31">
        <f t="shared" si="204"/>
        <v>54.158597337201449</v>
      </c>
      <c r="AL294" s="31">
        <f t="shared" si="205"/>
        <v>2.0300056468577301</v>
      </c>
      <c r="AM294" s="31" t="str">
        <f t="shared" si="187"/>
        <v>1+35836.3967788093i</v>
      </c>
      <c r="AN294" s="31">
        <f t="shared" si="206"/>
        <v>35836.396792761589</v>
      </c>
      <c r="AO294" s="31">
        <f t="shared" si="207"/>
        <v>1.570768422203765</v>
      </c>
      <c r="AP294" s="31" t="str">
        <f t="shared" si="188"/>
        <v>1+41.9987603416685i</v>
      </c>
      <c r="AQ294" s="31">
        <f t="shared" si="208"/>
        <v>42.010663768106625</v>
      </c>
      <c r="AR294" s="31">
        <f t="shared" si="209"/>
        <v>1.546990598233112</v>
      </c>
      <c r="AS294" s="58" t="str">
        <f t="shared" si="210"/>
        <v>-6.86376678963674+3.59994063191997i</v>
      </c>
      <c r="AT294" s="49">
        <f t="shared" si="211"/>
        <v>17.78663900837536</v>
      </c>
      <c r="AU294" s="61">
        <f t="shared" si="212"/>
        <v>152.32367745720225</v>
      </c>
      <c r="AV294" s="58" t="str">
        <f t="shared" si="189"/>
        <v>54.4879751391666-49.4214065418484i</v>
      </c>
      <c r="AW294" s="64">
        <f t="shared" si="213"/>
        <v>37.333108298512897</v>
      </c>
      <c r="AX294" s="61">
        <f t="shared" si="214"/>
        <v>-42.208497787923761</v>
      </c>
    </row>
    <row r="295" spans="14:50" x14ac:dyDescent="0.4">
      <c r="N295" s="10">
        <v>77</v>
      </c>
      <c r="O295" s="50">
        <f t="shared" si="215"/>
        <v>5888.4365535558973</v>
      </c>
      <c r="P295" s="48" t="str">
        <f t="shared" si="180"/>
        <v>5120.19230769231</v>
      </c>
      <c r="Q295" s="17" t="str">
        <f t="shared" si="181"/>
        <v>1+172.895145050798i</v>
      </c>
      <c r="R295" s="17">
        <f t="shared" si="190"/>
        <v>172.89803695281356</v>
      </c>
      <c r="S295" s="17">
        <f t="shared" si="191"/>
        <v>1.5650125388872191</v>
      </c>
      <c r="T295" s="17" t="str">
        <f t="shared" si="182"/>
        <v>1+0.000369611398975261i</v>
      </c>
      <c r="U295" s="17">
        <f t="shared" si="192"/>
        <v>1.0000000683062908</v>
      </c>
      <c r="V295" s="17">
        <f t="shared" si="193"/>
        <v>3.6961138214407262E-4</v>
      </c>
      <c r="W295" s="31" t="str">
        <f t="shared" si="183"/>
        <v>1-0.599369836176098i</v>
      </c>
      <c r="X295" s="17">
        <f t="shared" si="194"/>
        <v>1.1658662875809398</v>
      </c>
      <c r="Y295" s="17">
        <f t="shared" si="195"/>
        <v>-0.53995601569594764</v>
      </c>
      <c r="Z295" s="31" t="str">
        <f t="shared" si="184"/>
        <v>0.986130525981899+3.6492462558207i</v>
      </c>
      <c r="AA295" s="17">
        <f t="shared" si="196"/>
        <v>3.7801391045693982</v>
      </c>
      <c r="AB295" s="17">
        <f t="shared" si="197"/>
        <v>1.3068714833737125</v>
      </c>
      <c r="AC295" s="66" t="str">
        <f t="shared" si="198"/>
        <v>-8.80289856931421+2.43511547288623i</v>
      </c>
      <c r="AD295" s="64">
        <f t="shared" si="199"/>
        <v>19.21274405506842</v>
      </c>
      <c r="AE295" s="61">
        <f t="shared" si="200"/>
        <v>164.53714262357312</v>
      </c>
      <c r="AF295" s="31" t="str">
        <f t="shared" si="185"/>
        <v>-10.0808080808081</v>
      </c>
      <c r="AG295" s="31" t="str">
        <f t="shared" si="201"/>
        <v>36998.1380355616i</v>
      </c>
      <c r="AH295" s="31">
        <f t="shared" si="202"/>
        <v>36998.138035561598</v>
      </c>
      <c r="AI295" s="31">
        <f t="shared" si="203"/>
        <v>1.5707963267948966</v>
      </c>
      <c r="AJ295" s="31" t="str">
        <f t="shared" si="186"/>
        <v>-25.1836884953286+49.6787688714559i</v>
      </c>
      <c r="AK295" s="31">
        <f t="shared" si="204"/>
        <v>55.697380933157724</v>
      </c>
      <c r="AL295" s="31">
        <f t="shared" si="205"/>
        <v>2.0399730374662726</v>
      </c>
      <c r="AM295" s="31" t="str">
        <f t="shared" si="187"/>
        <v>1+36671.1336923482i</v>
      </c>
      <c r="AN295" s="31">
        <f t="shared" si="206"/>
        <v>36671.133705982902</v>
      </c>
      <c r="AO295" s="31">
        <f t="shared" si="207"/>
        <v>1.570769057389807</v>
      </c>
      <c r="AP295" s="31" t="str">
        <f t="shared" si="188"/>
        <v>1+42.9770371421084i</v>
      </c>
      <c r="AQ295" s="31">
        <f t="shared" si="208"/>
        <v>42.988669687653342</v>
      </c>
      <c r="AR295" s="31">
        <f t="shared" si="209"/>
        <v>1.547532285000417</v>
      </c>
      <c r="AS295" s="58" t="str">
        <f t="shared" si="210"/>
        <v>-6.79544791751478+3.64618261259553i</v>
      </c>
      <c r="AT295" s="49">
        <f t="shared" si="211"/>
        <v>17.7431809394044</v>
      </c>
      <c r="AU295" s="61">
        <f t="shared" si="212"/>
        <v>151.78366080163858</v>
      </c>
      <c r="AV295" s="58" t="str">
        <f t="shared" si="189"/>
        <v>50.94076305404-48.6446760730083i</v>
      </c>
      <c r="AW295" s="64">
        <f t="shared" si="213"/>
        <v>36.955924994472824</v>
      </c>
      <c r="AX295" s="61">
        <f t="shared" si="214"/>
        <v>-43.679196574788321</v>
      </c>
    </row>
    <row r="296" spans="14:50" x14ac:dyDescent="0.4">
      <c r="N296" s="10">
        <v>78</v>
      </c>
      <c r="O296" s="50">
        <f t="shared" si="215"/>
        <v>6025.595860743585</v>
      </c>
      <c r="P296" s="48" t="str">
        <f t="shared" si="180"/>
        <v>5120.19230769231</v>
      </c>
      <c r="Q296" s="17" t="str">
        <f t="shared" si="181"/>
        <v>1+176.922390329846i</v>
      </c>
      <c r="R296" s="17">
        <f t="shared" si="190"/>
        <v>176.92521640519865</v>
      </c>
      <c r="S296" s="17">
        <f t="shared" si="191"/>
        <v>1.5651441911368049</v>
      </c>
      <c r="T296" s="17" t="str">
        <f t="shared" si="182"/>
        <v>1+0.00037822075443847i</v>
      </c>
      <c r="U296" s="17">
        <f t="shared" si="192"/>
        <v>1.0000000715254669</v>
      </c>
      <c r="V296" s="17">
        <f t="shared" si="193"/>
        <v>3.7822073640352683E-4</v>
      </c>
      <c r="W296" s="31" t="str">
        <f t="shared" si="183"/>
        <v>1-0.613330953143464i</v>
      </c>
      <c r="X296" s="17">
        <f t="shared" si="194"/>
        <v>1.1731047941611483</v>
      </c>
      <c r="Y296" s="17">
        <f t="shared" si="195"/>
        <v>-0.55016405078565411</v>
      </c>
      <c r="Z296" s="31" t="str">
        <f t="shared" si="184"/>
        <v>0.985476877809196+3.7342481206881i</v>
      </c>
      <c r="AA296" s="17">
        <f t="shared" si="196"/>
        <v>3.8620944710816132</v>
      </c>
      <c r="AB296" s="17">
        <f t="shared" si="197"/>
        <v>1.312776494402315</v>
      </c>
      <c r="AC296" s="66" t="str">
        <f t="shared" si="198"/>
        <v>-8.43308753659111+2.48089180586001i</v>
      </c>
      <c r="AD296" s="64">
        <f t="shared" si="199"/>
        <v>18.880209702706825</v>
      </c>
      <c r="AE296" s="61">
        <f t="shared" si="200"/>
        <v>163.60688324729307</v>
      </c>
      <c r="AF296" s="31" t="str">
        <f t="shared" si="185"/>
        <v>-10.0808080808081</v>
      </c>
      <c r="AG296" s="31" t="str">
        <f t="shared" si="201"/>
        <v>37859.9353792262i</v>
      </c>
      <c r="AH296" s="31">
        <f t="shared" si="202"/>
        <v>37859.935379226197</v>
      </c>
      <c r="AI296" s="31">
        <f t="shared" si="203"/>
        <v>1.5707963267948966</v>
      </c>
      <c r="AJ296" s="31" t="str">
        <f t="shared" si="186"/>
        <v>-26.4176877167304+50.8359360512961i</v>
      </c>
      <c r="AK296" s="31">
        <f t="shared" si="204"/>
        <v>57.290371080227388</v>
      </c>
      <c r="AL296" s="31">
        <f t="shared" si="205"/>
        <v>2.0500523664318093</v>
      </c>
      <c r="AM296" s="31" t="str">
        <f t="shared" si="187"/>
        <v>1+37525.3141263706i</v>
      </c>
      <c r="AN296" s="31">
        <f t="shared" si="206"/>
        <v>37525.314139694936</v>
      </c>
      <c r="AO296" s="31">
        <f t="shared" si="207"/>
        <v>1.5707696781172493</v>
      </c>
      <c r="AP296" s="31" t="str">
        <f t="shared" si="188"/>
        <v>1+43.9781009365092i</v>
      </c>
      <c r="AQ296" s="31">
        <f t="shared" si="208"/>
        <v>43.989468762213882</v>
      </c>
      <c r="AR296" s="31">
        <f t="shared" si="209"/>
        <v>1.5480616546664308</v>
      </c>
      <c r="AS296" s="58" t="str">
        <f t="shared" si="210"/>
        <v>-6.725353276526+3.69171332240083i</v>
      </c>
      <c r="AT296" s="49">
        <f t="shared" si="211"/>
        <v>17.698137938321842</v>
      </c>
      <c r="AU296" s="61">
        <f t="shared" si="212"/>
        <v>151.23652400431686</v>
      </c>
      <c r="AV296" s="58" t="str">
        <f t="shared" si="189"/>
        <v>47.5567515643151-47.8174154430529i</v>
      </c>
      <c r="AW296" s="64">
        <f t="shared" si="213"/>
        <v>36.578347641028664</v>
      </c>
      <c r="AX296" s="61">
        <f t="shared" si="214"/>
        <v>-45.156592748390096</v>
      </c>
    </row>
    <row r="297" spans="14:50" x14ac:dyDescent="0.4">
      <c r="N297" s="10">
        <v>79</v>
      </c>
      <c r="O297" s="50">
        <f t="shared" si="215"/>
        <v>6165.9500186148289</v>
      </c>
      <c r="P297" s="48" t="str">
        <f t="shared" si="180"/>
        <v>5120.19230769231</v>
      </c>
      <c r="Q297" s="17" t="str">
        <f t="shared" si="181"/>
        <v>1+181.043442202091i</v>
      </c>
      <c r="R297" s="17">
        <f t="shared" si="190"/>
        <v>181.04620394910759</v>
      </c>
      <c r="S297" s="17">
        <f t="shared" si="191"/>
        <v>1.5652728468046484</v>
      </c>
      <c r="T297" s="17" t="str">
        <f t="shared" si="182"/>
        <v>1+0.000387030647552027i</v>
      </c>
      <c r="U297" s="17">
        <f t="shared" si="192"/>
        <v>1.0000000748963582</v>
      </c>
      <c r="V297" s="17">
        <f t="shared" si="193"/>
        <v>3.8703062822723728E-4</v>
      </c>
      <c r="W297" s="31" t="str">
        <f t="shared" si="183"/>
        <v>1-0.627617266300583i</v>
      </c>
      <c r="X297" s="17">
        <f t="shared" si="194"/>
        <v>1.180636875994739</v>
      </c>
      <c r="Y297" s="17">
        <f t="shared" si="195"/>
        <v>-0.56047918097910288</v>
      </c>
      <c r="Z297" s="31" t="str">
        <f t="shared" si="184"/>
        <v>0.984792424147177+3.82122993333772i</v>
      </c>
      <c r="AA297" s="17">
        <f t="shared" si="196"/>
        <v>3.9460884838145569</v>
      </c>
      <c r="AB297" s="17">
        <f t="shared" si="197"/>
        <v>1.3185687525428826</v>
      </c>
      <c r="AC297" s="66" t="str">
        <f t="shared" si="198"/>
        <v>-8.07768583225409+2.5194562723076i</v>
      </c>
      <c r="AD297" s="64">
        <f t="shared" si="199"/>
        <v>18.548928132703022</v>
      </c>
      <c r="AE297" s="61">
        <f t="shared" si="200"/>
        <v>162.67713121961722</v>
      </c>
      <c r="AF297" s="31" t="str">
        <f t="shared" si="185"/>
        <v>-10.0808080808081</v>
      </c>
      <c r="AG297" s="31" t="str">
        <f t="shared" si="201"/>
        <v>38741.8065617644i</v>
      </c>
      <c r="AH297" s="31">
        <f t="shared" si="202"/>
        <v>38741.806561764402</v>
      </c>
      <c r="AI297" s="31">
        <f t="shared" si="203"/>
        <v>1.5707963267948966</v>
      </c>
      <c r="AJ297" s="31" t="str">
        <f t="shared" si="186"/>
        <v>-27.709843529733+52.0200571173238i</v>
      </c>
      <c r="AK297" s="31">
        <f t="shared" si="204"/>
        <v>58.939984483641638</v>
      </c>
      <c r="AL297" s="31">
        <f t="shared" si="205"/>
        <v>2.0602418622444363</v>
      </c>
      <c r="AM297" s="31" t="str">
        <f t="shared" si="187"/>
        <v>1+38399.390978649i</v>
      </c>
      <c r="AN297" s="31">
        <f t="shared" si="206"/>
        <v>38399.390991670036</v>
      </c>
      <c r="AO297" s="31">
        <f t="shared" si="207"/>
        <v>1.5707702847152103</v>
      </c>
      <c r="AP297" s="31" t="str">
        <f t="shared" si="188"/>
        <v>1+45.0024825021456i</v>
      </c>
      <c r="AQ297" s="31">
        <f t="shared" si="208"/>
        <v>45.013591629150419</v>
      </c>
      <c r="AR297" s="31">
        <f t="shared" si="209"/>
        <v>1.5485789867225059</v>
      </c>
      <c r="AS297" s="58" t="str">
        <f t="shared" si="210"/>
        <v>-6.65348975292773+3.73645456165623i</v>
      </c>
      <c r="AT297" s="49">
        <f t="shared" si="211"/>
        <v>17.651469287095924</v>
      </c>
      <c r="AU297" s="61">
        <f t="shared" si="212"/>
        <v>150.68238459781008</v>
      </c>
      <c r="AV297" s="58" t="str">
        <f t="shared" si="189"/>
        <v>44.330966030715-46.9450825662998i</v>
      </c>
      <c r="AW297" s="64">
        <f t="shared" si="213"/>
        <v>36.200397419798954</v>
      </c>
      <c r="AX297" s="61">
        <f t="shared" si="214"/>
        <v>-46.640484182572628</v>
      </c>
    </row>
    <row r="298" spans="14:50" x14ac:dyDescent="0.4">
      <c r="N298" s="10">
        <v>80</v>
      </c>
      <c r="O298" s="50">
        <f t="shared" si="215"/>
        <v>6309.5734448019384</v>
      </c>
      <c r="P298" s="48" t="str">
        <f t="shared" si="180"/>
        <v>5120.19230769231</v>
      </c>
      <c r="Q298" s="17" t="str">
        <f t="shared" si="181"/>
        <v>1+185.260485703786i</v>
      </c>
      <c r="R298" s="17">
        <f t="shared" si="190"/>
        <v>185.26318458669198</v>
      </c>
      <c r="S298" s="17">
        <f t="shared" si="191"/>
        <v>1.5653985740886418</v>
      </c>
      <c r="T298" s="17" t="str">
        <f t="shared" si="182"/>
        <v>1+0.000396045749437871i</v>
      </c>
      <c r="U298" s="17">
        <f t="shared" si="192"/>
        <v>1.0000000784261147</v>
      </c>
      <c r="V298" s="17">
        <f t="shared" si="193"/>
        <v>3.9604572873098591E-4</v>
      </c>
      <c r="W298" s="31" t="str">
        <f t="shared" si="183"/>
        <v>1-0.64223635043979i</v>
      </c>
      <c r="X298" s="17">
        <f t="shared" si="194"/>
        <v>1.1884727720171888</v>
      </c>
      <c r="Y298" s="17">
        <f t="shared" si="195"/>
        <v>-0.5708980947267468</v>
      </c>
      <c r="Z298" s="31" t="str">
        <f t="shared" si="184"/>
        <v>0.98407571317786+3.91023781267793i</v>
      </c>
      <c r="AA298" s="17">
        <f t="shared" si="196"/>
        <v>4.0321662615724065</v>
      </c>
      <c r="AB298" s="17">
        <f t="shared" si="197"/>
        <v>1.3242498455385523</v>
      </c>
      <c r="AC298" s="66" t="str">
        <f t="shared" si="198"/>
        <v>-7.73622300360745+2.55132592479115i</v>
      </c>
      <c r="AD298" s="64">
        <f t="shared" si="199"/>
        <v>18.218959736370127</v>
      </c>
      <c r="AE298" s="61">
        <f t="shared" si="200"/>
        <v>161.74798166756153</v>
      </c>
      <c r="AF298" s="31" t="str">
        <f t="shared" si="185"/>
        <v>-10.0808080808081</v>
      </c>
      <c r="AG298" s="31" t="str">
        <f t="shared" si="201"/>
        <v>39644.21916295i</v>
      </c>
      <c r="AH298" s="31">
        <f t="shared" si="202"/>
        <v>39644.219162950001</v>
      </c>
      <c r="AI298" s="31">
        <f t="shared" si="203"/>
        <v>1.5707963267948966</v>
      </c>
      <c r="AJ298" s="31" t="str">
        <f t="shared" si="186"/>
        <v>-29.0628967700577+53.231759906202i</v>
      </c>
      <c r="AK298" s="31">
        <f t="shared" si="204"/>
        <v>60.648761169364086</v>
      </c>
      <c r="AL298" s="31">
        <f t="shared" si="205"/>
        <v>2.070539540665572</v>
      </c>
      <c r="AM298" s="31" t="str">
        <f t="shared" si="187"/>
        <v>1+39293.8276963003i</v>
      </c>
      <c r="AN298" s="31">
        <f t="shared" si="206"/>
        <v>39293.827709024947</v>
      </c>
      <c r="AO298" s="31">
        <f t="shared" si="207"/>
        <v>1.5707708775053157</v>
      </c>
      <c r="AP298" s="31" t="str">
        <f t="shared" si="188"/>
        <v>1+46.0507249796827i</v>
      </c>
      <c r="AQ298" s="31">
        <f t="shared" si="208"/>
        <v>46.061581292378278</v>
      </c>
      <c r="AR298" s="31">
        <f t="shared" si="209"/>
        <v>1.5490845543566727</v>
      </c>
      <c r="AS298" s="58" t="str">
        <f t="shared" si="210"/>
        <v>-6.57986843610688+3.7803269553187i</v>
      </c>
      <c r="AT298" s="49">
        <f t="shared" si="211"/>
        <v>17.60313447689142</v>
      </c>
      <c r="AU298" s="61">
        <f t="shared" si="212"/>
        <v>150.12137194156332</v>
      </c>
      <c r="AV298" s="58" t="str">
        <f t="shared" si="189"/>
        <v>41.2584833908292-46.0328412756483i</v>
      </c>
      <c r="AW298" s="64">
        <f t="shared" si="213"/>
        <v>35.822094213261543</v>
      </c>
      <c r="AX298" s="61">
        <f t="shared" si="214"/>
        <v>-48.130646390875171</v>
      </c>
    </row>
    <row r="299" spans="14:50" x14ac:dyDescent="0.4">
      <c r="N299" s="10">
        <v>81</v>
      </c>
      <c r="O299" s="50">
        <f t="shared" si="215"/>
        <v>6456.5422903465615</v>
      </c>
      <c r="P299" s="48" t="str">
        <f t="shared" si="180"/>
        <v>5120.19230769231</v>
      </c>
      <c r="Q299" s="17" t="str">
        <f t="shared" si="181"/>
        <v>1+189.575756767213i</v>
      </c>
      <c r="R299" s="17">
        <f t="shared" si="190"/>
        <v>189.57839421690835</v>
      </c>
      <c r="S299" s="17">
        <f t="shared" si="191"/>
        <v>1.5655214396351465</v>
      </c>
      <c r="T299" s="17" t="str">
        <f t="shared" si="182"/>
        <v>1+0.000405270840022354i</v>
      </c>
      <c r="U299" s="17">
        <f t="shared" si="192"/>
        <v>1.0000000821222235</v>
      </c>
      <c r="V299" s="17">
        <f t="shared" si="193"/>
        <v>4.0527081783452694E-4</v>
      </c>
      <c r="W299" s="31" t="str">
        <f t="shared" si="183"/>
        <v>1-0.657195956793005i</v>
      </c>
      <c r="X299" s="17">
        <f t="shared" si="194"/>
        <v>1.1966229671977191</v>
      </c>
      <c r="Y299" s="17">
        <f t="shared" si="195"/>
        <v>-0.58141726789055193</v>
      </c>
      <c r="Z299" s="31" t="str">
        <f t="shared" si="184"/>
        <v>0.983325224661187+4.00131895186456i</v>
      </c>
      <c r="AA299" s="17">
        <f t="shared" si="196"/>
        <v>4.1203739941909978</v>
      </c>
      <c r="AB299" s="17">
        <f t="shared" si="197"/>
        <v>1.3298213888512822</v>
      </c>
      <c r="AC299" s="66" t="str">
        <f t="shared" si="198"/>
        <v>-7.40823630724398+2.57698823964781i</v>
      </c>
      <c r="AD299" s="64">
        <f t="shared" si="199"/>
        <v>17.890363296545392</v>
      </c>
      <c r="AE299" s="61">
        <f t="shared" si="200"/>
        <v>160.81954040552341</v>
      </c>
      <c r="AF299" s="31" t="str">
        <f t="shared" si="185"/>
        <v>-10.0808080808081</v>
      </c>
      <c r="AG299" s="31" t="str">
        <f t="shared" si="201"/>
        <v>40567.6516538892i</v>
      </c>
      <c r="AH299" s="31">
        <f t="shared" si="202"/>
        <v>40567.651653889203</v>
      </c>
      <c r="AI299" s="31">
        <f t="shared" si="203"/>
        <v>1.5707963267948966</v>
      </c>
      <c r="AJ299" s="31" t="str">
        <f t="shared" si="186"/>
        <v>-30.4797174450348+54.4716868787882i</v>
      </c>
      <c r="AK299" s="31">
        <f t="shared" si="204"/>
        <v>62.419370767013547</v>
      </c>
      <c r="AL299" s="31">
        <f t="shared" si="205"/>
        <v>2.0809432020535574</v>
      </c>
      <c r="AM299" s="31" t="str">
        <f t="shared" si="187"/>
        <v>1+40209.0985215116i</v>
      </c>
      <c r="AN299" s="31">
        <f t="shared" si="206"/>
        <v>40209.098533946606</v>
      </c>
      <c r="AO299" s="31">
        <f t="shared" si="207"/>
        <v>1.5707714568018711</v>
      </c>
      <c r="AP299" s="31" t="str">
        <f t="shared" si="188"/>
        <v>1+47.1233841611577i</v>
      </c>
      <c r="AQ299" s="31">
        <f t="shared" si="208"/>
        <v>47.133993410277135</v>
      </c>
      <c r="AR299" s="31">
        <f t="shared" si="209"/>
        <v>1.5495786245932108</v>
      </c>
      <c r="AS299" s="58" t="str">
        <f t="shared" si="210"/>
        <v>-6.50450478838699+3.82325020091019i</v>
      </c>
      <c r="AT299" s="49">
        <f t="shared" si="211"/>
        <v>17.553093306249462</v>
      </c>
      <c r="AU299" s="61">
        <f t="shared" si="212"/>
        <v>149.55362738313303</v>
      </c>
      <c r="AV299" s="58" t="str">
        <f t="shared" si="189"/>
        <v>38.3344377289941-45.0855732944669i</v>
      </c>
      <c r="AW299" s="64">
        <f t="shared" si="213"/>
        <v>35.443456602794861</v>
      </c>
      <c r="AX299" s="61">
        <f t="shared" si="214"/>
        <v>-49.626832211343611</v>
      </c>
    </row>
    <row r="300" spans="14:50" x14ac:dyDescent="0.4">
      <c r="N300" s="10">
        <v>82</v>
      </c>
      <c r="O300" s="50">
        <f t="shared" si="215"/>
        <v>6606.9344800759654</v>
      </c>
      <c r="P300" s="48" t="str">
        <f t="shared" si="180"/>
        <v>5120.19230769231</v>
      </c>
      <c r="Q300" s="17" t="str">
        <f t="shared" si="181"/>
        <v>1+193.99154340621i</v>
      </c>
      <c r="R300" s="17">
        <f t="shared" si="190"/>
        <v>193.99412082102759</v>
      </c>
      <c r="S300" s="17">
        <f t="shared" si="191"/>
        <v>1.5656415085742552</v>
      </c>
      <c r="T300" s="17" t="str">
        <f t="shared" si="182"/>
        <v>1+0.000414710810570608i</v>
      </c>
      <c r="U300" s="17">
        <f t="shared" si="192"/>
        <v>1.0000000859925244</v>
      </c>
      <c r="V300" s="17">
        <f t="shared" si="193"/>
        <v>4.1471078679592311E-4</v>
      </c>
      <c r="W300" s="31" t="str">
        <f t="shared" si="183"/>
        <v>1-0.672504017141526i</v>
      </c>
      <c r="X300" s="17">
        <f t="shared" si="194"/>
        <v>1.2050981922945074</v>
      </c>
      <c r="Y300" s="17">
        <f t="shared" si="195"/>
        <v>-0.59203296585424914</v>
      </c>
      <c r="Z300" s="31" t="str">
        <f t="shared" si="184"/>
        <v>0.982539366710393+4.09452164332317i</v>
      </c>
      <c r="AA300" s="17">
        <f t="shared" si="196"/>
        <v>4.2107589689719278</v>
      </c>
      <c r="AB300" s="17">
        <f t="shared" si="197"/>
        <v>1.3352850219487036</v>
      </c>
      <c r="AC300" s="66" t="str">
        <f t="shared" si="198"/>
        <v>-7.09327129249462+2.59690244346i</v>
      </c>
      <c r="AD300" s="64">
        <f t="shared" si="199"/>
        <v>17.563195887123658</v>
      </c>
      <c r="AE300" s="61">
        <f t="shared" si="200"/>
        <v>159.89192402524631</v>
      </c>
      <c r="AF300" s="31" t="str">
        <f t="shared" si="185"/>
        <v>-10.0808080808081</v>
      </c>
      <c r="AG300" s="31" t="str">
        <f t="shared" si="201"/>
        <v>41512.5936507115i</v>
      </c>
      <c r="AH300" s="31">
        <f t="shared" si="202"/>
        <v>41512.593650711497</v>
      </c>
      <c r="AI300" s="31">
        <f t="shared" si="203"/>
        <v>1.5707963267948966</v>
      </c>
      <c r="AJ300" s="31" t="str">
        <f t="shared" si="186"/>
        <v>-31.9633108212717+55.7404954607754i</v>
      </c>
      <c r="AK300" s="31">
        <f t="shared" si="204"/>
        <v>64.254619078086108</v>
      </c>
      <c r="AL300" s="31">
        <f t="shared" si="205"/>
        <v>2.091450429367903</v>
      </c>
      <c r="AM300" s="31" t="str">
        <f t="shared" si="187"/>
        <v>1+41145.6887429892i</v>
      </c>
      <c r="AN300" s="31">
        <f t="shared" si="206"/>
        <v>41145.688755141142</v>
      </c>
      <c r="AO300" s="31">
        <f t="shared" si="207"/>
        <v>1.570772022912027</v>
      </c>
      <c r="AP300" s="31" t="str">
        <f t="shared" si="188"/>
        <v>1+48.2210287846665i</v>
      </c>
      <c r="AQ300" s="31">
        <f t="shared" si="208"/>
        <v>48.231396590308634</v>
      </c>
      <c r="AR300" s="31">
        <f t="shared" si="209"/>
        <v>1.5500614584293047</v>
      </c>
      <c r="AS300" s="58" t="str">
        <f t="shared" si="210"/>
        <v>-6.42741879952301+3.865143336456i</v>
      </c>
      <c r="AT300" s="49">
        <f t="shared" si="211"/>
        <v>17.501305982995817</v>
      </c>
      <c r="AU300" s="61">
        <f t="shared" si="212"/>
        <v>148.97930438037338</v>
      </c>
      <c r="AV300" s="58" t="str">
        <f t="shared" si="189"/>
        <v>35.5540250807311-44.1078898554823i</v>
      </c>
      <c r="AW300" s="64">
        <f t="shared" si="213"/>
        <v>35.064501870119486</v>
      </c>
      <c r="AX300" s="61">
        <f t="shared" si="214"/>
        <v>-51.128771594380318</v>
      </c>
    </row>
    <row r="301" spans="14:50" x14ac:dyDescent="0.4">
      <c r="N301" s="10">
        <v>83</v>
      </c>
      <c r="O301" s="50">
        <f t="shared" si="215"/>
        <v>6760.8297539198229</v>
      </c>
      <c r="P301" s="48" t="str">
        <f t="shared" si="180"/>
        <v>5120.19230769231</v>
      </c>
      <c r="Q301" s="17" t="str">
        <f t="shared" si="181"/>
        <v>1+198.510186929302i</v>
      </c>
      <c r="R301" s="17">
        <f t="shared" si="190"/>
        <v>198.51270567574866</v>
      </c>
      <c r="S301" s="17">
        <f t="shared" si="191"/>
        <v>1.5657588445542527</v>
      </c>
      <c r="T301" s="17" t="str">
        <f t="shared" si="182"/>
        <v>1+0.000424370666279975i</v>
      </c>
      <c r="U301" s="17">
        <f t="shared" si="192"/>
        <v>1.0000000900452271</v>
      </c>
      <c r="V301" s="17">
        <f t="shared" si="193"/>
        <v>4.2437064080494126E-4</v>
      </c>
      <c r="W301" s="31" t="str">
        <f t="shared" si="183"/>
        <v>1-0.68816864802158i</v>
      </c>
      <c r="X301" s="17">
        <f t="shared" si="194"/>
        <v>1.2139094233590286</v>
      </c>
      <c r="Y301" s="17">
        <f t="shared" si="195"/>
        <v>-0.60274124657484218</v>
      </c>
      <c r="Z301" s="31" t="str">
        <f t="shared" si="184"/>
        <v>0.981716472415405+4.18989530435448i</v>
      </c>
      <c r="AA301" s="17">
        <f t="shared" si="196"/>
        <v>4.3033695976134174</v>
      </c>
      <c r="AB301" s="17">
        <f t="shared" si="197"/>
        <v>1.3406424047941847</v>
      </c>
      <c r="AC301" s="66" t="str">
        <f t="shared" si="198"/>
        <v>-6.79088230495492+2.61150081204516i</v>
      </c>
      <c r="AD301" s="64">
        <f t="shared" si="199"/>
        <v>17.237512772768081</v>
      </c>
      <c r="AE301" s="61">
        <f t="shared" si="200"/>
        <v>158.9652599202598</v>
      </c>
      <c r="AF301" s="31" t="str">
        <f t="shared" si="185"/>
        <v>-10.0808080808081</v>
      </c>
      <c r="AG301" s="31" t="str">
        <f t="shared" si="201"/>
        <v>42479.5461741716i</v>
      </c>
      <c r="AH301" s="31">
        <f t="shared" si="202"/>
        <v>42479.546174171599</v>
      </c>
      <c r="AI301" s="31">
        <f t="shared" si="203"/>
        <v>1.5707963267948966</v>
      </c>
      <c r="AJ301" s="31" t="str">
        <f t="shared" si="186"/>
        <v>-33.5168237992288+57.0388583912687i</v>
      </c>
      <c r="AK301" s="31">
        <f t="shared" si="204"/>
        <v>66.157454940223886</v>
      </c>
      <c r="AL301" s="31">
        <f t="shared" si="205"/>
        <v>2.1020585869041288</v>
      </c>
      <c r="AM301" s="31" t="str">
        <f t="shared" si="187"/>
        <v>1+42104.094953266i</v>
      </c>
      <c r="AN301" s="31">
        <f t="shared" si="206"/>
        <v>42104.094965141325</v>
      </c>
      <c r="AO301" s="31">
        <f t="shared" si="207"/>
        <v>1.5707725761359423</v>
      </c>
      <c r="AP301" s="31" t="str">
        <f t="shared" si="188"/>
        <v>1+49.3442408359178i</v>
      </c>
      <c r="AQ301" s="31">
        <f t="shared" si="208"/>
        <v>49.354372690502892</v>
      </c>
      <c r="AR301" s="31">
        <f t="shared" si="209"/>
        <v>1.5505333109688304</v>
      </c>
      <c r="AS301" s="58" t="str">
        <f t="shared" si="210"/>
        <v>-6.34863512356801+3.90592502758893i</v>
      </c>
      <c r="AT301" s="49">
        <f t="shared" si="211"/>
        <v>17.4477332295005</v>
      </c>
      <c r="AU301" s="61">
        <f t="shared" si="212"/>
        <v>148.39856858160059</v>
      </c>
      <c r="AV301" s="58" t="str">
        <f t="shared" si="189"/>
        <v>32.9125075399173-43.1041429349105i</v>
      </c>
      <c r="AW301" s="64">
        <f t="shared" si="213"/>
        <v>34.685246002268585</v>
      </c>
      <c r="AX301" s="61">
        <f t="shared" si="214"/>
        <v>-52.636171498139618</v>
      </c>
    </row>
    <row r="302" spans="14:50" x14ac:dyDescent="0.4">
      <c r="N302" s="10">
        <v>84</v>
      </c>
      <c r="O302" s="50">
        <f t="shared" si="215"/>
        <v>6918.3097091893687</v>
      </c>
      <c r="P302" s="48" t="str">
        <f t="shared" si="180"/>
        <v>5120.19230769231</v>
      </c>
      <c r="Q302" s="17" t="str">
        <f t="shared" si="181"/>
        <v>1+203.134083181097i</v>
      </c>
      <c r="R302" s="17">
        <f t="shared" si="190"/>
        <v>203.13654459457763</v>
      </c>
      <c r="S302" s="17">
        <f t="shared" si="191"/>
        <v>1.5658735097752978</v>
      </c>
      <c r="T302" s="17" t="str">
        <f t="shared" si="182"/>
        <v>1+0.000434255528933812i</v>
      </c>
      <c r="U302" s="17">
        <f t="shared" si="192"/>
        <v>1.0000000942889278</v>
      </c>
      <c r="V302" s="17">
        <f t="shared" si="193"/>
        <v>4.3425550163682164E-4</v>
      </c>
      <c r="W302" s="31" t="str">
        <f t="shared" si="183"/>
        <v>1-0.704198155027803i</v>
      </c>
      <c r="X302" s="17">
        <f t="shared" si="194"/>
        <v>1.2230678810043871</v>
      </c>
      <c r="Y302" s="17">
        <f t="shared" si="195"/>
        <v>-0.61353796459954557</v>
      </c>
      <c r="Z302" s="31" t="str">
        <f t="shared" si="184"/>
        <v>0.980854796307094+4.28749050333597i</v>
      </c>
      <c r="AA302" s="17">
        <f t="shared" si="196"/>
        <v>4.3982554436543086</v>
      </c>
      <c r="AB302" s="17">
        <f t="shared" si="197"/>
        <v>1.3458952145356182</v>
      </c>
      <c r="AC302" s="66" t="str">
        <f t="shared" si="198"/>
        <v>-6.50063291545882+2.62118993889505i</v>
      </c>
      <c r="AD302" s="64">
        <f t="shared" si="199"/>
        <v>16.913367309351774</v>
      </c>
      <c r="AE302" s="61">
        <f t="shared" si="200"/>
        <v>158.03968624366604</v>
      </c>
      <c r="AF302" s="31" t="str">
        <f t="shared" si="185"/>
        <v>-10.0808080808081</v>
      </c>
      <c r="AG302" s="31" t="str">
        <f t="shared" si="201"/>
        <v>43469.0219152965i</v>
      </c>
      <c r="AH302" s="31">
        <f t="shared" si="202"/>
        <v>43469.0219152965</v>
      </c>
      <c r="AI302" s="31">
        <f t="shared" si="203"/>
        <v>1.5707963267948966</v>
      </c>
      <c r="AJ302" s="31" t="str">
        <f t="shared" si="186"/>
        <v>-35.1435515882152+58.3674640794795i</v>
      </c>
      <c r="AK302" s="31">
        <f t="shared" si="204"/>
        <v>68.130977398705156</v>
      </c>
      <c r="AL302" s="31">
        <f t="shared" si="205"/>
        <v>2.1127648198082793</v>
      </c>
      <c r="AM302" s="31" t="str">
        <f t="shared" si="187"/>
        <v>1+43084.8253120005i</v>
      </c>
      <c r="AN302" s="31">
        <f t="shared" si="206"/>
        <v>43084.82532360551</v>
      </c>
      <c r="AO302" s="31">
        <f t="shared" si="207"/>
        <v>1.5707731167669441</v>
      </c>
      <c r="AP302" s="31" t="str">
        <f t="shared" si="188"/>
        <v>1+50.4936158568084i</v>
      </c>
      <c r="AQ302" s="31">
        <f t="shared" si="208"/>
        <v>50.503517127967747</v>
      </c>
      <c r="AR302" s="31">
        <f t="shared" si="209"/>
        <v>1.5509944315533242</v>
      </c>
      <c r="AS302" s="58" t="str">
        <f t="shared" si="210"/>
        <v>-6.26818319581179+3.94551387269697i</v>
      </c>
      <c r="AT302" s="49">
        <f t="shared" si="211"/>
        <v>17.392336390857224</v>
      </c>
      <c r="AU302" s="61">
        <f t="shared" si="212"/>
        <v>147.81159786092138</v>
      </c>
      <c r="AV302" s="58" t="str">
        <f t="shared" si="189"/>
        <v>30.4052167359358-42.0784360772662i</v>
      </c>
      <c r="AW302" s="64">
        <f t="shared" si="213"/>
        <v>34.305703700208994</v>
      </c>
      <c r="AX302" s="61">
        <f t="shared" si="214"/>
        <v>-54.1487158954126</v>
      </c>
    </row>
    <row r="303" spans="14:50" x14ac:dyDescent="0.4">
      <c r="N303" s="10">
        <v>85</v>
      </c>
      <c r="O303" s="50">
        <f t="shared" si="215"/>
        <v>7079.4578438413828</v>
      </c>
      <c r="P303" s="48" t="str">
        <f t="shared" si="180"/>
        <v>5120.19230769231</v>
      </c>
      <c r="Q303" s="17" t="str">
        <f t="shared" si="181"/>
        <v>1+207.865683812592i</v>
      </c>
      <c r="R303" s="17">
        <f t="shared" si="190"/>
        <v>207.86808919811736</v>
      </c>
      <c r="S303" s="17">
        <f t="shared" si="191"/>
        <v>1.5659855650223407</v>
      </c>
      <c r="T303" s="17" t="str">
        <f t="shared" si="182"/>
        <v>1+0.000444370639617142i</v>
      </c>
      <c r="U303" s="17">
        <f t="shared" si="192"/>
        <v>1.0000000987326279</v>
      </c>
      <c r="V303" s="17">
        <f t="shared" si="193"/>
        <v>4.4437061036789005E-4</v>
      </c>
      <c r="W303" s="31" t="str">
        <f t="shared" si="183"/>
        <v>1-0.720601037216987i</v>
      </c>
      <c r="X303" s="17">
        <f t="shared" si="194"/>
        <v>1.2325850294556548</v>
      </c>
      <c r="Y303" s="17">
        <f t="shared" si="195"/>
        <v>-0.62441877606534657</v>
      </c>
      <c r="Z303" s="31" t="str">
        <f t="shared" si="184"/>
        <v>0.979952510654909+4.38735898653398i</v>
      </c>
      <c r="AA303" s="17">
        <f t="shared" si="196"/>
        <v>4.4954672504489821</v>
      </c>
      <c r="AB303" s="17">
        <f t="shared" si="197"/>
        <v>1.3510451423879712</v>
      </c>
      <c r="AC303" s="66" t="str">
        <f t="shared" si="198"/>
        <v>-6.22209627975251+2.62635197050845i</v>
      </c>
      <c r="AD303" s="64">
        <f t="shared" si="199"/>
        <v>16.590810845726832</v>
      </c>
      <c r="AE303" s="61">
        <f t="shared" si="200"/>
        <v>157.11535179857316</v>
      </c>
      <c r="AF303" s="31" t="str">
        <f t="shared" si="185"/>
        <v>-10.0808080808081</v>
      </c>
      <c r="AG303" s="31" t="str">
        <f t="shared" si="201"/>
        <v>44481.5455072214i</v>
      </c>
      <c r="AH303" s="31">
        <f t="shared" si="202"/>
        <v>44481.545507221403</v>
      </c>
      <c r="AI303" s="31">
        <f t="shared" si="203"/>
        <v>1.5707963267948966</v>
      </c>
      <c r="AJ303" s="31" t="str">
        <f t="shared" si="186"/>
        <v>-36.8469446959704+59.72701696973i</v>
      </c>
      <c r="AK303" s="31">
        <f t="shared" si="204"/>
        <v>70.178443196827303</v>
      </c>
      <c r="AL303" s="31">
        <f t="shared" si="205"/>
        <v>2.123566054417076</v>
      </c>
      <c r="AM303" s="31" t="str">
        <f t="shared" si="187"/>
        <v>1+44088.3998154105i</v>
      </c>
      <c r="AN303" s="31">
        <f t="shared" si="206"/>
        <v>44088.399826751353</v>
      </c>
      <c r="AO303" s="31">
        <f t="shared" si="207"/>
        <v>1.5707736450916818</v>
      </c>
      <c r="AP303" s="31" t="str">
        <f t="shared" si="188"/>
        <v>1+51.6697632611884i</v>
      </c>
      <c r="AQ303" s="31">
        <f t="shared" si="208"/>
        <v>51.679439194589314</v>
      </c>
      <c r="AR303" s="31">
        <f t="shared" si="209"/>
        <v>1.5514450638901807</v>
      </c>
      <c r="AS303" s="58" t="str">
        <f t="shared" si="210"/>
        <v>-6.18609732754315+3.98382872470924i</v>
      </c>
      <c r="AT303" s="49">
        <f t="shared" si="211"/>
        <v>17.335077545500248</v>
      </c>
      <c r="AU303" s="61">
        <f t="shared" si="212"/>
        <v>147.21858230609831</v>
      </c>
      <c r="AV303" s="58" t="str">
        <f t="shared" si="189"/>
        <v>28.0275567465849-41.0346347931346i</v>
      </c>
      <c r="AW303" s="64">
        <f t="shared" si="213"/>
        <v>33.925888391227083</v>
      </c>
      <c r="AX303" s="61">
        <f t="shared" si="214"/>
        <v>-55.666065895328586</v>
      </c>
    </row>
    <row r="304" spans="14:50" x14ac:dyDescent="0.4">
      <c r="N304" s="10">
        <v>86</v>
      </c>
      <c r="O304" s="50">
        <f t="shared" si="215"/>
        <v>7244.3596007499036</v>
      </c>
      <c r="P304" s="48" t="str">
        <f t="shared" si="180"/>
        <v>5120.19230769231</v>
      </c>
      <c r="Q304" s="17" t="str">
        <f t="shared" si="181"/>
        <v>1+212.707497581073i</v>
      </c>
      <c r="R304" s="17">
        <f t="shared" si="190"/>
        <v>212.70984821395123</v>
      </c>
      <c r="S304" s="17">
        <f t="shared" si="191"/>
        <v>1.5660950696972937</v>
      </c>
      <c r="T304" s="17" t="str">
        <f t="shared" si="182"/>
        <v>1+0.000454721361495539i</v>
      </c>
      <c r="U304" s="17">
        <f t="shared" si="192"/>
        <v>1.0000001033857528</v>
      </c>
      <c r="V304" s="17">
        <f t="shared" si="193"/>
        <v>4.5472133015440105E-4</v>
      </c>
      <c r="W304" s="31" t="str">
        <f t="shared" si="183"/>
        <v>1-0.737385991614387i</v>
      </c>
      <c r="X304" s="17">
        <f t="shared" si="194"/>
        <v>1.2424725754032291</v>
      </c>
      <c r="Y304" s="17">
        <f t="shared" si="195"/>
        <v>-0.63537914469064372</v>
      </c>
      <c r="Z304" s="31" t="str">
        <f t="shared" si="184"/>
        <v>0.979007701590009+4.48955370554022i</v>
      </c>
      <c r="AA304" s="17">
        <f t="shared" si="196"/>
        <v>4.595056969690634</v>
      </c>
      <c r="AB304" s="17">
        <f t="shared" si="197"/>
        <v>1.3560938907041791</v>
      </c>
      <c r="AC304" s="66" t="str">
        <f t="shared" si="198"/>
        <v>-5.95485543397547+2.62734580653261i</v>
      </c>
      <c r="AD304" s="64">
        <f t="shared" si="199"/>
        <v>16.269892627453618</v>
      </c>
      <c r="AE304" s="61">
        <f t="shared" si="200"/>
        <v>156.19241586094043</v>
      </c>
      <c r="AF304" s="31" t="str">
        <f t="shared" si="185"/>
        <v>-10.0808080808081</v>
      </c>
      <c r="AG304" s="31" t="str">
        <f t="shared" si="201"/>
        <v>45517.6538033572i</v>
      </c>
      <c r="AH304" s="31">
        <f t="shared" si="202"/>
        <v>45517.6538033572</v>
      </c>
      <c r="AI304" s="31">
        <f t="shared" si="203"/>
        <v>1.5707963267948966</v>
      </c>
      <c r="AJ304" s="31" t="str">
        <f t="shared" si="186"/>
        <v>-38.6306162476544+61.1182379149584i</v>
      </c>
      <c r="AK304" s="31">
        <f t="shared" si="204"/>
        <v>72.303274597372138</v>
      </c>
      <c r="AL304" s="31">
        <f t="shared" si="205"/>
        <v>2.134458999465461</v>
      </c>
      <c r="AM304" s="31" t="str">
        <f t="shared" si="187"/>
        <v>1+45115.3505719818i</v>
      </c>
      <c r="AN304" s="31">
        <f t="shared" si="206"/>
        <v>45115.350583064501</v>
      </c>
      <c r="AO304" s="31">
        <f t="shared" si="207"/>
        <v>1.5707741613902804</v>
      </c>
      <c r="AP304" s="31" t="str">
        <f t="shared" si="188"/>
        <v>1+52.8733066579798i</v>
      </c>
      <c r="AQ304" s="31">
        <f t="shared" si="208"/>
        <v>52.88276238008725</v>
      </c>
      <c r="AR304" s="31">
        <f t="shared" si="209"/>
        <v>1.5518854461781328</v>
      </c>
      <c r="AS304" s="58" t="str">
        <f t="shared" si="210"/>
        <v>-6.10241677647432+4.02078902782661i</v>
      </c>
      <c r="AT304" s="49">
        <f t="shared" si="211"/>
        <v>17.275919617724057</v>
      </c>
      <c r="AU304" s="61">
        <f t="shared" si="212"/>
        <v>146.61972415656061</v>
      </c>
      <c r="AV304" s="58" t="str">
        <f t="shared" si="189"/>
        <v>25.7750065105586-39.9763765186063i</v>
      </c>
      <c r="AW304" s="64">
        <f t="shared" si="213"/>
        <v>33.545812245177672</v>
      </c>
      <c r="AX304" s="61">
        <f t="shared" si="214"/>
        <v>-57.187859982498992</v>
      </c>
    </row>
    <row r="305" spans="14:50" x14ac:dyDescent="0.4">
      <c r="N305" s="10">
        <v>87</v>
      </c>
      <c r="O305" s="50">
        <f t="shared" si="215"/>
        <v>7413.1024130091773</v>
      </c>
      <c r="P305" s="48" t="str">
        <f t="shared" si="180"/>
        <v>5120.19230769231</v>
      </c>
      <c r="Q305" s="17" t="str">
        <f t="shared" si="181"/>
        <v>1+217.662091680287i</v>
      </c>
      <c r="R305" s="17">
        <f t="shared" si="190"/>
        <v>217.66438880679971</v>
      </c>
      <c r="S305" s="17">
        <f t="shared" si="191"/>
        <v>1.5662020818504743</v>
      </c>
      <c r="T305" s="17" t="str">
        <f t="shared" si="182"/>
        <v>1+0.000465313182658748i</v>
      </c>
      <c r="U305" s="17">
        <f t="shared" si="192"/>
        <v>1.0000001082581731</v>
      </c>
      <c r="V305" s="17">
        <f t="shared" si="193"/>
        <v>4.6531314907611383E-4</v>
      </c>
      <c r="W305" s="31" t="str">
        <f t="shared" si="183"/>
        <v>1-0.754561917824996i</v>
      </c>
      <c r="X305" s="17">
        <f t="shared" si="194"/>
        <v>1.2527424666832909</v>
      </c>
      <c r="Y305" s="17">
        <f t="shared" si="195"/>
        <v>-0.64641434876024306</v>
      </c>
      <c r="Z305" s="31" t="str">
        <f t="shared" si="184"/>
        <v>0.978018365045695+4.5941288453474i</v>
      </c>
      <c r="AA305" s="17">
        <f t="shared" si="196"/>
        <v>4.6970777905012051</v>
      </c>
      <c r="AB305" s="17">
        <f t="shared" si="197"/>
        <v>1.3610431702286285</v>
      </c>
      <c r="AC305" s="66" t="str">
        <f t="shared" si="198"/>
        <v>-5.69850353088854+2.62450826305942i</v>
      </c>
      <c r="AD305" s="64">
        <f t="shared" si="199"/>
        <v>15.950659703153207</v>
      </c>
      <c r="AE305" s="61">
        <f t="shared" si="200"/>
        <v>155.27104793509315</v>
      </c>
      <c r="AF305" s="31" t="str">
        <f t="shared" si="185"/>
        <v>-10.0808080808081</v>
      </c>
      <c r="AG305" s="31" t="str">
        <f t="shared" si="201"/>
        <v>46577.8961620368i</v>
      </c>
      <c r="AH305" s="31">
        <f t="shared" si="202"/>
        <v>46577.896162036799</v>
      </c>
      <c r="AI305" s="31">
        <f t="shared" si="203"/>
        <v>1.5707963267948966</v>
      </c>
      <c r="AJ305" s="31" t="str">
        <f t="shared" si="186"/>
        <v>-40.4983496497686+62.5418645589248i</v>
      </c>
      <c r="AK305" s="31">
        <f t="shared" si="204"/>
        <v>74.509067547928737</v>
      </c>
      <c r="AL305" s="31">
        <f t="shared" si="205"/>
        <v>2.1454401481984373</v>
      </c>
      <c r="AM305" s="31" t="str">
        <f t="shared" si="187"/>
        <v>1+46166.2220845984i</v>
      </c>
      <c r="AN305" s="31">
        <f t="shared" si="206"/>
        <v>46166.222095428828</v>
      </c>
      <c r="AO305" s="31">
        <f t="shared" si="207"/>
        <v>1.5707746659364878</v>
      </c>
      <c r="AP305" s="31" t="str">
        <f t="shared" si="188"/>
        <v>1+54.104884181822i</v>
      </c>
      <c r="AQ305" s="31">
        <f t="shared" si="208"/>
        <v>54.114124702598424</v>
      </c>
      <c r="AR305" s="31">
        <f t="shared" si="209"/>
        <v>1.5523158112300568</v>
      </c>
      <c r="AS305" s="58" t="str">
        <f t="shared" si="210"/>
        <v>-6.01718579079327+4.0563151672186i</v>
      </c>
      <c r="AT305" s="49">
        <f t="shared" si="211"/>
        <v>17.214826491524825</v>
      </c>
      <c r="AU305" s="61">
        <f t="shared" si="212"/>
        <v>146.01523768944915</v>
      </c>
      <c r="AV305" s="58" t="str">
        <f t="shared" si="189"/>
        <v>23.6431218009093-38.9070801310926i</v>
      </c>
      <c r="AW305" s="64">
        <f t="shared" si="213"/>
        <v>33.165486194678031</v>
      </c>
      <c r="AX305" s="61">
        <f t="shared" si="214"/>
        <v>-58.713714375457727</v>
      </c>
    </row>
    <row r="306" spans="14:50" x14ac:dyDescent="0.4">
      <c r="N306" s="10">
        <v>88</v>
      </c>
      <c r="O306" s="50">
        <f t="shared" si="215"/>
        <v>7585.7757502918394</v>
      </c>
      <c r="P306" s="48" t="str">
        <f t="shared" si="180"/>
        <v>5120.19230769231</v>
      </c>
      <c r="Q306" s="17" t="str">
        <f t="shared" si="181"/>
        <v>1+222.732093101609i</v>
      </c>
      <c r="R306" s="17">
        <f t="shared" si="190"/>
        <v>222.73433793967158</v>
      </c>
      <c r="S306" s="17">
        <f t="shared" si="191"/>
        <v>1.5663066582113332</v>
      </c>
      <c r="T306" s="17" t="str">
        <f t="shared" si="182"/>
        <v>1+0.000476151719030552i</v>
      </c>
      <c r="U306" s="17">
        <f t="shared" si="192"/>
        <v>1.0000001133602234</v>
      </c>
      <c r="V306" s="17">
        <f t="shared" si="193"/>
        <v>4.7615168304611139E-4</v>
      </c>
      <c r="W306" s="31" t="str">
        <f t="shared" si="183"/>
        <v>1-0.772137922752245i</v>
      </c>
      <c r="X306" s="17">
        <f t="shared" si="194"/>
        <v>1.263406890812359</v>
      </c>
      <c r="Y306" s="17">
        <f t="shared" si="195"/>
        <v>-0.65751948909633839</v>
      </c>
      <c r="Z306" s="31" t="str">
        <f t="shared" si="184"/>
        <v>0.976982402506514+4.70113985307887i</v>
      </c>
      <c r="AA306" s="17">
        <f t="shared" si="196"/>
        <v>4.801584169106464</v>
      </c>
      <c r="AB306" s="17">
        <f t="shared" si="197"/>
        <v>1.3658946975272004</v>
      </c>
      <c r="AC306" s="66" t="str">
        <f t="shared" si="198"/>
        <v>-5.45264402160165+2.61815519781344i</v>
      </c>
      <c r="AD306" s="64">
        <f t="shared" si="199"/>
        <v>15.633156834165952</v>
      </c>
      <c r="AE306" s="61">
        <f t="shared" si="200"/>
        <v>154.35142744267219</v>
      </c>
      <c r="AF306" s="31" t="str">
        <f t="shared" si="185"/>
        <v>-10.0808080808081</v>
      </c>
      <c r="AG306" s="31" t="str">
        <f t="shared" si="201"/>
        <v>47662.8347377929i</v>
      </c>
      <c r="AH306" s="31">
        <f t="shared" si="202"/>
        <v>47662.834737792902</v>
      </c>
      <c r="AI306" s="31">
        <f t="shared" si="203"/>
        <v>1.5707963267948966</v>
      </c>
      <c r="AJ306" s="31" t="str">
        <f t="shared" si="186"/>
        <v>-42.4541066152708+63.9986517273198i</v>
      </c>
      <c r="AK306" s="31">
        <f t="shared" si="204"/>
        <v>76.799600203487742</v>
      </c>
      <c r="AL306" s="31">
        <f t="shared" si="205"/>
        <v>2.1565057814186326</v>
      </c>
      <c r="AM306" s="31" t="str">
        <f t="shared" si="187"/>
        <v>1+47241.5715392466i</v>
      </c>
      <c r="AN306" s="31">
        <f t="shared" si="206"/>
        <v>47241.571549830493</v>
      </c>
      <c r="AO306" s="31">
        <f t="shared" si="207"/>
        <v>1.5707751589978216</v>
      </c>
      <c r="AP306" s="31" t="str">
        <f t="shared" si="188"/>
        <v>1+55.3651488314203i</v>
      </c>
      <c r="AQ306" s="31">
        <f t="shared" si="208"/>
        <v>55.374179046964848</v>
      </c>
      <c r="AR306" s="31">
        <f t="shared" si="209"/>
        <v>1.5527363865931569</v>
      </c>
      <c r="AS306" s="58" t="str">
        <f t="shared" si="210"/>
        <v>-5.93045362497424+4.09032882943004i</v>
      </c>
      <c r="AT306" s="49">
        <f t="shared" si="211"/>
        <v>17.151763125136977</v>
      </c>
      <c r="AU306" s="61">
        <f t="shared" si="212"/>
        <v>145.40534905189844</v>
      </c>
      <c r="AV306" s="58" t="str">
        <f t="shared" si="189"/>
        <v>21.6275368180632-37.8299550217944i</v>
      </c>
      <c r="AW306" s="64">
        <f t="shared" si="213"/>
        <v>32.784919959302918</v>
      </c>
      <c r="AX306" s="61">
        <f t="shared" si="214"/>
        <v>-60.243223505429349</v>
      </c>
    </row>
    <row r="307" spans="14:50" x14ac:dyDescent="0.4">
      <c r="N307" s="10">
        <v>89</v>
      </c>
      <c r="O307" s="50">
        <f t="shared" si="215"/>
        <v>7762.4711662869322</v>
      </c>
      <c r="P307" s="48" t="str">
        <f t="shared" si="180"/>
        <v>5120.19230769231</v>
      </c>
      <c r="Q307" s="17" t="str">
        <f t="shared" si="181"/>
        <v>1+227.920190026901i</v>
      </c>
      <c r="R307" s="17">
        <f t="shared" si="190"/>
        <v>227.92238376670829</v>
      </c>
      <c r="S307" s="17">
        <f t="shared" si="191"/>
        <v>1.5664088542184864</v>
      </c>
      <c r="T307" s="17" t="str">
        <f t="shared" si="182"/>
        <v>1+0.000487242717346398i</v>
      </c>
      <c r="U307" s="17">
        <f t="shared" si="192"/>
        <v>1.0000001187027256</v>
      </c>
      <c r="V307" s="17">
        <f t="shared" si="193"/>
        <v>4.8724267878837542E-4</v>
      </c>
      <c r="W307" s="31" t="str">
        <f t="shared" si="183"/>
        <v>1-0.790123325426591i</v>
      </c>
      <c r="X307" s="17">
        <f t="shared" si="194"/>
        <v>1.2744782734057003</v>
      </c>
      <c r="Y307" s="17">
        <f t="shared" si="195"/>
        <v>-0.66868949799906552</v>
      </c>
      <c r="Z307" s="31" t="str">
        <f t="shared" si="184"/>
        <v>0.975897616557026+4.81064346738738i</v>
      </c>
      <c r="AA307" s="17">
        <f t="shared" si="196"/>
        <v>4.9086318591149771</v>
      </c>
      <c r="AB307" s="17">
        <f t="shared" si="197"/>
        <v>1.3706501925876213</v>
      </c>
      <c r="AC307" s="66" t="str">
        <f t="shared" si="198"/>
        <v>-5.21689078735642+2.60858259632207i</v>
      </c>
      <c r="AD307" s="64">
        <f t="shared" si="199"/>
        <v>15.317426408214454</v>
      </c>
      <c r="AE307" s="61">
        <f t="shared" si="200"/>
        <v>153.43374334631869</v>
      </c>
      <c r="AF307" s="31" t="str">
        <f t="shared" si="185"/>
        <v>-10.0808080808081</v>
      </c>
      <c r="AG307" s="31" t="str">
        <f t="shared" si="201"/>
        <v>48773.0447794192i</v>
      </c>
      <c r="AH307" s="31">
        <f t="shared" si="202"/>
        <v>48773.0447794192</v>
      </c>
      <c r="AI307" s="31">
        <f t="shared" si="203"/>
        <v>1.5707963267948966</v>
      </c>
      <c r="AJ307" s="31" t="str">
        <f t="shared" si="186"/>
        <v>-44.5020355668975+65.489371827983i</v>
      </c>
      <c r="AK307" s="31">
        <f t="shared" si="204"/>
        <v>79.178841820408209</v>
      </c>
      <c r="AL307" s="31">
        <f t="shared" si="205"/>
        <v>2.1676519714945224</v>
      </c>
      <c r="AM307" s="31" t="str">
        <f t="shared" si="187"/>
        <v>1+48341.9691004409i</v>
      </c>
      <c r="AN307" s="31">
        <f t="shared" si="206"/>
        <v>48341.969110783881</v>
      </c>
      <c r="AO307" s="31">
        <f t="shared" si="207"/>
        <v>1.570775640835709</v>
      </c>
      <c r="AP307" s="31" t="str">
        <f t="shared" si="188"/>
        <v>1+56.6547688157734i</v>
      </c>
      <c r="AQ307" s="31">
        <f t="shared" si="208"/>
        <v>56.663593510901954</v>
      </c>
      <c r="AR307" s="31">
        <f t="shared" si="209"/>
        <v>1.553147394666573</v>
      </c>
      <c r="AS307" s="58" t="str">
        <f t="shared" si="210"/>
        <v>-5.8422745256819+4.12275337097434i</v>
      </c>
      <c r="AT307" s="49">
        <f t="shared" si="211"/>
        <v>17.086695665597009</v>
      </c>
      <c r="AU307" s="61">
        <f t="shared" si="212"/>
        <v>144.79029603812918</v>
      </c>
      <c r="AV307" s="58" t="str">
        <f t="shared" si="189"/>
        <v>19.7239654577852-36.7480097302082i</v>
      </c>
      <c r="AW307" s="64">
        <f t="shared" si="213"/>
        <v>32.404122073811465</v>
      </c>
      <c r="AX307" s="61">
        <f t="shared" si="214"/>
        <v>-61.775960615552101</v>
      </c>
    </row>
    <row r="308" spans="14:50" x14ac:dyDescent="0.4">
      <c r="N308" s="10">
        <v>90</v>
      </c>
      <c r="O308" s="50">
        <f t="shared" si="215"/>
        <v>7943.2823472428154</v>
      </c>
      <c r="P308" s="48" t="str">
        <f t="shared" si="180"/>
        <v>5120.19230769231</v>
      </c>
      <c r="Q308" s="17" t="str">
        <f t="shared" si="181"/>
        <v>1+233.229133253826i</v>
      </c>
      <c r="R308" s="17">
        <f t="shared" si="190"/>
        <v>233.23127705848316</v>
      </c>
      <c r="S308" s="17">
        <f t="shared" si="191"/>
        <v>1.5665087240490663</v>
      </c>
      <c r="T308" s="17" t="str">
        <f t="shared" si="182"/>
        <v>1+0.000498592058200401i</v>
      </c>
      <c r="U308" s="17">
        <f t="shared" si="192"/>
        <v>1.0000001242970125</v>
      </c>
      <c r="V308" s="17">
        <f t="shared" si="193"/>
        <v>4.9859201688473565E-4</v>
      </c>
      <c r="W308" s="31" t="str">
        <f t="shared" si="183"/>
        <v>1-0.808527661946595i</v>
      </c>
      <c r="X308" s="17">
        <f t="shared" si="194"/>
        <v>1.2859692765120119</v>
      </c>
      <c r="Y308" s="17">
        <f t="shared" si="195"/>
        <v>-0.67991914913105955</v>
      </c>
      <c r="Z308" s="31" t="str">
        <f t="shared" si="184"/>
        <v>0.974761706220792+4.92269774853869i</v>
      </c>
      <c r="AA308" s="17">
        <f t="shared" si="196"/>
        <v>5.0182779424203234</v>
      </c>
      <c r="AB308" s="17">
        <f t="shared" si="197"/>
        <v>1.3753113765837424</v>
      </c>
      <c r="AC308" s="66" t="str">
        <f t="shared" si="198"/>
        <v>-4.99086822570661+2.59606761847543i</v>
      </c>
      <c r="AD308" s="64">
        <f t="shared" si="199"/>
        <v>15.003508357769888</v>
      </c>
      <c r="AE308" s="61">
        <f t="shared" si="200"/>
        <v>152.51819370991967</v>
      </c>
      <c r="AF308" s="31" t="str">
        <f t="shared" si="185"/>
        <v>-10.0808080808081</v>
      </c>
      <c r="AG308" s="31" t="str">
        <f t="shared" si="201"/>
        <v>49909.114934975i</v>
      </c>
      <c r="AH308" s="31">
        <f t="shared" si="202"/>
        <v>49909.114934974998</v>
      </c>
      <c r="AI308" s="31">
        <f t="shared" si="203"/>
        <v>1.5707963267948966</v>
      </c>
      <c r="AJ308" s="31" t="str">
        <f t="shared" si="186"/>
        <v>-46.6464804365255+67.0148152604436i</v>
      </c>
      <c r="AK308" s="31">
        <f t="shared" si="204"/>
        <v>81.650962036625998</v>
      </c>
      <c r="AL308" s="31">
        <f t="shared" si="205"/>
        <v>2.1788745873474391</v>
      </c>
      <c r="AM308" s="31" t="str">
        <f t="shared" si="187"/>
        <v>1+49467.9982135339i</v>
      </c>
      <c r="AN308" s="31">
        <f t="shared" si="206"/>
        <v>49467.998223641451</v>
      </c>
      <c r="AO308" s="31">
        <f t="shared" si="207"/>
        <v>1.5707761117056271</v>
      </c>
      <c r="AP308" s="31" t="str">
        <f t="shared" si="188"/>
        <v>1+57.974427908467i</v>
      </c>
      <c r="AQ308" s="31">
        <f t="shared" si="208"/>
        <v>57.983051759234243</v>
      </c>
      <c r="AR308" s="31">
        <f t="shared" si="209"/>
        <v>1.5535490528164622</v>
      </c>
      <c r="AS308" s="58" t="str">
        <f t="shared" si="210"/>
        <v>-5.75270768634896+4.15351419234543i</v>
      </c>
      <c r="AT308" s="49">
        <f t="shared" si="211"/>
        <v>17.019591562632669</v>
      </c>
      <c r="AU308" s="61">
        <f t="shared" si="212"/>
        <v>144.17032781031523</v>
      </c>
      <c r="AV308" s="58" t="str">
        <f t="shared" si="189"/>
        <v>17.9282023059511-35.6640601506835i</v>
      </c>
      <c r="AW308" s="64">
        <f t="shared" si="213"/>
        <v>32.023099920402551</v>
      </c>
      <c r="AX308" s="61">
        <f t="shared" si="214"/>
        <v>-63.311478479765121</v>
      </c>
    </row>
    <row r="309" spans="14:50" x14ac:dyDescent="0.4">
      <c r="N309" s="10">
        <v>91</v>
      </c>
      <c r="O309" s="50">
        <f t="shared" si="215"/>
        <v>8128.3051616410066</v>
      </c>
      <c r="P309" s="48" t="str">
        <f t="shared" si="180"/>
        <v>5120.19230769231</v>
      </c>
      <c r="Q309" s="17" t="str">
        <f t="shared" si="181"/>
        <v>1+238.661737654355i</v>
      </c>
      <c r="R309" s="17">
        <f t="shared" si="190"/>
        <v>238.66383266049377</v>
      </c>
      <c r="S309" s="17">
        <f t="shared" si="191"/>
        <v>1.5666063206474055</v>
      </c>
      <c r="T309" s="17" t="str">
        <f t="shared" si="182"/>
        <v>1+0.00051020575916331i</v>
      </c>
      <c r="U309" s="17">
        <f t="shared" si="192"/>
        <v>1.0000001301549499</v>
      </c>
      <c r="V309" s="17">
        <f t="shared" si="193"/>
        <v>5.1020571489277737E-4</v>
      </c>
      <c r="W309" s="31" t="str">
        <f t="shared" si="183"/>
        <v>1-0.827360690535096i</v>
      </c>
      <c r="X309" s="17">
        <f t="shared" si="194"/>
        <v>1.2978927968991549</v>
      </c>
      <c r="Y309" s="17">
        <f t="shared" si="195"/>
        <v>-0.69120306831109424</v>
      </c>
      <c r="Z309" s="31" t="str">
        <f t="shared" si="184"/>
        <v>0.973572262079696+5.0373621091959i</v>
      </c>
      <c r="AA309" s="17">
        <f t="shared" si="196"/>
        <v>5.1305808607460373</v>
      </c>
      <c r="AB309" s="17">
        <f t="shared" si="197"/>
        <v>1.3798799697972559</v>
      </c>
      <c r="AC309" s="66" t="str">
        <f t="shared" si="198"/>
        <v>-4.77421129522564+2.58086960516579i</v>
      </c>
      <c r="AD309" s="64">
        <f t="shared" si="199"/>
        <v>14.6914400838172</v>
      </c>
      <c r="AE309" s="61">
        <f t="shared" si="200"/>
        <v>151.60498519779122</v>
      </c>
      <c r="AF309" s="31" t="str">
        <f t="shared" si="185"/>
        <v>-10.0808080808081</v>
      </c>
      <c r="AG309" s="31" t="str">
        <f t="shared" si="201"/>
        <v>51071.6475638948i</v>
      </c>
      <c r="AH309" s="31">
        <f t="shared" si="202"/>
        <v>51071.647563894803</v>
      </c>
      <c r="AI309" s="31">
        <f t="shared" si="203"/>
        <v>1.5707963267948966</v>
      </c>
      <c r="AJ309" s="31" t="str">
        <f t="shared" si="186"/>
        <v>-48.8919898792349+68.5757908350014i</v>
      </c>
      <c r="AK309" s="31">
        <f t="shared" si="204"/>
        <v>84.220340553794202</v>
      </c>
      <c r="AL309" s="31">
        <f t="shared" si="205"/>
        <v>2.1901693004277636</v>
      </c>
      <c r="AM309" s="31" t="str">
        <f t="shared" si="187"/>
        <v>1+50620.2559140662i</v>
      </c>
      <c r="AN309" s="31">
        <f t="shared" si="206"/>
        <v>50620.255923943667</v>
      </c>
      <c r="AO309" s="31">
        <f t="shared" si="207"/>
        <v>1.5707765718572375</v>
      </c>
      <c r="AP309" s="31" t="str">
        <f t="shared" si="188"/>
        <v>1+59.3248258102202i</v>
      </c>
      <c r="AQ309" s="31">
        <f t="shared" si="208"/>
        <v>59.33325338638501</v>
      </c>
      <c r="AR309" s="31">
        <f t="shared" si="209"/>
        <v>1.5539415734886011</v>
      </c>
      <c r="AS309" s="58" t="str">
        <f t="shared" si="210"/>
        <v>-5.66181716928788+4.18253911445729i</v>
      </c>
      <c r="AT309" s="49">
        <f t="shared" si="211"/>
        <v>16.950419681144776</v>
      </c>
      <c r="AU309" s="61">
        <f t="shared" si="212"/>
        <v>143.54570456263176</v>
      </c>
      <c r="AV309" s="58" t="str">
        <f t="shared" si="189"/>
        <v>16.2361234081968-34.5807373251859i</v>
      </c>
      <c r="AW309" s="64">
        <f t="shared" si="213"/>
        <v>31.641859764961971</v>
      </c>
      <c r="AX309" s="61">
        <f t="shared" si="214"/>
        <v>-64.849310239576994</v>
      </c>
    </row>
    <row r="310" spans="14:50" x14ac:dyDescent="0.4">
      <c r="N310" s="10">
        <v>92</v>
      </c>
      <c r="O310" s="50">
        <f t="shared" si="215"/>
        <v>8317.6377110267094</v>
      </c>
      <c r="P310" s="48" t="str">
        <f t="shared" si="180"/>
        <v>5120.19230769231</v>
      </c>
      <c r="Q310" s="17" t="str">
        <f t="shared" si="181"/>
        <v>1+244.220883667248i</v>
      </c>
      <c r="R310" s="17">
        <f t="shared" si="190"/>
        <v>244.22293098562938</v>
      </c>
      <c r="S310" s="17">
        <f t="shared" si="191"/>
        <v>1.5667016957530711</v>
      </c>
      <c r="T310" s="17" t="str">
        <f t="shared" si="182"/>
        <v>1+0.000522089977973096i</v>
      </c>
      <c r="U310" s="17">
        <f t="shared" si="192"/>
        <v>1.0000001362889632</v>
      </c>
      <c r="V310" s="17">
        <f t="shared" si="193"/>
        <v>5.2208993053636595E-4</v>
      </c>
      <c r="W310" s="31" t="str">
        <f t="shared" si="183"/>
        <v>1-0.846632396713128i</v>
      </c>
      <c r="X310" s="17">
        <f t="shared" si="194"/>
        <v>1.3102619643278268</v>
      </c>
      <c r="Y310" s="17">
        <f t="shared" si="195"/>
        <v>-0.70253574517260298</v>
      </c>
      <c r="Z310" s="31" t="str">
        <f t="shared" si="184"/>
        <v>0.972326761163242+5.15469734592075i</v>
      </c>
      <c r="AA310" s="17">
        <f t="shared" si="196"/>
        <v>5.2456004478530991</v>
      </c>
      <c r="AB310" s="17">
        <f t="shared" si="197"/>
        <v>1.3843576896903214</v>
      </c>
      <c r="AC310" s="66" t="str">
        <f t="shared" si="198"/>
        <v>-4.56656552264851+2.56323104494719i</v>
      </c>
      <c r="AD310" s="64">
        <f t="shared" si="199"/>
        <v>14.381256385696695</v>
      </c>
      <c r="AE310" s="61">
        <f t="shared" si="200"/>
        <v>150.69433251570081</v>
      </c>
      <c r="AF310" s="31" t="str">
        <f t="shared" si="185"/>
        <v>-10.0808080808081</v>
      </c>
      <c r="AG310" s="31" t="str">
        <f t="shared" si="201"/>
        <v>52261.2590563659i</v>
      </c>
      <c r="AH310" s="31">
        <f t="shared" si="202"/>
        <v>52261.259056365903</v>
      </c>
      <c r="AI310" s="31">
        <f t="shared" si="203"/>
        <v>1.5707963267948966</v>
      </c>
      <c r="AJ310" s="31" t="str">
        <f t="shared" si="186"/>
        <v>-51.2433269216134+70.1731262015675i</v>
      </c>
      <c r="AK310" s="31">
        <f t="shared" si="204"/>
        <v>86.891577237937568</v>
      </c>
      <c r="AL310" s="31">
        <f t="shared" si="205"/>
        <v>2.2015315916825737</v>
      </c>
      <c r="AM310" s="31" t="str">
        <f t="shared" si="187"/>
        <v>1+51799.3531443223i</v>
      </c>
      <c r="AN310" s="31">
        <f t="shared" si="206"/>
        <v>51799.353153974924</v>
      </c>
      <c r="AO310" s="31">
        <f t="shared" si="207"/>
        <v>1.5707770215345185</v>
      </c>
      <c r="AP310" s="31" t="str">
        <f t="shared" si="188"/>
        <v>1+60.7066785198747i</v>
      </c>
      <c r="AQ310" s="31">
        <f t="shared" si="208"/>
        <v>60.71491428731013</v>
      </c>
      <c r="AR310" s="31">
        <f t="shared" si="209"/>
        <v>1.5543251643185552</v>
      </c>
      <c r="AS310" s="58" t="str">
        <f t="shared" si="210"/>
        <v>-5.56967179451467+4.20975875432979i</v>
      </c>
      <c r="AT310" s="49">
        <f t="shared" si="211"/>
        <v>16.879150411527906</v>
      </c>
      <c r="AU310" s="61">
        <f t="shared" si="212"/>
        <v>142.91669712835935</v>
      </c>
      <c r="AV310" s="58" t="str">
        <f t="shared" si="189"/>
        <v>14.6436868584622-33.5004948400569i</v>
      </c>
      <c r="AW310" s="64">
        <f t="shared" si="213"/>
        <v>31.260406797224604</v>
      </c>
      <c r="AX310" s="61">
        <f t="shared" si="214"/>
        <v>-66.388970355939904</v>
      </c>
    </row>
    <row r="311" spans="14:50" x14ac:dyDescent="0.4">
      <c r="N311" s="10">
        <v>93</v>
      </c>
      <c r="O311" s="50">
        <f t="shared" si="215"/>
        <v>8511.3803820237772</v>
      </c>
      <c r="P311" s="48" t="str">
        <f t="shared" si="180"/>
        <v>5120.19230769231</v>
      </c>
      <c r="Q311" s="17" t="str">
        <f t="shared" si="181"/>
        <v>1+249.909518825309i</v>
      </c>
      <c r="R311" s="17">
        <f t="shared" si="190"/>
        <v>249.91151954141182</v>
      </c>
      <c r="S311" s="17">
        <f t="shared" si="191"/>
        <v>1.5667948999282619</v>
      </c>
      <c r="T311" s="17" t="str">
        <f t="shared" si="182"/>
        <v>1+0.000534251015799883i</v>
      </c>
      <c r="U311" s="17">
        <f t="shared" si="192"/>
        <v>1.0000001427120637</v>
      </c>
      <c r="V311" s="17">
        <f t="shared" si="193"/>
        <v>5.3425096497051138E-4</v>
      </c>
      <c r="W311" s="31" t="str">
        <f t="shared" si="183"/>
        <v>1-0.866352998594404i</v>
      </c>
      <c r="X311" s="17">
        <f t="shared" si="194"/>
        <v>1.3230901398519737</v>
      </c>
      <c r="Y311" s="17">
        <f t="shared" si="195"/>
        <v>-0.71391154563387105</v>
      </c>
      <c r="Z311" s="31" t="str">
        <f t="shared" si="184"/>
        <v>0.971022561597+5.27476567140892i</v>
      </c>
      <c r="AA311" s="17">
        <f t="shared" si="196"/>
        <v>5.3633979624305708</v>
      </c>
      <c r="AB311" s="17">
        <f t="shared" si="197"/>
        <v>1.3887462491225693</v>
      </c>
      <c r="AC311" s="66" t="str">
        <f t="shared" si="198"/>
        <v>-4.36758697613551+2.54337850087648i</v>
      </c>
      <c r="AD311" s="64">
        <f t="shared" si="199"/>
        <v>14.072989397675276</v>
      </c>
      <c r="AE311" s="61">
        <f t="shared" si="200"/>
        <v>149.78645779715322</v>
      </c>
      <c r="AF311" s="31" t="str">
        <f t="shared" si="185"/>
        <v>-10.0808080808081</v>
      </c>
      <c r="AG311" s="31" t="str">
        <f t="shared" si="201"/>
        <v>53478.5801601484i</v>
      </c>
      <c r="AH311" s="31">
        <f t="shared" si="202"/>
        <v>53478.580160148398</v>
      </c>
      <c r="AI311" s="31">
        <f t="shared" si="203"/>
        <v>1.5707963267948966</v>
      </c>
      <c r="AJ311" s="31" t="str">
        <f t="shared" si="186"/>
        <v>-53.7054790647776+71.8076682884972i</v>
      </c>
      <c r="AK311" s="31">
        <f t="shared" si="204"/>
        <v>89.669502656188016</v>
      </c>
      <c r="AL311" s="31">
        <f t="shared" si="205"/>
        <v>2.2129567595084811</v>
      </c>
      <c r="AM311" s="31" t="str">
        <f t="shared" si="187"/>
        <v>1+53005.9150772611i</v>
      </c>
      <c r="AN311" s="31">
        <f t="shared" si="206"/>
        <v>53005.915086694004</v>
      </c>
      <c r="AO311" s="31">
        <f t="shared" si="207"/>
        <v>1.5707774609758947</v>
      </c>
      <c r="AP311" s="31" t="str">
        <f t="shared" si="188"/>
        <v>1+62.1207187140284i</v>
      </c>
      <c r="AQ311" s="31">
        <f t="shared" si="208"/>
        <v>62.128767037077424</v>
      </c>
      <c r="AR311" s="31">
        <f t="shared" si="209"/>
        <v>1.5547000282394621</v>
      </c>
      <c r="AS311" s="58" t="str">
        <f t="shared" si="210"/>
        <v>-5.47634499480828+4.23510689668536i</v>
      </c>
      <c r="AT311" s="49">
        <f t="shared" si="211"/>
        <v>16.805755777059442</v>
      </c>
      <c r="AU311" s="61">
        <f t="shared" si="212"/>
        <v>142.28358653040212</v>
      </c>
      <c r="AV311" s="58" t="str">
        <f t="shared" si="189"/>
        <v>13.1469332462063-32.4256158476826i</v>
      </c>
      <c r="AW311" s="64">
        <f t="shared" si="213"/>
        <v>30.878745174734728</v>
      </c>
      <c r="AX311" s="61">
        <f t="shared" si="214"/>
        <v>-67.929955672444649</v>
      </c>
    </row>
    <row r="312" spans="14:50" x14ac:dyDescent="0.4">
      <c r="N312" s="10">
        <v>94</v>
      </c>
      <c r="O312" s="50">
        <f t="shared" si="215"/>
        <v>8709.6358995608189</v>
      </c>
      <c r="P312" s="48" t="str">
        <f t="shared" si="180"/>
        <v>5120.19230769231</v>
      </c>
      <c r="Q312" s="17" t="str">
        <f t="shared" si="181"/>
        <v>1+255.730659318194i</v>
      </c>
      <c r="R312" s="17">
        <f t="shared" si="190"/>
        <v>255.73261449279047</v>
      </c>
      <c r="S312" s="17">
        <f t="shared" si="191"/>
        <v>1.5668859825845844</v>
      </c>
      <c r="T312" s="17" t="str">
        <f t="shared" si="182"/>
        <v>1+0.000546695320586895i</v>
      </c>
      <c r="U312" s="17">
        <f t="shared" si="192"/>
        <v>1.0000001494378756</v>
      </c>
      <c r="V312" s="17">
        <f t="shared" si="193"/>
        <v>5.4669526612224244E-4</v>
      </c>
      <c r="W312" s="31" t="str">
        <f t="shared" si="183"/>
        <v>1-0.886532952303071i</v>
      </c>
      <c r="X312" s="17">
        <f t="shared" si="194"/>
        <v>1.3363909141861148</v>
      </c>
      <c r="Y312" s="17">
        <f t="shared" si="195"/>
        <v>-0.72532472511783552</v>
      </c>
      <c r="Z312" s="31" t="str">
        <f t="shared" si="184"/>
        <v>0.969656896998833+5.39763074747583i</v>
      </c>
      <c r="AA312" s="17">
        <f t="shared" si="196"/>
        <v>5.48403612168938</v>
      </c>
      <c r="AB312" s="17">
        <f t="shared" si="197"/>
        <v>1.3930473547059741</v>
      </c>
      <c r="AC312" s="66" t="str">
        <f t="shared" si="198"/>
        <v>-4.17694220812478+2.52152349788904i</v>
      </c>
      <c r="AD312" s="64">
        <f t="shared" si="199"/>
        <v>13.76666853286487</v>
      </c>
      <c r="AE312" s="61">
        <f t="shared" si="200"/>
        <v>148.8815899388683</v>
      </c>
      <c r="AF312" s="31" t="str">
        <f t="shared" si="185"/>
        <v>-10.0808080808081</v>
      </c>
      <c r="AG312" s="31" t="str">
        <f t="shared" si="201"/>
        <v>54724.2563150044i</v>
      </c>
      <c r="AH312" s="31">
        <f t="shared" si="202"/>
        <v>54724.256315004401</v>
      </c>
      <c r="AI312" s="31">
        <f t="shared" si="203"/>
        <v>1.5707963267948966</v>
      </c>
      <c r="AJ312" s="31" t="str">
        <f t="shared" si="186"/>
        <v>-56.2836688635294+73.4802837516401i</v>
      </c>
      <c r="AK312" s="31">
        <f t="shared" si="204"/>
        <v>92.559189068190165</v>
      </c>
      <c r="AL312" s="31">
        <f t="shared" si="205"/>
        <v>2.2244399286743093</v>
      </c>
      <c r="AM312" s="31" t="str">
        <f t="shared" si="187"/>
        <v>1+54240.5814479901i</v>
      </c>
      <c r="AN312" s="31">
        <f t="shared" si="206"/>
        <v>54240.581457208289</v>
      </c>
      <c r="AO312" s="31">
        <f t="shared" si="207"/>
        <v>1.5707778904143639</v>
      </c>
      <c r="AP312" s="31" t="str">
        <f t="shared" si="188"/>
        <v>1+63.5676961355091i</v>
      </c>
      <c r="AQ312" s="31">
        <f t="shared" si="208"/>
        <v>63.575561279287328</v>
      </c>
      <c r="AR312" s="31">
        <f t="shared" si="209"/>
        <v>1.5550663635874773</v>
      </c>
      <c r="AS312" s="58" t="str">
        <f t="shared" si="210"/>
        <v>-5.38191463690548+4.25852085800797i</v>
      </c>
      <c r="AT312" s="49">
        <f t="shared" si="211"/>
        <v>16.730209537581644</v>
      </c>
      <c r="AU312" s="61">
        <f t="shared" si="212"/>
        <v>141.646663476105</v>
      </c>
      <c r="AV312" s="58" t="str">
        <f t="shared" si="189"/>
        <v>11.7419859976974-31.3582197365834i</v>
      </c>
      <c r="AW312" s="64">
        <f t="shared" si="213"/>
        <v>30.496878070446524</v>
      </c>
      <c r="AX312" s="61">
        <f t="shared" si="214"/>
        <v>-69.471746585026651</v>
      </c>
    </row>
    <row r="313" spans="14:50" x14ac:dyDescent="0.4">
      <c r="N313" s="10">
        <v>95</v>
      </c>
      <c r="O313" s="50">
        <f t="shared" si="215"/>
        <v>8912.5093813374679</v>
      </c>
      <c r="P313" s="48" t="str">
        <f t="shared" si="180"/>
        <v>5120.19230769231</v>
      </c>
      <c r="Q313" s="17" t="str">
        <f t="shared" si="181"/>
        <v>1+261.687391591645i</v>
      </c>
      <c r="R313" s="17">
        <f t="shared" si="190"/>
        <v>261.68930226136291</v>
      </c>
      <c r="S313" s="17">
        <f t="shared" si="191"/>
        <v>1.5669749920092202</v>
      </c>
      <c r="T313" s="17" t="str">
        <f t="shared" si="182"/>
        <v>1+0.000559429490469249i</v>
      </c>
      <c r="U313" s="17">
        <f t="shared" si="192"/>
        <v>1.0000001564806651</v>
      </c>
      <c r="V313" s="17">
        <f t="shared" si="193"/>
        <v>5.5942943210932289E-4</v>
      </c>
      <c r="W313" s="31" t="str">
        <f t="shared" si="183"/>
        <v>1-0.907182957517701i</v>
      </c>
      <c r="X313" s="17">
        <f t="shared" si="194"/>
        <v>1.350178106181019</v>
      </c>
      <c r="Y313" s="17">
        <f t="shared" si="195"/>
        <v>-0.73676944245128151</v>
      </c>
      <c r="Z313" s="31" t="str">
        <f t="shared" si="184"/>
        <v>0.968226870611029+5.52335771881114i</v>
      </c>
      <c r="AA313" s="17">
        <f t="shared" si="196"/>
        <v>5.6075791356809068</v>
      </c>
      <c r="AB313" s="17">
        <f t="shared" si="197"/>
        <v>1.3972627052911757</v>
      </c>
      <c r="AC313" s="66" t="str">
        <f t="shared" si="198"/>
        <v>-3.99430817102212+2.49786337122912i</v>
      </c>
      <c r="AD313" s="64">
        <f t="shared" si="199"/>
        <v>13.462320435058784</v>
      </c>
      <c r="AE313" s="61">
        <f t="shared" si="200"/>
        <v>147.97996388983969</v>
      </c>
      <c r="AF313" s="31" t="str">
        <f t="shared" si="185"/>
        <v>-10.0808080808081</v>
      </c>
      <c r="AG313" s="31" t="str">
        <f t="shared" si="201"/>
        <v>55998.9479949198i</v>
      </c>
      <c r="AH313" s="31">
        <f t="shared" si="202"/>
        <v>55998.947994919799</v>
      </c>
      <c r="AI313" s="31">
        <f t="shared" si="203"/>
        <v>1.5707963267948966</v>
      </c>
      <c r="AJ313" s="31" t="str">
        <f t="shared" si="186"/>
        <v>-58.983365004096+75.1918594338546i</v>
      </c>
      <c r="AK313" s="31">
        <f t="shared" si="204"/>
        <v>95.56596189191508</v>
      </c>
      <c r="AL313" s="31">
        <f t="shared" si="205"/>
        <v>2.2359760601891492</v>
      </c>
      <c r="AM313" s="31" t="str">
        <f t="shared" si="187"/>
        <v>1+55504.0068929617i</v>
      </c>
      <c r="AN313" s="31">
        <f t="shared" si="206"/>
        <v>55504.006901970053</v>
      </c>
      <c r="AO313" s="31">
        <f t="shared" si="207"/>
        <v>1.5707783100776203</v>
      </c>
      <c r="AP313" s="31" t="str">
        <f t="shared" si="188"/>
        <v>1+65.0483779908989i</v>
      </c>
      <c r="AQ313" s="31">
        <f t="shared" si="208"/>
        <v>65.056064123545482</v>
      </c>
      <c r="AR313" s="31">
        <f t="shared" si="209"/>
        <v>1.5554243642049232</v>
      </c>
      <c r="AS313" s="58" t="str">
        <f t="shared" si="210"/>
        <v>-5.28646280912501+4.27994183955021i</v>
      </c>
      <c r="AT313" s="49">
        <f t="shared" si="211"/>
        <v>16.652487288702485</v>
      </c>
      <c r="AU313" s="61">
        <f t="shared" si="212"/>
        <v>141.00622779777297</v>
      </c>
      <c r="AV313" s="58" t="str">
        <f t="shared" si="189"/>
        <v>10.4250516422891-30.3002684754932i</v>
      </c>
      <c r="AW313" s="64">
        <f t="shared" si="213"/>
        <v>30.114807723761263</v>
      </c>
      <c r="AX313" s="61">
        <f t="shared" si="214"/>
        <v>-71.013808312387383</v>
      </c>
    </row>
    <row r="314" spans="14:50" x14ac:dyDescent="0.4">
      <c r="N314" s="10">
        <v>96</v>
      </c>
      <c r="O314" s="50">
        <f t="shared" si="215"/>
        <v>9120.1083935591087</v>
      </c>
      <c r="P314" s="48" t="str">
        <f t="shared" si="180"/>
        <v>5120.19230769231</v>
      </c>
      <c r="Q314" s="17" t="str">
        <f t="shared" si="181"/>
        <v>1+267.782873983959i</v>
      </c>
      <c r="R314" s="17">
        <f t="shared" si="190"/>
        <v>267.78474116183105</v>
      </c>
      <c r="S314" s="17">
        <f t="shared" si="191"/>
        <v>1.5670619753904993</v>
      </c>
      <c r="T314" s="17" t="str">
        <f t="shared" si="182"/>
        <v>1+0.000572460277272376i</v>
      </c>
      <c r="U314" s="17">
        <f t="shared" si="192"/>
        <v>1.000000163855371</v>
      </c>
      <c r="V314" s="17">
        <f t="shared" si="193"/>
        <v>5.72460214738589E-4</v>
      </c>
      <c r="W314" s="31" t="str">
        <f t="shared" si="183"/>
        <v>1-0.928313963144392i</v>
      </c>
      <c r="X314" s="17">
        <f t="shared" si="194"/>
        <v>1.3644657614498239</v>
      </c>
      <c r="Y314" s="17">
        <f t="shared" si="195"/>
        <v>-0.74823977436549349</v>
      </c>
      <c r="Z314" s="31" t="str">
        <f t="shared" si="184"/>
        <v>0.966729449155893+5.65201324751926i</v>
      </c>
      <c r="AA314" s="17">
        <f t="shared" si="196"/>
        <v>5.7340927423611197</v>
      </c>
      <c r="AB314" s="17">
        <f t="shared" si="197"/>
        <v>1.4013939905788948</v>
      </c>
      <c r="AC314" s="66" t="str">
        <f t="shared" si="198"/>
        <v>-3.81937210876444+2.47258207659739i</v>
      </c>
      <c r="AD314" s="64">
        <f t="shared" si="199"/>
        <v>13.159968939004344</v>
      </c>
      <c r="AE314" s="61">
        <f t="shared" si="200"/>
        <v>147.0818198988037</v>
      </c>
      <c r="AF314" s="31" t="str">
        <f t="shared" si="185"/>
        <v>-10.0808080808081</v>
      </c>
      <c r="AG314" s="31" t="str">
        <f t="shared" si="201"/>
        <v>57303.3310582958i</v>
      </c>
      <c r="AH314" s="31">
        <f t="shared" si="202"/>
        <v>57303.3310582958</v>
      </c>
      <c r="AI314" s="31">
        <f t="shared" si="203"/>
        <v>1.5707963267948966</v>
      </c>
      <c r="AJ314" s="31" t="str">
        <f t="shared" si="186"/>
        <v>-61.8102939039462+76.943302835223i</v>
      </c>
      <c r="AK314" s="31">
        <f t="shared" si="204"/>
        <v>98.695411664803558</v>
      </c>
      <c r="AL314" s="31">
        <f t="shared" si="205"/>
        <v>2.2475599620819975</v>
      </c>
      <c r="AM314" s="31" t="str">
        <f t="shared" si="187"/>
        <v>1+56796.8612970704i</v>
      </c>
      <c r="AN314" s="31">
        <f t="shared" si="206"/>
        <v>56796.86130587371</v>
      </c>
      <c r="AO314" s="31">
        <f t="shared" si="207"/>
        <v>1.5707787201881747</v>
      </c>
      <c r="AP314" s="31" t="str">
        <f t="shared" si="188"/>
        <v>1+66.5635493573164i</v>
      </c>
      <c r="AQ314" s="31">
        <f t="shared" si="208"/>
        <v>66.571060552194126</v>
      </c>
      <c r="AR314" s="31">
        <f t="shared" si="209"/>
        <v>1.5557742195411919</v>
      </c>
      <c r="AS314" s="58" t="str">
        <f t="shared" si="210"/>
        <v>-5.19007557612537+4.29931526575827i</v>
      </c>
      <c r="AT314" s="49">
        <f t="shared" si="211"/>
        <v>16.572566555752452</v>
      </c>
      <c r="AU314" s="61">
        <f t="shared" si="212"/>
        <v>140.36258784083131</v>
      </c>
      <c r="AV314" s="58" t="str">
        <f t="shared" si="189"/>
        <v>9.19242003007733-29.2535726585358i</v>
      </c>
      <c r="AW314" s="64">
        <f t="shared" si="213"/>
        <v>29.732535494756803</v>
      </c>
      <c r="AX314" s="61">
        <f t="shared" si="214"/>
        <v>-72.555592260365032</v>
      </c>
    </row>
    <row r="315" spans="14:50" x14ac:dyDescent="0.4">
      <c r="N315" s="10">
        <v>97</v>
      </c>
      <c r="O315" s="50">
        <f t="shared" si="215"/>
        <v>9332.5430079699217</v>
      </c>
      <c r="P315" s="48" t="str">
        <f t="shared" si="180"/>
        <v>5120.19230769231</v>
      </c>
      <c r="Q315" s="17" t="str">
        <f t="shared" si="181"/>
        <v>1+274.020338400586i</v>
      </c>
      <c r="R315" s="17">
        <f t="shared" si="190"/>
        <v>274.02216307658705</v>
      </c>
      <c r="S315" s="17">
        <f t="shared" si="191"/>
        <v>1.567146978842894</v>
      </c>
      <c r="T315" s="17" t="str">
        <f t="shared" si="182"/>
        <v>1+0.00058579459009192i</v>
      </c>
      <c r="U315" s="17">
        <f t="shared" si="192"/>
        <v>1.0000001715776361</v>
      </c>
      <c r="V315" s="17">
        <f t="shared" si="193"/>
        <v>5.8579452308576074E-4</v>
      </c>
      <c r="W315" s="31" t="str">
        <f t="shared" si="183"/>
        <v>1-0.949937173122031i</v>
      </c>
      <c r="X315" s="17">
        <f t="shared" si="194"/>
        <v>1.3792681511870979</v>
      </c>
      <c r="Y315" s="17">
        <f t="shared" si="195"/>
        <v>-0.75972973051360371</v>
      </c>
      <c r="Z315" s="31" t="str">
        <f t="shared" si="184"/>
        <v>0.965161456401757+5.78366554846444i</v>
      </c>
      <c r="AA315" s="17">
        <f t="shared" si="196"/>
        <v>5.8636442434221765</v>
      </c>
      <c r="AB315" s="17">
        <f t="shared" si="197"/>
        <v>1.4054428898502258</v>
      </c>
      <c r="AC315" s="66" t="str">
        <f t="shared" si="198"/>
        <v>-3.65183142708505+2.44585096279924i</v>
      </c>
      <c r="AD315" s="64">
        <f t="shared" si="199"/>
        <v>12.859635039567245</v>
      </c>
      <c r="AE315" s="61">
        <f t="shared" si="200"/>
        <v>146.18740272533049</v>
      </c>
      <c r="AF315" s="31" t="str">
        <f t="shared" si="185"/>
        <v>-10.0808080808081</v>
      </c>
      <c r="AG315" s="31" t="str">
        <f t="shared" si="201"/>
        <v>58638.0971062981i</v>
      </c>
      <c r="AH315" s="31">
        <f t="shared" si="202"/>
        <v>58638.097106298097</v>
      </c>
      <c r="AI315" s="31">
        <f t="shared" si="203"/>
        <v>1.5707963267948966</v>
      </c>
      <c r="AJ315" s="31" t="str">
        <f t="shared" si="186"/>
        <v>-64.7704518582895+78.7355425942195i</v>
      </c>
      <c r="AK315" s="31">
        <f t="shared" si="204"/>
        <v>101.95340652245589</v>
      </c>
      <c r="AL315" s="31">
        <f t="shared" si="205"/>
        <v>2.2591863010498998</v>
      </c>
      <c r="AM315" s="31" t="str">
        <f t="shared" si="187"/>
        <v>1+58119.8301488341i</v>
      </c>
      <c r="AN315" s="31">
        <f t="shared" si="206"/>
        <v>58119.830157437013</v>
      </c>
      <c r="AO315" s="31">
        <f t="shared" si="207"/>
        <v>1.5707791209634732</v>
      </c>
      <c r="AP315" s="31" t="str">
        <f t="shared" si="188"/>
        <v>1+68.114013598676i</v>
      </c>
      <c r="AQ315" s="31">
        <f t="shared" si="208"/>
        <v>68.121353836521905</v>
      </c>
      <c r="AR315" s="31">
        <f t="shared" si="209"/>
        <v>1.5561161147514415</v>
      </c>
      <c r="AS315" s="58" t="str">
        <f t="shared" si="210"/>
        <v>-5.09284270191918+4.31659110462247i</v>
      </c>
      <c r="AT315" s="49">
        <f t="shared" si="211"/>
        <v>16.490426881756388</v>
      </c>
      <c r="AU315" s="61">
        <f t="shared" si="212"/>
        <v>139.71605980209816</v>
      </c>
      <c r="AV315" s="58" t="str">
        <f t="shared" si="189"/>
        <v>8.0404645228177-28.2197972796102i</v>
      </c>
      <c r="AW315" s="64">
        <f t="shared" si="213"/>
        <v>29.350061921323629</v>
      </c>
      <c r="AX315" s="61">
        <f t="shared" si="214"/>
        <v>-74.096537472571356</v>
      </c>
    </row>
    <row r="316" spans="14:50" x14ac:dyDescent="0.4">
      <c r="N316" s="10">
        <v>98</v>
      </c>
      <c r="O316" s="50">
        <f t="shared" si="215"/>
        <v>9549.9258602143691</v>
      </c>
      <c r="P316" s="48" t="str">
        <f t="shared" si="180"/>
        <v>5120.19230769231</v>
      </c>
      <c r="Q316" s="17" t="str">
        <f t="shared" si="181"/>
        <v>1+280.40309202772i</v>
      </c>
      <c r="R316" s="17">
        <f t="shared" si="190"/>
        <v>280.40487516929159</v>
      </c>
      <c r="S316" s="17">
        <f t="shared" si="191"/>
        <v>1.5672300474314436</v>
      </c>
      <c r="T316" s="17" t="str">
        <f t="shared" si="182"/>
        <v>1+0.000599439498957038i</v>
      </c>
      <c r="U316" s="17">
        <f t="shared" si="192"/>
        <v>1.0000001796638402</v>
      </c>
      <c r="V316" s="17">
        <f t="shared" si="193"/>
        <v>5.9943942715864548E-4</v>
      </c>
      <c r="W316" s="31" t="str">
        <f t="shared" si="183"/>
        <v>1-0.972064052362763i</v>
      </c>
      <c r="X316" s="17">
        <f t="shared" si="194"/>
        <v>1.3945997712232412</v>
      </c>
      <c r="Y316" s="17">
        <f t="shared" si="195"/>
        <v>-0.77123326891384625</v>
      </c>
      <c r="Z316" s="31" t="str">
        <f t="shared" si="184"/>
        <v>0.963519566425764+5.91838442543929i</v>
      </c>
      <c r="AA316" s="17">
        <f t="shared" si="196"/>
        <v>5.9963025409136632</v>
      </c>
      <c r="AB316" s="17">
        <f t="shared" si="197"/>
        <v>1.4094110708097296</v>
      </c>
      <c r="AC316" s="66" t="str">
        <f t="shared" si="198"/>
        <v>-3.4913935451073+2.41782950777801i</v>
      </c>
      <c r="AD316" s="64">
        <f t="shared" si="199"/>
        <v>12.56133687017201</v>
      </c>
      <c r="AE316" s="61">
        <f t="shared" si="200"/>
        <v>145.29696082008743</v>
      </c>
      <c r="AF316" s="31" t="str">
        <f t="shared" si="185"/>
        <v>-10.0808080808081</v>
      </c>
      <c r="AG316" s="31" t="str">
        <f t="shared" si="201"/>
        <v>60003.9538495533i</v>
      </c>
      <c r="AH316" s="31">
        <f t="shared" si="202"/>
        <v>60003.953849553298</v>
      </c>
      <c r="AI316" s="31">
        <f t="shared" si="203"/>
        <v>1.5707963267948966</v>
      </c>
      <c r="AJ316" s="31" t="str">
        <f t="shared" si="186"/>
        <v>-67.8701177590221+80.5695289800877i</v>
      </c>
      <c r="AK316" s="31">
        <f t="shared" si="204"/>
        <v>105.34610521844989</v>
      </c>
      <c r="AL316" s="31">
        <f t="shared" si="205"/>
        <v>2.2708496149223985</v>
      </c>
      <c r="AM316" s="31" t="str">
        <f t="shared" si="187"/>
        <v>1+59473.6149038496i</v>
      </c>
      <c r="AN316" s="31">
        <f t="shared" si="206"/>
        <v>59473.614912256686</v>
      </c>
      <c r="AO316" s="31">
        <f t="shared" si="207"/>
        <v>1.570779512616012</v>
      </c>
      <c r="AP316" s="31" t="str">
        <f t="shared" si="188"/>
        <v>1+69.7005927916412i</v>
      </c>
      <c r="AQ316" s="31">
        <f t="shared" si="208"/>
        <v>69.707765962668631</v>
      </c>
      <c r="AR316" s="31">
        <f t="shared" si="209"/>
        <v>1.5564502307931356</v>
      </c>
      <c r="AS316" s="58" t="str">
        <f t="shared" si="210"/>
        <v>-4.99485734268435+4.33172416655298i</v>
      </c>
      <c r="AT316" s="49">
        <f t="shared" si="211"/>
        <v>16.406049908708344</v>
      </c>
      <c r="AU316" s="61">
        <f t="shared" si="212"/>
        <v>139.06696702116187</v>
      </c>
      <c r="AV316" s="58" t="str">
        <f t="shared" si="189"/>
        <v>6.96564217553304-27.2004672645723i</v>
      </c>
      <c r="AW316" s="64">
        <f t="shared" si="213"/>
        <v>28.967386778880368</v>
      </c>
      <c r="AX316" s="61">
        <f t="shared" si="214"/>
        <v>-75.636072158750693</v>
      </c>
    </row>
    <row r="317" spans="14:50" x14ac:dyDescent="0.4">
      <c r="N317" s="10">
        <v>99</v>
      </c>
      <c r="O317" s="50">
        <f t="shared" si="215"/>
        <v>9772.3722095581161</v>
      </c>
      <c r="P317" s="48" t="str">
        <f t="shared" si="180"/>
        <v>5120.19230769231</v>
      </c>
      <c r="Q317" s="17" t="str">
        <f t="shared" si="181"/>
        <v>1+286.934519085822i</v>
      </c>
      <c r="R317" s="17">
        <f t="shared" si="190"/>
        <v>286.93626163838536</v>
      </c>
      <c r="S317" s="17">
        <f t="shared" si="191"/>
        <v>1.5673112251956247</v>
      </c>
      <c r="T317" s="17" t="str">
        <f t="shared" si="182"/>
        <v>1+0.000613402238579024i</v>
      </c>
      <c r="U317" s="17">
        <f t="shared" si="192"/>
        <v>1.0000001881311353</v>
      </c>
      <c r="V317" s="17">
        <f t="shared" si="193"/>
        <v>6.1340216164566103E-4</v>
      </c>
      <c r="W317" s="31" t="str">
        <f t="shared" si="183"/>
        <v>1-0.994706332830848i</v>
      </c>
      <c r="X317" s="17">
        <f t="shared" si="194"/>
        <v>1.4104753413561661</v>
      </c>
      <c r="Y317" s="17">
        <f t="shared" si="195"/>
        <v>-0.78274431172295478</v>
      </c>
      <c r="Z317" s="31" t="str">
        <f t="shared" si="184"/>
        <v>0.961800296559142+6.05624130817558i</v>
      </c>
      <c r="AA317" s="17">
        <f t="shared" si="196"/>
        <v>6.1321381746755765</v>
      </c>
      <c r="AB317" s="17">
        <f t="shared" si="197"/>
        <v>1.413300188535378</v>
      </c>
      <c r="AC317" s="66" t="str">
        <f t="shared" si="198"/>
        <v>-3.33777573069941+2.38866601900028i</v>
      </c>
      <c r="AD317" s="64">
        <f t="shared" si="199"/>
        <v>12.2650896908267</v>
      </c>
      <c r="AE317" s="61">
        <f t="shared" si="200"/>
        <v>144.41074548010064</v>
      </c>
      <c r="AF317" s="31" t="str">
        <f t="shared" si="185"/>
        <v>-10.0808080808081</v>
      </c>
      <c r="AG317" s="31" t="str">
        <f t="shared" si="201"/>
        <v>61401.6254833857i</v>
      </c>
      <c r="AH317" s="31">
        <f t="shared" si="202"/>
        <v>61401.625483385702</v>
      </c>
      <c r="AI317" s="31">
        <f t="shared" si="203"/>
        <v>1.5707963267948966</v>
      </c>
      <c r="AJ317" s="31" t="str">
        <f t="shared" si="186"/>
        <v>-71.1158664130994+82.4462343966848i</v>
      </c>
      <c r="AK317" s="31">
        <f t="shared" si="204"/>
        <v>108.87997071031427</v>
      </c>
      <c r="AL317" s="31">
        <f t="shared" si="205"/>
        <v>2.2825443258813376</v>
      </c>
      <c r="AM317" s="31" t="str">
        <f t="shared" si="187"/>
        <v>1+60858.9333567136i</v>
      </c>
      <c r="AN317" s="31">
        <f t="shared" si="206"/>
        <v>60858.933364929311</v>
      </c>
      <c r="AO317" s="31">
        <f t="shared" si="207"/>
        <v>1.5707798953534506</v>
      </c>
      <c r="AP317" s="31" t="str">
        <f t="shared" si="188"/>
        <v>1+71.3241281615009i</v>
      </c>
      <c r="AQ317" s="31">
        <f t="shared" si="208"/>
        <v>71.331138067454134</v>
      </c>
      <c r="AR317" s="31">
        <f t="shared" si="209"/>
        <v>1.5567767445204623</v>
      </c>
      <c r="AS317" s="58" t="str">
        <f t="shared" si="210"/>
        <v>-4.8962157113237+4.34467437852992i</v>
      </c>
      <c r="AT317" s="49">
        <f t="shared" si="211"/>
        <v>16.319419451479547</v>
      </c>
      <c r="AU317" s="61">
        <f t="shared" si="212"/>
        <v>138.41563922835803</v>
      </c>
      <c r="AV317" s="58" t="str">
        <f t="shared" si="189"/>
        <v>5.96449392190982-26.1969727897829i</v>
      </c>
      <c r="AW317" s="64">
        <f t="shared" si="213"/>
        <v>28.584509142306246</v>
      </c>
      <c r="AX317" s="61">
        <f t="shared" si="214"/>
        <v>-77.173615291541282</v>
      </c>
    </row>
    <row r="318" spans="14:50" x14ac:dyDescent="0.4">
      <c r="N318" s="10">
        <v>100</v>
      </c>
      <c r="O318" s="50">
        <f t="shared" si="215"/>
        <v>10000</v>
      </c>
      <c r="P318" s="48" t="str">
        <f t="shared" si="180"/>
        <v>5120.19230769231</v>
      </c>
      <c r="Q318" s="17" t="str">
        <f t="shared" si="181"/>
        <v>1+293.618082623969i</v>
      </c>
      <c r="R318" s="17">
        <f t="shared" si="190"/>
        <v>293.61978551142613</v>
      </c>
      <c r="S318" s="17">
        <f t="shared" si="191"/>
        <v>1.5673905551726806</v>
      </c>
      <c r="T318" s="17" t="str">
        <f t="shared" si="182"/>
        <v>1+0.000627690212187242i</v>
      </c>
      <c r="U318" s="17">
        <f t="shared" si="192"/>
        <v>1.0000001969974819</v>
      </c>
      <c r="V318" s="17">
        <f t="shared" si="193"/>
        <v>6.2769012975165926E-4</v>
      </c>
      <c r="W318" s="31" t="str">
        <f t="shared" si="183"/>
        <v>1-1.01787601976309i</v>
      </c>
      <c r="X318" s="17">
        <f t="shared" si="194"/>
        <v>1.4269098050012659</v>
      </c>
      <c r="Y318" s="17">
        <f t="shared" si="195"/>
        <v>-0.79425676124000266</v>
      </c>
      <c r="Z318" s="31" t="str">
        <f t="shared" si="184"/>
        <v>0.96+6.1973092902173i</v>
      </c>
      <c r="AA318" s="17">
        <f t="shared" si="196"/>
        <v>6.2712233606062577</v>
      </c>
      <c r="AB318" s="17">
        <f t="shared" si="197"/>
        <v>1.417111884529608</v>
      </c>
      <c r="AC318" s="66" t="str">
        <f t="shared" si="198"/>
        <v>-3.19070492183772+2.35849829922741i</v>
      </c>
      <c r="AD318" s="64">
        <f t="shared" si="199"/>
        <v>11.970905885959557</v>
      </c>
      <c r="AE318" s="61">
        <f t="shared" si="200"/>
        <v>143.52900998505615</v>
      </c>
      <c r="AF318" s="31" t="str">
        <f t="shared" si="185"/>
        <v>-10.0808080808081</v>
      </c>
      <c r="AG318" s="31" t="str">
        <f t="shared" si="201"/>
        <v>62831.8530717959i</v>
      </c>
      <c r="AH318" s="31">
        <f t="shared" si="202"/>
        <v>62831.8530717959</v>
      </c>
      <c r="AI318" s="31">
        <f t="shared" si="203"/>
        <v>1.5707963267948966</v>
      </c>
      <c r="AJ318" s="31" t="str">
        <f t="shared" si="186"/>
        <v>-74.5145824885813+84.366653898064i</v>
      </c>
      <c r="AK318" s="31">
        <f t="shared" si="204"/>
        <v>112.56178433821714</v>
      </c>
      <c r="AL318" s="31">
        <f t="shared" si="205"/>
        <v>2.2942647543666745</v>
      </c>
      <c r="AM318" s="31" t="str">
        <f t="shared" si="187"/>
        <v>1+62276.5200216064i</v>
      </c>
      <c r="AN318" s="31">
        <f t="shared" si="206"/>
        <v>62276.52002963511</v>
      </c>
      <c r="AO318" s="31">
        <f t="shared" si="207"/>
        <v>1.5707802693787216</v>
      </c>
      <c r="AP318" s="31" t="str">
        <f t="shared" si="188"/>
        <v>1+72.9854805281982i</v>
      </c>
      <c r="AQ318" s="31">
        <f t="shared" si="208"/>
        <v>72.992330884360712</v>
      </c>
      <c r="AR318" s="31">
        <f t="shared" si="209"/>
        <v>1.5570958287766816</v>
      </c>
      <c r="AS318" s="58" t="str">
        <f t="shared" si="210"/>
        <v>-4.79701671611828+4.35540703047919i</v>
      </c>
      <c r="AT318" s="49">
        <f t="shared" si="211"/>
        <v>16.230521563736907</v>
      </c>
      <c r="AU318" s="61">
        <f t="shared" si="212"/>
        <v>137.76241175332325</v>
      </c>
      <c r="AV318" s="58" t="str">
        <f t="shared" si="189"/>
        <v>5.03364477242814-25.210574415087i</v>
      </c>
      <c r="AW318" s="64">
        <f t="shared" si="213"/>
        <v>28.201427449696471</v>
      </c>
      <c r="AX318" s="61">
        <f t="shared" si="214"/>
        <v>-78.708578261620602</v>
      </c>
    </row>
    <row r="319" spans="14:50" x14ac:dyDescent="0.4">
      <c r="N319" s="10">
        <v>1</v>
      </c>
      <c r="O319" s="50">
        <f>10^(4+(N319/100))</f>
        <v>10232.929922807549</v>
      </c>
      <c r="P319" s="48" t="str">
        <f t="shared" si="180"/>
        <v>5120.19230769231</v>
      </c>
      <c r="Q319" s="17" t="str">
        <f t="shared" si="181"/>
        <v>1+300.457326356019i</v>
      </c>
      <c r="R319" s="17">
        <f t="shared" si="190"/>
        <v>300.45899048124244</v>
      </c>
      <c r="S319" s="17">
        <f t="shared" si="191"/>
        <v>1.5674680794204188</v>
      </c>
      <c r="T319" s="17" t="str">
        <f t="shared" si="182"/>
        <v>1+0.000642310995454424i</v>
      </c>
      <c r="U319" s="17">
        <f t="shared" si="192"/>
        <v>1.0000002062816862</v>
      </c>
      <c r="V319" s="17">
        <f t="shared" si="193"/>
        <v>6.4231090712310655E-4</v>
      </c>
      <c r="W319" s="31" t="str">
        <f t="shared" si="183"/>
        <v>1-1.0415853980342i</v>
      </c>
      <c r="X319" s="17">
        <f t="shared" si="194"/>
        <v>1.4439183291994264</v>
      </c>
      <c r="Y319" s="17">
        <f t="shared" si="195"/>
        <v>-0.8057645160382807</v>
      </c>
      <c r="Z319" s="31" t="str">
        <f t="shared" si="184"/>
        <v>0.958114858077964+6.34166316767577i</v>
      </c>
      <c r="AA319" s="17">
        <f t="shared" si="196"/>
        <v>6.4136320297882108</v>
      </c>
      <c r="AB319" s="17">
        <f t="shared" si="197"/>
        <v>1.4208477858658883</v>
      </c>
      <c r="AC319" s="66" t="str">
        <f t="shared" si="198"/>
        <v>-3.04991753604672+2.32745427875869i</v>
      </c>
      <c r="AD319" s="64">
        <f t="shared" si="199"/>
        <v>11.678794972206321</v>
      </c>
      <c r="AE319" s="61">
        <f t="shared" si="200"/>
        <v>142.65200872082841</v>
      </c>
      <c r="AF319" s="31" t="str">
        <f t="shared" si="185"/>
        <v>-10.0808080808081</v>
      </c>
      <c r="AG319" s="31" t="str">
        <f t="shared" si="201"/>
        <v>64295.3949403827i</v>
      </c>
      <c r="AH319" s="31">
        <f t="shared" si="202"/>
        <v>64295.394940382699</v>
      </c>
      <c r="AI319" s="31">
        <f t="shared" si="203"/>
        <v>1.5707963267948966</v>
      </c>
      <c r="AJ319" s="31" t="str">
        <f t="shared" si="186"/>
        <v>-78.073475117938+86.3318057160647i</v>
      </c>
      <c r="AK319" s="31">
        <f t="shared" si="204"/>
        <v>116.39866062454338</v>
      </c>
      <c r="AL319" s="31">
        <f t="shared" si="205"/>
        <v>2.3060051335913334</v>
      </c>
      <c r="AM319" s="31" t="str">
        <f t="shared" si="187"/>
        <v>1+63727.1265217418i</v>
      </c>
      <c r="AN319" s="31">
        <f t="shared" si="206"/>
        <v>63727.126529587753</v>
      </c>
      <c r="AO319" s="31">
        <f t="shared" si="207"/>
        <v>1.5707806348901381</v>
      </c>
      <c r="AP319" s="31" t="str">
        <f t="shared" si="188"/>
        <v>1+74.6855307627486i</v>
      </c>
      <c r="AQ319" s="31">
        <f t="shared" si="208"/>
        <v>74.692225199905963</v>
      </c>
      <c r="AR319" s="31">
        <f t="shared" si="209"/>
        <v>1.5574076524844405</v>
      </c>
      <c r="AS319" s="58" t="str">
        <f t="shared" si="210"/>
        <v>-4.69736157618968+4.36389299108373i</v>
      </c>
      <c r="AT319" s="49">
        <f t="shared" si="211"/>
        <v>16.139344595308799</v>
      </c>
      <c r="AU319" s="61">
        <f t="shared" si="212"/>
        <v>137.10762469853543</v>
      </c>
      <c r="AV319" s="58" t="str">
        <f t="shared" si="189"/>
        <v>4.16980403023008-24.242408058317i</v>
      </c>
      <c r="AW319" s="64">
        <f t="shared" si="213"/>
        <v>27.818139567515129</v>
      </c>
      <c r="AX319" s="61">
        <f t="shared" si="214"/>
        <v>-80.240366580636206</v>
      </c>
    </row>
    <row r="320" spans="14:50" x14ac:dyDescent="0.4">
      <c r="N320" s="10">
        <v>2</v>
      </c>
      <c r="O320" s="50">
        <f t="shared" ref="O320:O383" si="216">10^(4+(N320/100))</f>
        <v>10471.285480509003</v>
      </c>
      <c r="P320" s="48" t="str">
        <f t="shared" si="180"/>
        <v>5120.19230769231</v>
      </c>
      <c r="Q320" s="17" t="str">
        <f t="shared" si="181"/>
        <v>1+307.455876539526i</v>
      </c>
      <c r="R320" s="17">
        <f t="shared" si="190"/>
        <v>307.45750278483729</v>
      </c>
      <c r="S320" s="17">
        <f t="shared" si="191"/>
        <v>1.567543839039492</v>
      </c>
      <c r="T320" s="17" t="str">
        <f t="shared" si="182"/>
        <v>1+0.000657272340513388i</v>
      </c>
      <c r="U320" s="17">
        <f t="shared" si="192"/>
        <v>1.0000002160034414</v>
      </c>
      <c r="V320" s="17">
        <f t="shared" si="193"/>
        <v>6.5727224586467723E-4</v>
      </c>
      <c r="W320" s="31" t="str">
        <f t="shared" si="183"/>
        <v>1-1.06584703867036i</v>
      </c>
      <c r="X320" s="17">
        <f t="shared" si="194"/>
        <v>1.4615163050210476</v>
      </c>
      <c r="Y320" s="17">
        <f t="shared" si="195"/>
        <v>-0.81726148712119417</v>
      </c>
      <c r="Z320" s="31" t="str">
        <f t="shared" si="184"/>
        <v>0.956140872154272+6.48937947888759i</v>
      </c>
      <c r="AA320" s="17">
        <f t="shared" si="196"/>
        <v>6.5594398684957307</v>
      </c>
      <c r="AB320" s="17">
        <f t="shared" si="197"/>
        <v>1.4245095044254099</v>
      </c>
      <c r="AC320" s="66" t="str">
        <f t="shared" si="198"/>
        <v>-2.9151592698165+2.29565261527117i</v>
      </c>
      <c r="AD320" s="64">
        <f t="shared" si="199"/>
        <v>11.388763616201498</v>
      </c>
      <c r="AE320" s="61">
        <f t="shared" si="200"/>
        <v>141.77999629650367</v>
      </c>
      <c r="AF320" s="31" t="str">
        <f t="shared" si="185"/>
        <v>-10.0808080808081</v>
      </c>
      <c r="AG320" s="31" t="str">
        <f t="shared" si="201"/>
        <v>65793.0270784171i</v>
      </c>
      <c r="AH320" s="31">
        <f t="shared" si="202"/>
        <v>65793.027078417101</v>
      </c>
      <c r="AI320" s="31">
        <f t="shared" si="203"/>
        <v>1.5707963267948966</v>
      </c>
      <c r="AJ320" s="31" t="str">
        <f t="shared" si="186"/>
        <v>-81.8000931895855+88.3427318001926i</v>
      </c>
      <c r="AK320" s="31">
        <f t="shared" si="204"/>
        <v>120.39806272422173</v>
      </c>
      <c r="AL320" s="31">
        <f t="shared" si="205"/>
        <v>2.3177596245810577</v>
      </c>
      <c r="AM320" s="31" t="str">
        <f t="shared" si="187"/>
        <v>1+65211.5219878874i</v>
      </c>
      <c r="AN320" s="31">
        <f t="shared" si="206"/>
        <v>65211.521995554751</v>
      </c>
      <c r="AO320" s="31">
        <f t="shared" si="207"/>
        <v>1.5707809920814988</v>
      </c>
      <c r="AP320" s="31" t="str">
        <f t="shared" si="188"/>
        <v>1+76.4251802542893i</v>
      </c>
      <c r="AQ320" s="31">
        <f t="shared" si="208"/>
        <v>76.431722320647808</v>
      </c>
      <c r="AR320" s="31">
        <f t="shared" si="209"/>
        <v>1.5577123807340982</v>
      </c>
      <c r="AS320" s="58" t="str">
        <f t="shared" si="210"/>
        <v>-4.5973534168253+4.37010889054554i</v>
      </c>
      <c r="AT320" s="49">
        <f t="shared" si="211"/>
        <v>16.045879240501058</v>
      </c>
      <c r="AU320" s="61">
        <f t="shared" si="212"/>
        <v>136.45162208266098</v>
      </c>
      <c r="AV320" s="58" t="str">
        <f t="shared" si="189"/>
        <v>3.36976552608017-23.2934898370422i</v>
      </c>
      <c r="AW320" s="64">
        <f t="shared" si="213"/>
        <v>27.434642856702567</v>
      </c>
      <c r="AX320" s="61">
        <f t="shared" si="214"/>
        <v>-81.76838162083537</v>
      </c>
    </row>
    <row r="321" spans="14:50" x14ac:dyDescent="0.4">
      <c r="N321" s="10">
        <v>3</v>
      </c>
      <c r="O321" s="50">
        <f t="shared" si="216"/>
        <v>10715.193052376071</v>
      </c>
      <c r="P321" s="48" t="str">
        <f t="shared" si="180"/>
        <v>5120.19230769231</v>
      </c>
      <c r="Q321" s="17" t="str">
        <f t="shared" si="181"/>
        <v>1+314.617443898434i</v>
      </c>
      <c r="R321" s="17">
        <f t="shared" si="190"/>
        <v>314.61903312607177</v>
      </c>
      <c r="S321" s="17">
        <f t="shared" si="191"/>
        <v>1.567617874195173</v>
      </c>
      <c r="T321" s="17" t="str">
        <f t="shared" si="182"/>
        <v>1+0.000672582180067319i</v>
      </c>
      <c r="U321" s="17">
        <f t="shared" si="192"/>
        <v>1.0000002261833689</v>
      </c>
      <c r="V321" s="17">
        <f t="shared" si="193"/>
        <v>6.7258207864939951E-4</v>
      </c>
      <c r="W321" s="31" t="str">
        <f t="shared" si="183"/>
        <v>1-1.09067380551457i</v>
      </c>
      <c r="X321" s="17">
        <f t="shared" si="194"/>
        <v>1.4797193484021331</v>
      </c>
      <c r="Y321" s="17">
        <f t="shared" si="195"/>
        <v>-0.82874161399798829</v>
      </c>
      <c r="Z321" s="31" t="str">
        <f t="shared" si="184"/>
        <v>0.954073855140125+6.6405365449962i</v>
      </c>
      <c r="AA321" s="17">
        <f t="shared" si="196"/>
        <v>6.7087243591082206</v>
      </c>
      <c r="AB321" s="17">
        <f t="shared" si="197"/>
        <v>1.4280986362186949</v>
      </c>
      <c r="AC321" s="66" t="str">
        <f t="shared" si="198"/>
        <v>-2.78618488973641+2.26320326240801i</v>
      </c>
      <c r="AD321" s="64">
        <f t="shared" si="199"/>
        <v>11.100815662333513</v>
      </c>
      <c r="AE321" s="61">
        <f t="shared" si="200"/>
        <v>140.91322666116471</v>
      </c>
      <c r="AF321" s="31" t="str">
        <f t="shared" si="185"/>
        <v>-10.0808080808081</v>
      </c>
      <c r="AG321" s="31" t="str">
        <f t="shared" si="201"/>
        <v>67325.5435502821i</v>
      </c>
      <c r="AH321" s="31">
        <f t="shared" si="202"/>
        <v>67325.543550282106</v>
      </c>
      <c r="AI321" s="31">
        <f t="shared" si="203"/>
        <v>1.5707963267948966</v>
      </c>
      <c r="AJ321" s="31" t="str">
        <f t="shared" si="186"/>
        <v>-85.7023413600896+90.4004983700752i</v>
      </c>
      <c r="AK321" s="31">
        <f t="shared" si="204"/>
        <v>124.56781855744001</v>
      </c>
      <c r="AL321" s="31">
        <f t="shared" si="205"/>
        <v>2.3295223316491906</v>
      </c>
      <c r="AM321" s="31" t="str">
        <f t="shared" si="187"/>
        <v>1+66730.4934661675i</v>
      </c>
      <c r="AN321" s="31">
        <f t="shared" si="206"/>
        <v>66730.493473660332</v>
      </c>
      <c r="AO321" s="31">
        <f t="shared" si="207"/>
        <v>1.5707813411421916</v>
      </c>
      <c r="AP321" s="31" t="str">
        <f t="shared" si="188"/>
        <v>1+78.2053513880077i</v>
      </c>
      <c r="AQ321" s="31">
        <f t="shared" si="208"/>
        <v>78.211744551069557</v>
      </c>
      <c r="AR321" s="31">
        <f t="shared" si="209"/>
        <v>1.5580101748701018</v>
      </c>
      <c r="AS321" s="58" t="str">
        <f t="shared" si="210"/>
        <v>-4.49709684801741+4.37403726816618i</v>
      </c>
      <c r="AT321" s="49">
        <f t="shared" si="211"/>
        <v>15.950118576938298</v>
      </c>
      <c r="AU321" s="61">
        <f t="shared" si="212"/>
        <v>135.7947509588694</v>
      </c>
      <c r="AV321" s="58" t="str">
        <f t="shared" si="189"/>
        <v>2.63040787041943-22.3647208015063i</v>
      </c>
      <c r="AW321" s="64">
        <f t="shared" si="213"/>
        <v>27.050934239271808</v>
      </c>
      <c r="AX321" s="61">
        <f t="shared" si="214"/>
        <v>-83.292022379965843</v>
      </c>
    </row>
    <row r="322" spans="14:50" x14ac:dyDescent="0.4">
      <c r="N322" s="10">
        <v>4</v>
      </c>
      <c r="O322" s="50">
        <f t="shared" si="216"/>
        <v>10964.781961431856</v>
      </c>
      <c r="P322" s="48" t="str">
        <f t="shared" si="180"/>
        <v>5120.19230769231</v>
      </c>
      <c r="Q322" s="17" t="str">
        <f t="shared" si="181"/>
        <v>1+321.945825590551i</v>
      </c>
      <c r="R322" s="17">
        <f t="shared" si="190"/>
        <v>321.94737864312776</v>
      </c>
      <c r="S322" s="17">
        <f t="shared" si="191"/>
        <v>1.5676902241386323</v>
      </c>
      <c r="T322" s="17" t="str">
        <f t="shared" si="182"/>
        <v>1+0.0006882486315958i</v>
      </c>
      <c r="U322" s="17">
        <f t="shared" si="192"/>
        <v>1.0000002368430614</v>
      </c>
      <c r="V322" s="17">
        <f t="shared" si="193"/>
        <v>6.8824852292454278E-4</v>
      </c>
      <c r="W322" s="31" t="str">
        <f t="shared" si="183"/>
        <v>1-1.11607886204724i</v>
      </c>
      <c r="X322" s="17">
        <f t="shared" si="194"/>
        <v>1.498543301445995</v>
      </c>
      <c r="Y322" s="17">
        <f t="shared" si="195"/>
        <v>-0.84019888057597003</v>
      </c>
      <c r="Z322" s="31" t="str">
        <f t="shared" si="184"/>
        <v>0.951909422615303+6.79521451147886i</v>
      </c>
      <c r="AA322" s="17">
        <f t="shared" si="196"/>
        <v>6.861564821954004</v>
      </c>
      <c r="AB322" s="17">
        <f t="shared" si="197"/>
        <v>1.4316167607871249</v>
      </c>
      <c r="AC322" s="66" t="str">
        <f t="shared" si="198"/>
        <v>-2.66275801693395+2.23020800828465i</v>
      </c>
      <c r="AD322" s="64">
        <f t="shared" si="199"/>
        <v>10.814952170337371</v>
      </c>
      <c r="AE322" s="61">
        <f t="shared" si="200"/>
        <v>140.05195222664639</v>
      </c>
      <c r="AF322" s="31" t="str">
        <f t="shared" si="185"/>
        <v>-10.0808080808081</v>
      </c>
      <c r="AG322" s="31" t="str">
        <f t="shared" si="201"/>
        <v>68893.7569164964i</v>
      </c>
      <c r="AH322" s="31">
        <f t="shared" si="202"/>
        <v>68893.756916496393</v>
      </c>
      <c r="AI322" s="31">
        <f t="shared" si="203"/>
        <v>1.5707963267948966</v>
      </c>
      <c r="AJ322" s="31" t="str">
        <f t="shared" si="186"/>
        <v>-89.788496821004+92.5061964807856i</v>
      </c>
      <c r="AK322" s="31">
        <f t="shared" si="204"/>
        <v>128.91613765823561</v>
      </c>
      <c r="AL322" s="31">
        <f t="shared" si="205"/>
        <v>2.3412873182111706</v>
      </c>
      <c r="AM322" s="31" t="str">
        <f t="shared" si="187"/>
        <v>1+68284.8463353659i</v>
      </c>
      <c r="AN322" s="31">
        <f t="shared" si="206"/>
        <v>68284.846342688164</v>
      </c>
      <c r="AO322" s="31">
        <f t="shared" si="207"/>
        <v>1.5707816822572929</v>
      </c>
      <c r="AP322" s="31" t="str">
        <f t="shared" si="188"/>
        <v>1+80.0269880342023i</v>
      </c>
      <c r="AQ322" s="31">
        <f t="shared" si="208"/>
        <v>80.033235682598516</v>
      </c>
      <c r="AR322" s="31">
        <f t="shared" si="209"/>
        <v>1.558301192575452</v>
      </c>
      <c r="AS322" s="58" t="str">
        <f t="shared" si="210"/>
        <v>-4.39669752982057+4.3756666830056i</v>
      </c>
      <c r="AT322" s="49">
        <f t="shared" si="211"/>
        <v>15.852058094587624</v>
      </c>
      <c r="AU322" s="61">
        <f t="shared" si="212"/>
        <v>135.13736051357571</v>
      </c>
      <c r="AV322" s="58" t="str">
        <f t="shared" si="189"/>
        <v>1.94869471754-21.4568915806151i</v>
      </c>
      <c r="AW322" s="64">
        <f t="shared" si="213"/>
        <v>26.667010264924986</v>
      </c>
      <c r="AX322" s="61">
        <f t="shared" si="214"/>
        <v>-84.810687259777907</v>
      </c>
    </row>
    <row r="323" spans="14:50" x14ac:dyDescent="0.4">
      <c r="N323" s="10">
        <v>5</v>
      </c>
      <c r="O323" s="50">
        <f t="shared" si="216"/>
        <v>11220.184543019639</v>
      </c>
      <c r="P323" s="48" t="str">
        <f t="shared" si="180"/>
        <v>5120.19230769231</v>
      </c>
      <c r="Q323" s="17" t="str">
        <f t="shared" si="181"/>
        <v>1+329.444907220852i</v>
      </c>
      <c r="R323" s="17">
        <f t="shared" si="190"/>
        <v>329.44642492180088</v>
      </c>
      <c r="S323" s="17">
        <f t="shared" si="191"/>
        <v>1.5677609272277366</v>
      </c>
      <c r="T323" s="17" t="str">
        <f t="shared" si="182"/>
        <v>1+0.0007042800016588i</v>
      </c>
      <c r="U323" s="17">
        <f t="shared" si="192"/>
        <v>1.0000002480051295</v>
      </c>
      <c r="V323" s="17">
        <f t="shared" si="193"/>
        <v>7.0427988521545143E-4</v>
      </c>
      <c r="W323" s="31" t="str">
        <f t="shared" si="183"/>
        <v>1-1.14207567836562i</v>
      </c>
      <c r="X323" s="17">
        <f t="shared" si="194"/>
        <v>1.5180042342214635</v>
      </c>
      <c r="Y323" s="17">
        <f t="shared" si="195"/>
        <v>-0.85162733076811814</v>
      </c>
      <c r="Z323" s="31" t="str">
        <f t="shared" si="184"/>
        <v>0.949642983528233+6.95349539064081i</v>
      </c>
      <c r="AA323" s="17">
        <f t="shared" si="196"/>
        <v>7.0180424581094831</v>
      </c>
      <c r="AB323" s="17">
        <f t="shared" si="197"/>
        <v>1.4350654406795769</v>
      </c>
      <c r="AC323" s="66" t="str">
        <f t="shared" si="198"/>
        <v>-2.54465090626352+2.1967609850896i</v>
      </c>
      <c r="AD323" s="64">
        <f t="shared" si="199"/>
        <v>10.531171462506222</v>
      </c>
      <c r="AE323" s="61">
        <f t="shared" si="200"/>
        <v>139.19642300232655</v>
      </c>
      <c r="AF323" s="31" t="str">
        <f t="shared" si="185"/>
        <v>-10.0808080808081</v>
      </c>
      <c r="AG323" s="31" t="str">
        <f t="shared" si="201"/>
        <v>70498.4986645445i</v>
      </c>
      <c r="AH323" s="31">
        <f t="shared" si="202"/>
        <v>70498.498664544502</v>
      </c>
      <c r="AI323" s="31">
        <f t="shared" si="203"/>
        <v>1.5707963267948966</v>
      </c>
      <c r="AJ323" s="31" t="str">
        <f t="shared" si="186"/>
        <v>-94.0672268559017+94.6609426013345i</v>
      </c>
      <c r="AK323" s="31">
        <f t="shared" si="204"/>
        <v>133.4516287743721</v>
      </c>
      <c r="AL323" s="31">
        <f t="shared" si="205"/>
        <v>2.3530486228394567</v>
      </c>
      <c r="AM323" s="31" t="str">
        <f t="shared" si="187"/>
        <v>1+69875.404733948i</v>
      </c>
      <c r="AN323" s="31">
        <f t="shared" si="206"/>
        <v>69875.404741103601</v>
      </c>
      <c r="AO323" s="31">
        <f t="shared" si="207"/>
        <v>1.5707820156076664</v>
      </c>
      <c r="AP323" s="31" t="str">
        <f t="shared" si="188"/>
        <v>1+81.8910560487349i</v>
      </c>
      <c r="AQ323" s="31">
        <f t="shared" si="208"/>
        <v>81.897161494016643</v>
      </c>
      <c r="AR323" s="31">
        <f t="shared" si="209"/>
        <v>1.5585855879543018</v>
      </c>
      <c r="AS323" s="58" t="str">
        <f t="shared" si="210"/>
        <v>-4.29626172833054+4.37499178630292i</v>
      </c>
      <c r="AT323" s="49">
        <f t="shared" si="211"/>
        <v>15.75169571470485</v>
      </c>
      <c r="AU323" s="61">
        <f t="shared" si="212"/>
        <v>134.47980115129783</v>
      </c>
      <c r="AV323" s="58" t="str">
        <f t="shared" si="189"/>
        <v>1.32167503430388-20.5706869604413i</v>
      </c>
      <c r="AW323" s="64">
        <f t="shared" si="213"/>
        <v>26.28286717721106</v>
      </c>
      <c r="AX323" s="61">
        <f t="shared" si="214"/>
        <v>-86.323775846375597</v>
      </c>
    </row>
    <row r="324" spans="14:50" x14ac:dyDescent="0.4">
      <c r="N324" s="10">
        <v>6</v>
      </c>
      <c r="O324" s="50">
        <f t="shared" si="216"/>
        <v>11481.536214968832</v>
      </c>
      <c r="P324" s="48" t="str">
        <f t="shared" si="180"/>
        <v>5120.19230769231</v>
      </c>
      <c r="Q324" s="17" t="str">
        <f t="shared" si="181"/>
        <v>1+337.118664901681i</v>
      </c>
      <c r="R324" s="17">
        <f t="shared" si="190"/>
        <v>337.12014805569225</v>
      </c>
      <c r="S324" s="17">
        <f t="shared" si="191"/>
        <v>1.5678300209473701</v>
      </c>
      <c r="T324" s="17" t="str">
        <f t="shared" si="182"/>
        <v>1+0.000720684790300928i</v>
      </c>
      <c r="U324" s="17">
        <f t="shared" si="192"/>
        <v>1.0000002596932498</v>
      </c>
      <c r="V324" s="17">
        <f t="shared" si="193"/>
        <v>7.2068466552963387E-4</v>
      </c>
      <c r="W324" s="31" t="str">
        <f t="shared" si="183"/>
        <v>1-1.16867803832583i</v>
      </c>
      <c r="X324" s="17">
        <f t="shared" si="194"/>
        <v>1.5381184470856299</v>
      </c>
      <c r="Y324" s="17">
        <f t="shared" si="195"/>
        <v>-0.86302108371839126</v>
      </c>
      <c r="Z324" s="31" t="str">
        <f t="shared" si="184"/>
        <v>0.947269730457744+7.11546310509926i</v>
      </c>
      <c r="AA324" s="17">
        <f t="shared" si="196"/>
        <v>7.1782403931792569</v>
      </c>
      <c r="AB324" s="17">
        <f t="shared" si="197"/>
        <v>1.4384462209995725</v>
      </c>
      <c r="AC324" s="66" t="str">
        <f t="shared" si="198"/>
        <v>-2.43164422155708+2.16294915095759i</v>
      </c>
      <c r="AD324" s="64">
        <f t="shared" si="199"/>
        <v>10.249469180221569</v>
      </c>
      <c r="AE324" s="61">
        <f t="shared" si="200"/>
        <v>138.34688574781467</v>
      </c>
      <c r="AF324" s="31" t="str">
        <f t="shared" si="185"/>
        <v>-10.0808080808081</v>
      </c>
      <c r="AG324" s="31" t="str">
        <f t="shared" si="201"/>
        <v>72140.6196497425i</v>
      </c>
      <c r="AH324" s="31">
        <f t="shared" si="202"/>
        <v>72140.619649742497</v>
      </c>
      <c r="AI324" s="31">
        <f t="shared" si="203"/>
        <v>1.5707963267948966</v>
      </c>
      <c r="AJ324" s="31" t="str">
        <f t="shared" si="186"/>
        <v>-98.5476072248459+96.8658792066363i</v>
      </c>
      <c r="AK324" s="31">
        <f t="shared" si="204"/>
        <v>138.18331825592102</v>
      </c>
      <c r="AL324" s="31">
        <f t="shared" si="205"/>
        <v>2.3648002754567776</v>
      </c>
      <c r="AM324" s="31" t="str">
        <f t="shared" si="187"/>
        <v>1+71503.0119970305i</v>
      </c>
      <c r="AN324" s="31">
        <f t="shared" si="206"/>
        <v>71503.0120040232</v>
      </c>
      <c r="AO324" s="31">
        <f t="shared" si="207"/>
        <v>1.5707823413700592</v>
      </c>
      <c r="AP324" s="31" t="str">
        <f t="shared" si="188"/>
        <v>1+83.7985437851409i</v>
      </c>
      <c r="AQ324" s="31">
        <f t="shared" si="208"/>
        <v>83.804510263530418</v>
      </c>
      <c r="AR324" s="31">
        <f t="shared" si="209"/>
        <v>1.558863511612723</v>
      </c>
      <c r="AS324" s="58" t="str">
        <f t="shared" si="210"/>
        <v>-4.19589586623238+4.37201335479276i</v>
      </c>
      <c r="AT324" s="49">
        <f t="shared" si="211"/>
        <v>15.64903179853369</v>
      </c>
      <c r="AU324" s="61">
        <f t="shared" si="212"/>
        <v>133.8224235714861</v>
      </c>
      <c r="AV324" s="58" t="str">
        <f t="shared" si="189"/>
        <v>0.746483363654958-19.706690412126i</v>
      </c>
      <c r="AW324" s="64">
        <f t="shared" si="213"/>
        <v>25.898500978755266</v>
      </c>
      <c r="AX324" s="61">
        <f t="shared" si="214"/>
        <v>-87.830690680699234</v>
      </c>
    </row>
    <row r="325" spans="14:50" x14ac:dyDescent="0.4">
      <c r="N325" s="10">
        <v>7</v>
      </c>
      <c r="O325" s="50">
        <f t="shared" si="216"/>
        <v>11748.975549395318</v>
      </c>
      <c r="P325" s="48" t="str">
        <f t="shared" si="180"/>
        <v>5120.19230769231</v>
      </c>
      <c r="Q325" s="17" t="str">
        <f t="shared" si="181"/>
        <v>1+344.971167360935i</v>
      </c>
      <c r="R325" s="17">
        <f t="shared" si="190"/>
        <v>344.97261675438273</v>
      </c>
      <c r="S325" s="17">
        <f t="shared" si="191"/>
        <v>1.5678975419292978</v>
      </c>
      <c r="T325" s="17" t="str">
        <f t="shared" si="182"/>
        <v>1+0.000737471695558266i</v>
      </c>
      <c r="U325" s="17">
        <f t="shared" si="192"/>
        <v>1.0000002719322139</v>
      </c>
      <c r="V325" s="17">
        <f t="shared" si="193"/>
        <v>7.3747156186341751E-4</v>
      </c>
      <c r="W325" s="31" t="str">
        <f t="shared" si="183"/>
        <v>1-1.19590004685124i</v>
      </c>
      <c r="X325" s="17">
        <f t="shared" si="194"/>
        <v>1.5589024735559303</v>
      </c>
      <c r="Y325" s="17">
        <f t="shared" si="195"/>
        <v>-0.8743743485515072</v>
      </c>
      <c r="Z325" s="31" t="str">
        <f t="shared" si="184"/>
        <v>0.944784629415884+7.28120353228034i</v>
      </c>
      <c r="AA325" s="17">
        <f t="shared" si="196"/>
        <v>7.3422437220833396</v>
      </c>
      <c r="AB325" s="17">
        <f t="shared" si="197"/>
        <v>1.4417606290185345</v>
      </c>
      <c r="AC325" s="66" t="str">
        <f t="shared" si="198"/>
        <v>-2.32352680812235+2.12885274528543i</v>
      </c>
      <c r="AD325" s="64">
        <f t="shared" si="199"/>
        <v>9.9698383494177936</v>
      </c>
      <c r="AE325" s="61">
        <f t="shared" si="200"/>
        <v>137.50358314913001</v>
      </c>
      <c r="AF325" s="31" t="str">
        <f t="shared" si="185"/>
        <v>-10.0808080808081</v>
      </c>
      <c r="AG325" s="31" t="str">
        <f t="shared" si="201"/>
        <v>73820.9905463729i</v>
      </c>
      <c r="AH325" s="31">
        <f t="shared" si="202"/>
        <v>73820.990546372894</v>
      </c>
      <c r="AI325" s="31">
        <f t="shared" si="203"/>
        <v>1.5707963267948966</v>
      </c>
      <c r="AJ325" s="31" t="str">
        <f t="shared" si="186"/>
        <v>-103.239141415295+99.1221753832651i</v>
      </c>
      <c r="AK325" s="31">
        <f t="shared" si="204"/>
        <v>143.12066927204486</v>
      </c>
      <c r="AL325" s="31">
        <f t="shared" si="205"/>
        <v>2.3765363135638635</v>
      </c>
      <c r="AM325" s="31" t="str">
        <f t="shared" si="187"/>
        <v>1+73168.5311035281i</v>
      </c>
      <c r="AN325" s="31">
        <f t="shared" si="206"/>
        <v>73168.531110361655</v>
      </c>
      <c r="AO325" s="31">
        <f t="shared" si="207"/>
        <v>1.5707826597171946</v>
      </c>
      <c r="AP325" s="31" t="str">
        <f t="shared" si="188"/>
        <v>1+85.7504626186668i</v>
      </c>
      <c r="AQ325" s="31">
        <f t="shared" si="208"/>
        <v>85.756293292768731</v>
      </c>
      <c r="AR325" s="31">
        <f t="shared" si="209"/>
        <v>1.5591351107376814</v>
      </c>
      <c r="AS325" s="58" t="str">
        <f t="shared" si="210"/>
        <v>-4.09570607194793+4.36673828451636i</v>
      </c>
      <c r="AT325" s="49">
        <f t="shared" si="211"/>
        <v>15.544069145678808</v>
      </c>
      <c r="AU325" s="61">
        <f t="shared" si="212"/>
        <v>133.16557784327213</v>
      </c>
      <c r="AV325" s="58" t="str">
        <f t="shared" si="189"/>
        <v>0.220340071424861-18.8653885832765i</v>
      </c>
      <c r="AW325" s="64">
        <f t="shared" si="213"/>
        <v>25.513907495096593</v>
      </c>
      <c r="AX325" s="61">
        <f t="shared" si="214"/>
        <v>-89.330839007597845</v>
      </c>
    </row>
    <row r="326" spans="14:50" x14ac:dyDescent="0.4">
      <c r="N326" s="10">
        <v>8</v>
      </c>
      <c r="O326" s="50">
        <f t="shared" si="216"/>
        <v>12022.644346174151</v>
      </c>
      <c r="P326" s="48" t="str">
        <f t="shared" si="180"/>
        <v>5120.19230769231</v>
      </c>
      <c r="Q326" s="17" t="str">
        <f t="shared" si="181"/>
        <v>1+353.006578099356i</v>
      </c>
      <c r="R326" s="17">
        <f t="shared" si="190"/>
        <v>353.00799450071486</v>
      </c>
      <c r="S326" s="17">
        <f t="shared" si="191"/>
        <v>1.5679635259715734</v>
      </c>
      <c r="T326" s="17" t="str">
        <f t="shared" si="182"/>
        <v>1+0.000754649618070179i</v>
      </c>
      <c r="U326" s="17">
        <f t="shared" si="192"/>
        <v>1.0000002847479825</v>
      </c>
      <c r="V326" s="17">
        <f t="shared" si="193"/>
        <v>7.5464947481357011E-4</v>
      </c>
      <c r="W326" s="31" t="str">
        <f t="shared" si="183"/>
        <v>1-1.2237561374111i</v>
      </c>
      <c r="X326" s="17">
        <f t="shared" si="194"/>
        <v>1.5803730837531165</v>
      </c>
      <c r="Y326" s="17">
        <f t="shared" si="195"/>
        <v>-0.8856814385595404</v>
      </c>
      <c r="Z326" s="31" t="str">
        <f t="shared" si="184"/>
        <v>0.942182409170163+7.45080454995234i</v>
      </c>
      <c r="AA326" s="17">
        <f t="shared" si="196"/>
        <v>7.5101395548778038</v>
      </c>
      <c r="AB326" s="17">
        <f t="shared" si="197"/>
        <v>1.4450101738509449</v>
      </c>
      <c r="AC326" s="66" t="str">
        <f t="shared" si="198"/>
        <v>-2.22009546355792+2.09454571864903i</v>
      </c>
      <c r="AD326" s="64">
        <f t="shared" si="199"/>
        <v>9.692269454523867</v>
      </c>
      <c r="AE326" s="61">
        <f t="shared" si="200"/>
        <v>136.66675302363473</v>
      </c>
      <c r="AF326" s="31" t="str">
        <f t="shared" si="185"/>
        <v>-10.0808080808081</v>
      </c>
      <c r="AG326" s="31" t="str">
        <f t="shared" si="201"/>
        <v>75540.5023093271i</v>
      </c>
      <c r="AH326" s="31">
        <f t="shared" si="202"/>
        <v>75540.502309327101</v>
      </c>
      <c r="AI326" s="31">
        <f t="shared" si="203"/>
        <v>1.5707963267948966</v>
      </c>
      <c r="AJ326" s="31" t="str">
        <f t="shared" si="186"/>
        <v>-108.151780800269+101.431027449319i</v>
      </c>
      <c r="AK326" s="31">
        <f t="shared" si="204"/>
        <v>148.27360189762013</v>
      </c>
      <c r="AL326" s="31">
        <f t="shared" si="205"/>
        <v>2.3882507983973937</v>
      </c>
      <c r="AM326" s="31" t="str">
        <f t="shared" si="187"/>
        <v>1+74872.8451337166i</v>
      </c>
      <c r="AN326" s="31">
        <f t="shared" si="206"/>
        <v>74872.845140394595</v>
      </c>
      <c r="AO326" s="31">
        <f t="shared" si="207"/>
        <v>1.5707829708178644</v>
      </c>
      <c r="AP326" s="31" t="str">
        <f t="shared" si="188"/>
        <v>1+87.7478474825144i</v>
      </c>
      <c r="AQ326" s="31">
        <f t="shared" si="208"/>
        <v>87.753545442988283</v>
      </c>
      <c r="AR326" s="31">
        <f t="shared" si="209"/>
        <v>1.5594005291742576</v>
      </c>
      <c r="AS326" s="58" t="str">
        <f t="shared" si="210"/>
        <v>-3.99579773143568+4.35917954520085i</v>
      </c>
      <c r="AT326" s="49">
        <f t="shared" si="211"/>
        <v>15.436812982167776</v>
      </c>
      <c r="AU326" s="61">
        <f t="shared" si="212"/>
        <v>132.50961248411704</v>
      </c>
      <c r="AV326" s="58" t="str">
        <f t="shared" si="189"/>
        <v>-0.259448436367483-18.047175764101i</v>
      </c>
      <c r="AW326" s="64">
        <f t="shared" si="213"/>
        <v>25.129082436691643</v>
      </c>
      <c r="AX326" s="61">
        <f t="shared" si="214"/>
        <v>-90.823634492248232</v>
      </c>
    </row>
    <row r="327" spans="14:50" x14ac:dyDescent="0.4">
      <c r="N327" s="10">
        <v>9</v>
      </c>
      <c r="O327" s="50">
        <f t="shared" si="216"/>
        <v>12302.687708123816</v>
      </c>
      <c r="P327" s="48" t="str">
        <f t="shared" si="180"/>
        <v>5120.19230769231</v>
      </c>
      <c r="Q327" s="17" t="str">
        <f t="shared" si="181"/>
        <v>1+361.229157598079i</v>
      </c>
      <c r="R327" s="17">
        <f t="shared" si="190"/>
        <v>361.23054175833164</v>
      </c>
      <c r="S327" s="17">
        <f t="shared" si="191"/>
        <v>1.56802800805751</v>
      </c>
      <c r="T327" s="17" t="str">
        <f t="shared" si="182"/>
        <v>1+0.000772227665798561i</v>
      </c>
      <c r="U327" s="17">
        <f t="shared" si="192"/>
        <v>1.0000002981677394</v>
      </c>
      <c r="V327" s="17">
        <f t="shared" si="193"/>
        <v>7.7222751229634142E-4</v>
      </c>
      <c r="W327" s="31" t="str">
        <f t="shared" si="183"/>
        <v>1-1.25226107967334i</v>
      </c>
      <c r="X327" s="17">
        <f t="shared" si="194"/>
        <v>1.6025472884332115</v>
      </c>
      <c r="Y327" s="17">
        <f t="shared" si="195"/>
        <v>-0.89693678474414495</v>
      </c>
      <c r="Z327" s="31" t="str">
        <f t="shared" si="184"/>
        <v>0.939457550062551+7.62435608281978i</v>
      </c>
      <c r="AA327" s="17">
        <f t="shared" si="196"/>
        <v>7.6820170636363798</v>
      </c>
      <c r="AB327" s="17">
        <f t="shared" si="197"/>
        <v>1.4481963461874094</v>
      </c>
      <c r="AC327" s="66" t="str">
        <f t="shared" si="198"/>
        <v>-2.12115470784437+2.06009613846192i</v>
      </c>
      <c r="AD327" s="64">
        <f t="shared" si="199"/>
        <v>9.4167505203526183</v>
      </c>
      <c r="AE327" s="61">
        <f t="shared" si="200"/>
        <v>135.83662755859902</v>
      </c>
      <c r="AF327" s="31" t="str">
        <f t="shared" si="185"/>
        <v>-10.0808080808081</v>
      </c>
      <c r="AG327" s="31" t="str">
        <f t="shared" si="201"/>
        <v>77300.0666465025i</v>
      </c>
      <c r="AH327" s="31">
        <f t="shared" si="202"/>
        <v>77300.066646502499</v>
      </c>
      <c r="AI327" s="31">
        <f t="shared" si="203"/>
        <v>1.5707963267948966</v>
      </c>
      <c r="AJ327" s="31" t="str">
        <f t="shared" si="186"/>
        <v>-113.295945746556+103.793659588725i</v>
      </c>
      <c r="AK327" s="31">
        <f t="shared" si="204"/>
        <v>153.65251411358906</v>
      </c>
      <c r="AL327" s="31">
        <f t="shared" si="205"/>
        <v>2.3999378309148076</v>
      </c>
      <c r="AM327" s="31" t="str">
        <f t="shared" si="187"/>
        <v>1+76616.8577374543i</v>
      </c>
      <c r="AN327" s="31">
        <f t="shared" si="206"/>
        <v>76616.857743980276</v>
      </c>
      <c r="AO327" s="31">
        <f t="shared" si="207"/>
        <v>1.5707832748370185</v>
      </c>
      <c r="AP327" s="31" t="str">
        <f t="shared" si="188"/>
        <v>1+89.7917574165774i</v>
      </c>
      <c r="AQ327" s="31">
        <f t="shared" si="208"/>
        <v>89.797325683772357</v>
      </c>
      <c r="AR327" s="31">
        <f t="shared" si="209"/>
        <v>1.559659907501151</v>
      </c>
      <c r="AS327" s="58" t="str">
        <f t="shared" si="210"/>
        <v>-3.89627504665348+4.34935609575216i</v>
      </c>
      <c r="AT327" s="49">
        <f t="shared" si="211"/>
        <v>15.327270938307741</v>
      </c>
      <c r="AU327" s="61">
        <f t="shared" si="212"/>
        <v>131.85487354827967</v>
      </c>
      <c r="AV327" s="58" t="str">
        <f t="shared" si="189"/>
        <v>-0.695489539389266-17.2523583365927i</v>
      </c>
      <c r="AW327" s="64">
        <f t="shared" si="213"/>
        <v>24.744021458660374</v>
      </c>
      <c r="AX327" s="61">
        <f t="shared" si="214"/>
        <v>-92.30849889312131</v>
      </c>
    </row>
    <row r="328" spans="14:50" x14ac:dyDescent="0.4">
      <c r="N328" s="10">
        <v>10</v>
      </c>
      <c r="O328" s="50">
        <f t="shared" si="216"/>
        <v>12589.254117941671</v>
      </c>
      <c r="P328" s="48" t="str">
        <f t="shared" si="180"/>
        <v>5120.19230769231</v>
      </c>
      <c r="Q328" s="17" t="str">
        <f t="shared" si="181"/>
        <v>1+369.643265577594i</v>
      </c>
      <c r="R328" s="17">
        <f t="shared" si="190"/>
        <v>369.64461823062931</v>
      </c>
      <c r="S328" s="17">
        <f t="shared" si="191"/>
        <v>1.568091022374217</v>
      </c>
      <c r="T328" s="17" t="str">
        <f t="shared" si="182"/>
        <v>1+0.000790215158856991i</v>
      </c>
      <c r="U328" s="17">
        <f t="shared" si="192"/>
        <v>1.0000003122199499</v>
      </c>
      <c r="V328" s="17">
        <f t="shared" si="193"/>
        <v>7.9021499437640199E-4</v>
      </c>
      <c r="W328" s="31" t="str">
        <f t="shared" si="183"/>
        <v>1-1.28142998733566i</v>
      </c>
      <c r="X328" s="17">
        <f t="shared" si="194"/>
        <v>1.6254423436231349</v>
      </c>
      <c r="Y328" s="17">
        <f t="shared" si="195"/>
        <v>-0.90813494864055333</v>
      </c>
      <c r="Z328" s="31" t="str">
        <f t="shared" si="184"/>
        <v>0.936604272301555+7.80195015020262i</v>
      </c>
      <c r="AA328" s="17">
        <f t="shared" si="196"/>
        <v>7.857967530420332</v>
      </c>
      <c r="AB328" s="17">
        <f t="shared" si="197"/>
        <v>1.4513206180818048</v>
      </c>
      <c r="AC328" s="66" t="str">
        <f t="shared" si="198"/>
        <v>-2.02651655357047+2.02556657149479i</v>
      </c>
      <c r="AD328" s="64">
        <f t="shared" si="199"/>
        <v>9.1432672013508522</v>
      </c>
      <c r="AE328" s="61">
        <f t="shared" si="200"/>
        <v>135.01343258784985</v>
      </c>
      <c r="AF328" s="31" t="str">
        <f t="shared" si="185"/>
        <v>-10.0808080808081</v>
      </c>
      <c r="AG328" s="31" t="str">
        <f t="shared" si="201"/>
        <v>79100.6165022012i</v>
      </c>
      <c r="AH328" s="31">
        <f t="shared" si="202"/>
        <v>79100.616502201199</v>
      </c>
      <c r="AI328" s="31">
        <f t="shared" si="203"/>
        <v>1.5707963267948966</v>
      </c>
      <c r="AJ328" s="31" t="str">
        <f t="shared" si="186"/>
        <v>-118.682547717696+106.211324500316i</v>
      </c>
      <c r="AK328" s="31">
        <f t="shared" si="204"/>
        <v>159.26830376717965</v>
      </c>
      <c r="AL328" s="31">
        <f t="shared" si="205"/>
        <v>2.4115915675044448</v>
      </c>
      <c r="AM328" s="31" t="str">
        <f t="shared" si="187"/>
        <v>1+78401.4936133084i</v>
      </c>
      <c r="AN328" s="31">
        <f t="shared" si="206"/>
        <v>78401.493619685833</v>
      </c>
      <c r="AO328" s="31">
        <f t="shared" si="207"/>
        <v>1.5707835719358518</v>
      </c>
      <c r="AP328" s="31" t="str">
        <f t="shared" si="188"/>
        <v>1+91.883276128957i</v>
      </c>
      <c r="AQ328" s="31">
        <f t="shared" si="208"/>
        <v>91.888717654509463</v>
      </c>
      <c r="AR328" s="31">
        <f t="shared" si="209"/>
        <v>1.5599133831045013</v>
      </c>
      <c r="AS328" s="58" t="str">
        <f t="shared" si="210"/>
        <v>-3.79724060459477+4.33729276186886i</v>
      </c>
      <c r="AT328" s="49">
        <f t="shared" si="211"/>
        <v>15.215453016535875</v>
      </c>
      <c r="AU328" s="61">
        <f t="shared" si="212"/>
        <v>131.20170373092699</v>
      </c>
      <c r="AV328" s="58" t="str">
        <f t="shared" si="189"/>
        <v>-1.09030428612663-16.4811592121985i</v>
      </c>
      <c r="AW328" s="64">
        <f t="shared" si="213"/>
        <v>24.358720217886752</v>
      </c>
      <c r="AX328" s="61">
        <f t="shared" si="214"/>
        <v>-93.784863681223129</v>
      </c>
    </row>
    <row r="329" spans="14:50" x14ac:dyDescent="0.4">
      <c r="N329" s="10">
        <v>11</v>
      </c>
      <c r="O329" s="50">
        <f t="shared" si="216"/>
        <v>12882.49551693136</v>
      </c>
      <c r="P329" s="48" t="str">
        <f t="shared" si="180"/>
        <v>5120.19230769231</v>
      </c>
      <c r="Q329" s="17" t="str">
        <f t="shared" si="181"/>
        <v>1+378.253363309327i</v>
      </c>
      <c r="R329" s="17">
        <f t="shared" si="190"/>
        <v>378.254685172329</v>
      </c>
      <c r="S329" s="17">
        <f t="shared" si="191"/>
        <v>1.5681526023307166</v>
      </c>
      <c r="T329" s="17" t="str">
        <f t="shared" si="182"/>
        <v>1+0.000808621634452383i</v>
      </c>
      <c r="U329" s="17">
        <f t="shared" si="192"/>
        <v>1.0000003269344204</v>
      </c>
      <c r="V329" s="17">
        <f t="shared" si="193"/>
        <v>8.0862145820825978E-4</v>
      </c>
      <c r="W329" s="31" t="str">
        <f t="shared" si="183"/>
        <v>1-1.311278326139i</v>
      </c>
      <c r="X329" s="17">
        <f t="shared" si="194"/>
        <v>1.6490757558711178</v>
      </c>
      <c r="Y329" s="17">
        <f t="shared" si="195"/>
        <v>-0.91927063435744638</v>
      </c>
      <c r="Z329" s="31" t="str">
        <f t="shared" si="184"/>
        <v>0.933616523702497+7.98368091482613i</v>
      </c>
      <c r="AA329" s="17">
        <f t="shared" si="196"/>
        <v>8.0380843963651767</v>
      </c>
      <c r="AB329" s="17">
        <f t="shared" si="197"/>
        <v>1.4543844427888937</v>
      </c>
      <c r="AC329" s="66" t="str">
        <f t="shared" si="198"/>
        <v>-1.93600027705848+1.99101444434937i</v>
      </c>
      <c r="AD329" s="64">
        <f t="shared" si="199"/>
        <v>8.8718028775661821</v>
      </c>
      <c r="AE329" s="61">
        <f t="shared" si="200"/>
        <v>134.1973869104869</v>
      </c>
      <c r="AF329" s="31" t="str">
        <f t="shared" si="185"/>
        <v>-10.0808080808081</v>
      </c>
      <c r="AG329" s="31" t="str">
        <f t="shared" si="201"/>
        <v>80943.10655179i</v>
      </c>
      <c r="AH329" s="31">
        <f t="shared" si="202"/>
        <v>80943.106551789999</v>
      </c>
      <c r="AI329" s="31">
        <f t="shared" si="203"/>
        <v>1.5707963267948966</v>
      </c>
      <c r="AJ329" s="31" t="str">
        <f t="shared" si="186"/>
        <v>-124.323012418663+108.685304062031i</v>
      </c>
      <c r="AK329" s="31">
        <f t="shared" si="204"/>
        <v>165.13239154056714</v>
      </c>
      <c r="AL329" s="31">
        <f t="shared" si="205"/>
        <v>2.4232062353230326</v>
      </c>
      <c r="AM329" s="31" t="str">
        <f t="shared" si="187"/>
        <v>1+80227.6989988429i</v>
      </c>
      <c r="AN329" s="31">
        <f t="shared" si="206"/>
        <v>80227.699005075177</v>
      </c>
      <c r="AO329" s="31">
        <f t="shared" si="207"/>
        <v>1.5707838622718899</v>
      </c>
      <c r="AP329" s="31" t="str">
        <f t="shared" si="188"/>
        <v>1+94.0235125705593i</v>
      </c>
      <c r="AQ329" s="31">
        <f t="shared" si="208"/>
        <v>94.028830238954484</v>
      </c>
      <c r="AR329" s="31">
        <f t="shared" si="209"/>
        <v>1.560161090250068</v>
      </c>
      <c r="AS329" s="58" t="str">
        <f t="shared" si="210"/>
        <v>-3.6987949606449+4.32302007722698i</v>
      </c>
      <c r="AT329" s="49">
        <f t="shared" si="211"/>
        <v>15.101371549547908</v>
      </c>
      <c r="AU329" s="61">
        <f t="shared" si="212"/>
        <v>130.55044149350124</v>
      </c>
      <c r="AV329" s="58" t="str">
        <f t="shared" si="189"/>
        <v>-1.44632734838021-15.7337222605715i</v>
      </c>
      <c r="AW329" s="64">
        <f t="shared" si="213"/>
        <v>23.973174427114113</v>
      </c>
      <c r="AX329" s="61">
        <f t="shared" si="214"/>
        <v>-95.252171596011834</v>
      </c>
    </row>
    <row r="330" spans="14:50" x14ac:dyDescent="0.4">
      <c r="N330" s="10">
        <v>12</v>
      </c>
      <c r="O330" s="50">
        <f t="shared" si="216"/>
        <v>13182.567385564091</v>
      </c>
      <c r="P330" s="48" t="str">
        <f t="shared" si="180"/>
        <v>5120.19230769231</v>
      </c>
      <c r="Q330" s="17" t="str">
        <f t="shared" si="181"/>
        <v>1+387.06401598106i</v>
      </c>
      <c r="R330" s="17">
        <f t="shared" si="190"/>
        <v>387.06530775488812</v>
      </c>
      <c r="S330" s="17">
        <f t="shared" si="191"/>
        <v>1.5682127805756474</v>
      </c>
      <c r="T330" s="17" t="str">
        <f t="shared" si="182"/>
        <v>1+0.000827456851941733i</v>
      </c>
      <c r="U330" s="17">
        <f t="shared" si="192"/>
        <v>1.0000003423423625</v>
      </c>
      <c r="V330" s="17">
        <f t="shared" si="193"/>
        <v>8.2745666309275601E-4</v>
      </c>
      <c r="W330" s="31" t="str">
        <f t="shared" si="183"/>
        <v>1-1.34182192206767i</v>
      </c>
      <c r="X330" s="17">
        <f t="shared" si="194"/>
        <v>1.6734652881196477</v>
      </c>
      <c r="Y330" s="17">
        <f t="shared" si="195"/>
        <v>-0.93033869977536765</v>
      </c>
      <c r="Z330" s="31" t="str">
        <f t="shared" si="184"/>
        <v>0.930487966850025+8.16964473274718i</v>
      </c>
      <c r="AA330" s="17">
        <f t="shared" si="196"/>
        <v>8.222463311913069</v>
      </c>
      <c r="AB330" s="17">
        <f t="shared" si="197"/>
        <v>1.4573892546489673</v>
      </c>
      <c r="AC330" s="66" t="str">
        <f t="shared" si="198"/>
        <v>-1.84943219106639+1.95649238295285i</v>
      </c>
      <c r="AD330" s="64">
        <f t="shared" si="199"/>
        <v>8.6023387566454055</v>
      </c>
      <c r="AE330" s="61">
        <f t="shared" si="200"/>
        <v>133.38870165514544</v>
      </c>
      <c r="AF330" s="31" t="str">
        <f t="shared" si="185"/>
        <v>-10.0808080808081</v>
      </c>
      <c r="AG330" s="31" t="str">
        <f t="shared" si="201"/>
        <v>82828.5137078811i</v>
      </c>
      <c r="AH330" s="31">
        <f t="shared" si="202"/>
        <v>82828.513707881095</v>
      </c>
      <c r="AI330" s="31">
        <f t="shared" si="203"/>
        <v>1.5707963267948966</v>
      </c>
      <c r="AJ330" s="31" t="str">
        <f t="shared" si="186"/>
        <v>-130.22930403132+111.216910010579i</v>
      </c>
      <c r="AK330" s="31">
        <f t="shared" si="204"/>
        <v>171.25674497894445</v>
      </c>
      <c r="AL330" s="31">
        <f t="shared" si="205"/>
        <v>2.4347761471667217</v>
      </c>
      <c r="AM330" s="31" t="str">
        <f t="shared" si="187"/>
        <v>1+82096.4421723256i</v>
      </c>
      <c r="AN330" s="31">
        <f t="shared" si="206"/>
        <v>82096.442178416008</v>
      </c>
      <c r="AO330" s="31">
        <f t="shared" si="207"/>
        <v>1.570784145999073</v>
      </c>
      <c r="AP330" s="31" t="str">
        <f t="shared" si="188"/>
        <v>1+96.2136015230747i</v>
      </c>
      <c r="AQ330" s="31">
        <f t="shared" si="208"/>
        <v>96.218798153172756</v>
      </c>
      <c r="AR330" s="31">
        <f t="shared" si="209"/>
        <v>1.560403160153796</v>
      </c>
      <c r="AS330" s="58" t="str">
        <f t="shared" si="210"/>
        <v>-3.60103623978936+4.30657409010109i</v>
      </c>
      <c r="AT330" s="49">
        <f t="shared" si="211"/>
        <v>14.985041149074744</v>
      </c>
      <c r="AU330" s="61">
        <f t="shared" si="212"/>
        <v>129.90142021572035</v>
      </c>
      <c r="AV330" s="58" t="str">
        <f t="shared" si="189"/>
        <v>-1.76590706084177-15.0101167293305i</v>
      </c>
      <c r="AW330" s="64">
        <f t="shared" si="213"/>
        <v>23.587379905720173</v>
      </c>
      <c r="AX330" s="61">
        <f t="shared" si="214"/>
        <v>-96.709878129134168</v>
      </c>
    </row>
    <row r="331" spans="14:50" x14ac:dyDescent="0.4">
      <c r="N331" s="10">
        <v>13</v>
      </c>
      <c r="O331" s="50">
        <f t="shared" si="216"/>
        <v>13489.628825916556</v>
      </c>
      <c r="P331" s="48" t="str">
        <f t="shared" si="180"/>
        <v>5120.19230769231</v>
      </c>
      <c r="Q331" s="17" t="str">
        <f t="shared" si="181"/>
        <v>1+396.079895117464i</v>
      </c>
      <c r="R331" s="17">
        <f t="shared" si="190"/>
        <v>396.08115748702465</v>
      </c>
      <c r="S331" s="17">
        <f t="shared" si="191"/>
        <v>1.5682715890145669</v>
      </c>
      <c r="T331" s="17" t="str">
        <f t="shared" si="182"/>
        <v>1+0.000846730798006669i</v>
      </c>
      <c r="U331" s="17">
        <f t="shared" si="192"/>
        <v>1.0000003584764579</v>
      </c>
      <c r="V331" s="17">
        <f t="shared" si="193"/>
        <v>8.467305956513482E-4</v>
      </c>
      <c r="W331" s="31" t="str">
        <f t="shared" si="183"/>
        <v>1-1.37307696974054i</v>
      </c>
      <c r="X331" s="17">
        <f t="shared" si="194"/>
        <v>1.6986289662053524</v>
      </c>
      <c r="Y331" s="17">
        <f t="shared" si="195"/>
        <v>-0.94133416685530158</v>
      </c>
      <c r="Z331" s="31" t="str">
        <f t="shared" si="184"/>
        <v>0.9272119656556+8.35994020444356i</v>
      </c>
      <c r="AA331" s="17">
        <f t="shared" si="196"/>
        <v>8.4112021882205852</v>
      </c>
      <c r="AB331" s="17">
        <f t="shared" si="197"/>
        <v>1.4603364690162615</v>
      </c>
      <c r="AC331" s="66" t="str">
        <f t="shared" si="198"/>
        <v>-1.76664541966423+1.92204853210803i</v>
      </c>
      <c r="AD331" s="64">
        <f t="shared" si="199"/>
        <v>8.3348539811415208</v>
      </c>
      <c r="AE331" s="61">
        <f t="shared" si="200"/>
        <v>132.58757969276422</v>
      </c>
      <c r="AF331" s="31" t="str">
        <f t="shared" si="185"/>
        <v>-10.0808080808081</v>
      </c>
      <c r="AG331" s="31" t="str">
        <f t="shared" si="201"/>
        <v>84757.8376383051i</v>
      </c>
      <c r="AH331" s="31">
        <f t="shared" si="202"/>
        <v>84757.837638305107</v>
      </c>
      <c r="AI331" s="31">
        <f t="shared" si="203"/>
        <v>1.5707963267948966</v>
      </c>
      <c r="AJ331" s="31" t="str">
        <f t="shared" si="186"/>
        <v>-136.413950592046+113.807484636945i</v>
      </c>
      <c r="AK331" s="31">
        <f t="shared" si="204"/>
        <v>177.65390363152071</v>
      </c>
      <c r="AL331" s="31">
        <f t="shared" si="205"/>
        <v>2.4462957157872518</v>
      </c>
      <c r="AM331" s="31" t="str">
        <f t="shared" si="187"/>
        <v>1+84008.713966123i</v>
      </c>
      <c r="AN331" s="31">
        <f t="shared" si="206"/>
        <v>84008.713972074765</v>
      </c>
      <c r="AO331" s="31">
        <f t="shared" si="207"/>
        <v>1.5707844232678367</v>
      </c>
      <c r="AP331" s="31" t="str">
        <f t="shared" si="188"/>
        <v>1+98.4547042006553i</v>
      </c>
      <c r="AQ331" s="31">
        <f t="shared" si="208"/>
        <v>98.45978254718284</v>
      </c>
      <c r="AR331" s="31">
        <f t="shared" si="209"/>
        <v>1.5606397210508094</v>
      </c>
      <c r="AS331" s="58" t="str">
        <f t="shared" si="210"/>
        <v>-3.50405975893856+4.28799613766645i</v>
      </c>
      <c r="AT331" s="49">
        <f t="shared" si="211"/>
        <v>14.866478645754029</v>
      </c>
      <c r="AU331" s="61">
        <f t="shared" si="212"/>
        <v>129.25496737927938</v>
      </c>
      <c r="AV331" s="58" t="str">
        <f t="shared" si="189"/>
        <v>-2.05130555872815-14.310341652233i</v>
      </c>
      <c r="AW331" s="64">
        <f t="shared" si="213"/>
        <v>23.201332626895535</v>
      </c>
      <c r="AX331" s="61">
        <f t="shared" si="214"/>
        <v>-98.157452927956399</v>
      </c>
    </row>
    <row r="332" spans="14:50" x14ac:dyDescent="0.4">
      <c r="N332" s="10">
        <v>14</v>
      </c>
      <c r="O332" s="50">
        <f t="shared" si="216"/>
        <v>13803.842646028841</v>
      </c>
      <c r="P332" s="48" t="str">
        <f t="shared" si="180"/>
        <v>5120.19230769231</v>
      </c>
      <c r="Q332" s="17" t="str">
        <f t="shared" si="181"/>
        <v>1+405.305781056997i</v>
      </c>
      <c r="R332" s="17">
        <f t="shared" si="190"/>
        <v>405.30701469160681</v>
      </c>
      <c r="S332" s="17">
        <f t="shared" si="191"/>
        <v>1.5683290588268597</v>
      </c>
      <c r="T332" s="17" t="str">
        <f t="shared" si="182"/>
        <v>1+0.000866453691948513i</v>
      </c>
      <c r="U332" s="17">
        <f t="shared" si="192"/>
        <v>1.0000003753709297</v>
      </c>
      <c r="V332" s="17">
        <f t="shared" si="193"/>
        <v>8.6645347512088469E-4</v>
      </c>
      <c r="W332" s="31" t="str">
        <f t="shared" si="183"/>
        <v>1-1.40506004099759i</v>
      </c>
      <c r="X332" s="17">
        <f t="shared" si="194"/>
        <v>1.7245850859868148</v>
      </c>
      <c r="Y332" s="17">
        <f t="shared" si="195"/>
        <v>-0.9522522310181627</v>
      </c>
      <c r="Z332" s="31" t="str">
        <f t="shared" si="184"/>
        <v>0.92378157128147+8.55466822709322i</v>
      </c>
      <c r="AA332" s="17">
        <f t="shared" si="196"/>
        <v>8.6044012497719748</v>
      </c>
      <c r="AB332" s="17">
        <f t="shared" si="197"/>
        <v>1.4632274822280573</v>
      </c>
      <c r="AC332" s="66" t="str">
        <f t="shared" si="198"/>
        <v>-1.68747967580863+1.88772685610262i</v>
      </c>
      <c r="AD332" s="64">
        <f t="shared" si="199"/>
        <v>8.069325740383249</v>
      </c>
      <c r="AE332" s="61">
        <f t="shared" si="200"/>
        <v>131.79421510028641</v>
      </c>
      <c r="AF332" s="31" t="str">
        <f t="shared" si="185"/>
        <v>-10.0808080808081</v>
      </c>
      <c r="AG332" s="31" t="str">
        <f t="shared" si="201"/>
        <v>86732.1012961474i</v>
      </c>
      <c r="AH332" s="31">
        <f t="shared" si="202"/>
        <v>86732.101296147404</v>
      </c>
      <c r="AI332" s="31">
        <f t="shared" si="203"/>
        <v>1.5707963267948966</v>
      </c>
      <c r="AJ332" s="31" t="str">
        <f t="shared" si="186"/>
        <v>-142.890070565387+116.458401498085i</v>
      </c>
      <c r="AK332" s="31">
        <f t="shared" si="204"/>
        <v>184.33700536156715</v>
      </c>
      <c r="AL332" s="31">
        <f t="shared" si="205"/>
        <v>2.4577594675714907</v>
      </c>
      <c r="AM332" s="31" t="str">
        <f t="shared" si="187"/>
        <v>1+85965.5282920518i</v>
      </c>
      <c r="AN332" s="31">
        <f t="shared" si="206"/>
        <v>85965.528297868077</v>
      </c>
      <c r="AO332" s="31">
        <f t="shared" si="207"/>
        <v>1.5707846942251931</v>
      </c>
      <c r="AP332" s="31" t="str">
        <f t="shared" si="188"/>
        <v>1+100.748008865605i</v>
      </c>
      <c r="AQ332" s="31">
        <f t="shared" si="208"/>
        <v>100.75297162061288</v>
      </c>
      <c r="AR332" s="31">
        <f t="shared" si="209"/>
        <v>1.5608708982628607</v>
      </c>
      <c r="AS332" s="58" t="str">
        <f t="shared" si="210"/>
        <v>-3.40795767332152+4.26733259056685i</v>
      </c>
      <c r="AT332" s="49">
        <f t="shared" si="211"/>
        <v>14.745703020615368</v>
      </c>
      <c r="AU332" s="61">
        <f t="shared" si="212"/>
        <v>128.61140378793996</v>
      </c>
      <c r="AV332" s="58" t="str">
        <f t="shared" si="189"/>
        <v>-2.30469902538888-13.6343302408874i</v>
      </c>
      <c r="AW332" s="64">
        <f t="shared" si="213"/>
        <v>22.815028760998626</v>
      </c>
      <c r="AX332" s="61">
        <f t="shared" si="214"/>
        <v>-99.5943811117736</v>
      </c>
    </row>
    <row r="333" spans="14:50" x14ac:dyDescent="0.4">
      <c r="N333" s="10">
        <v>15</v>
      </c>
      <c r="O333" s="50">
        <f t="shared" si="216"/>
        <v>14125.375446227561</v>
      </c>
      <c r="P333" s="48" t="str">
        <f t="shared" si="180"/>
        <v>5120.19230769231</v>
      </c>
      <c r="Q333" s="17" t="str">
        <f t="shared" si="181"/>
        <v>1+414.746565486503i</v>
      </c>
      <c r="R333" s="17">
        <f t="shared" si="190"/>
        <v>414.74777104024338</v>
      </c>
      <c r="S333" s="17">
        <f t="shared" si="191"/>
        <v>1.5683852204822619</v>
      </c>
      <c r="T333" s="17" t="str">
        <f t="shared" si="182"/>
        <v>1+0.000886635991106703i</v>
      </c>
      <c r="U333" s="17">
        <f t="shared" si="192"/>
        <v>1.0000003930616133</v>
      </c>
      <c r="V333" s="17">
        <f t="shared" si="193"/>
        <v>8.8663575877171829E-4</v>
      </c>
      <c r="W333" s="31" t="str">
        <f t="shared" si="183"/>
        <v>1-1.43778809368654i</v>
      </c>
      <c r="X333" s="17">
        <f t="shared" si="194"/>
        <v>1.7513522210985359</v>
      </c>
      <c r="Y333" s="17">
        <f t="shared" si="195"/>
        <v>-0.96308826956536908</v>
      </c>
      <c r="Z333" s="31" t="str">
        <f t="shared" si="184"/>
        <v>0.920189507401244+8.75393204807133i</v>
      </c>
      <c r="AA333" s="17">
        <f t="shared" si="196"/>
        <v>8.8021630882290331</v>
      </c>
      <c r="AB333" s="17">
        <f t="shared" si="197"/>
        <v>1.4660636716115605</v>
      </c>
      <c r="AC333" s="66" t="str">
        <f t="shared" si="198"/>
        <v>-1.61178104207116+1.85356742134756i</v>
      </c>
      <c r="AD333" s="64">
        <f t="shared" si="199"/>
        <v>7.8057293861427208</v>
      </c>
      <c r="AE333" s="61">
        <f t="shared" si="200"/>
        <v>131.00879267716513</v>
      </c>
      <c r="AF333" s="31" t="str">
        <f t="shared" si="185"/>
        <v>-10.0808080808081</v>
      </c>
      <c r="AG333" s="31" t="str">
        <f t="shared" si="201"/>
        <v>88752.3514621323i</v>
      </c>
      <c r="AH333" s="31">
        <f t="shared" si="202"/>
        <v>88752.351462132297</v>
      </c>
      <c r="AI333" s="31">
        <f t="shared" si="203"/>
        <v>1.5707963267948966</v>
      </c>
      <c r="AJ333" s="31" t="str">
        <f t="shared" si="186"/>
        <v>-149.671400670075+119.171066145209i</v>
      </c>
      <c r="AK333" s="31">
        <f t="shared" si="204"/>
        <v>191.31981388431234</v>
      </c>
      <c r="AL333" s="31">
        <f t="shared" si="205"/>
        <v>2.4691620555094449</v>
      </c>
      <c r="AM333" s="31" t="str">
        <f t="shared" si="187"/>
        <v>1+87967.9226789697i</v>
      </c>
      <c r="AN333" s="31">
        <f t="shared" si="206"/>
        <v>87967.922684653589</v>
      </c>
      <c r="AO333" s="31">
        <f t="shared" si="207"/>
        <v>1.5707849590148071</v>
      </c>
      <c r="AP333" s="31" t="str">
        <f t="shared" si="188"/>
        <v>1+103.094731458413i</v>
      </c>
      <c r="AQ333" s="31">
        <f t="shared" si="208"/>
        <v>103.09958125270097</v>
      </c>
      <c r="AR333" s="31">
        <f t="shared" si="209"/>
        <v>1.5610968142642725</v>
      </c>
      <c r="AS333" s="58" t="str">
        <f t="shared" si="210"/>
        <v>-3.31281864955362+4.24463457062312i</v>
      </c>
      <c r="AT333" s="49">
        <f t="shared" si="211"/>
        <v>14.622735328761326</v>
      </c>
      <c r="AU333" s="61">
        <f t="shared" si="212"/>
        <v>127.97104282830119</v>
      </c>
      <c r="AV333" s="58" t="str">
        <f t="shared" si="189"/>
        <v>-2.5281780604623-12.9819542530954i</v>
      </c>
      <c r="AW333" s="64">
        <f t="shared" si="213"/>
        <v>22.428464714904042</v>
      </c>
      <c r="AX333" s="61">
        <f t="shared" si="214"/>
        <v>-101.02016449453366</v>
      </c>
    </row>
    <row r="334" spans="14:50" x14ac:dyDescent="0.4">
      <c r="N334" s="10">
        <v>16</v>
      </c>
      <c r="O334" s="50">
        <f t="shared" si="216"/>
        <v>14454.397707459291</v>
      </c>
      <c r="P334" s="48" t="str">
        <f t="shared" si="180"/>
        <v>5120.19230769231</v>
      </c>
      <c r="Q334" s="17" t="str">
        <f t="shared" si="181"/>
        <v>1+424.407254034849i</v>
      </c>
      <c r="R334" s="17">
        <f t="shared" si="190"/>
        <v>424.40843214691301</v>
      </c>
      <c r="S334" s="17">
        <f t="shared" si="191"/>
        <v>1.5684401037570088</v>
      </c>
      <c r="T334" s="17" t="str">
        <f t="shared" si="182"/>
        <v>1+0.00090728839640339i</v>
      </c>
      <c r="U334" s="17">
        <f t="shared" si="192"/>
        <v>1.0000004115860324</v>
      </c>
      <c r="V334" s="17">
        <f t="shared" si="193"/>
        <v>9.0728814745197415E-4</v>
      </c>
      <c r="W334" s="31" t="str">
        <f t="shared" si="183"/>
        <v>1-1.47127848065414i</v>
      </c>
      <c r="X334" s="17">
        <f t="shared" si="194"/>
        <v>1.7789492313261654</v>
      </c>
      <c r="Y334" s="17">
        <f t="shared" si="195"/>
        <v>-0.97383784911985827</v>
      </c>
      <c r="Z334" s="31" t="str">
        <f t="shared" si="184"/>
        <v>0.916428154765838+8.9578373196933i</v>
      </c>
      <c r="AA334" s="17">
        <f t="shared" si="196"/>
        <v>9.0045927175490608</v>
      </c>
      <c r="AB334" s="17">
        <f t="shared" si="197"/>
        <v>1.4688463955258002</v>
      </c>
      <c r="AC334" s="66" t="str">
        <f t="shared" si="198"/>
        <v>-1.53940175491478+1.81960666197988i</v>
      </c>
      <c r="AD334" s="64">
        <f t="shared" si="199"/>
        <v>7.5440385513320161</v>
      </c>
      <c r="AE334" s="61">
        <f t="shared" si="200"/>
        <v>130.23148751601607</v>
      </c>
      <c r="AF334" s="31" t="str">
        <f t="shared" si="185"/>
        <v>-10.0808080808081</v>
      </c>
      <c r="AG334" s="31" t="str">
        <f t="shared" si="201"/>
        <v>90819.6592996385i</v>
      </c>
      <c r="AH334" s="31">
        <f t="shared" si="202"/>
        <v>90819.659299638501</v>
      </c>
      <c r="AI334" s="31">
        <f t="shared" si="203"/>
        <v>1.5707963267948966</v>
      </c>
      <c r="AJ334" s="31" t="str">
        <f t="shared" si="186"/>
        <v>-156.772325016451+121.946916869019i</v>
      </c>
      <c r="AK334" s="31">
        <f t="shared" si="204"/>
        <v>198.61674759426299</v>
      </c>
      <c r="AL334" s="31">
        <f t="shared" si="205"/>
        <v>2.4804982713840698</v>
      </c>
      <c r="AM334" s="31" t="str">
        <f t="shared" si="187"/>
        <v>1+90016.9588228849i</v>
      </c>
      <c r="AN334" s="31">
        <f t="shared" si="206"/>
        <v>90016.958828439412</v>
      </c>
      <c r="AO334" s="31">
        <f t="shared" si="207"/>
        <v>1.5707852177770734</v>
      </c>
      <c r="AP334" s="31" t="str">
        <f t="shared" si="188"/>
        <v>1+105.49611624246i</v>
      </c>
      <c r="AQ334" s="31">
        <f t="shared" si="208"/>
        <v>105.5008556469692</v>
      </c>
      <c r="AR334" s="31">
        <f t="shared" si="209"/>
        <v>1.5613175887464039</v>
      </c>
      <c r="AS334" s="58" t="str">
        <f t="shared" si="210"/>
        <v>-3.21872756760374+4.21995764479929i</v>
      </c>
      <c r="AT334" s="49">
        <f t="shared" si="211"/>
        <v>14.497598615881881</v>
      </c>
      <c r="AU334" s="61">
        <f t="shared" si="212"/>
        <v>127.33418977507183</v>
      </c>
      <c r="AV334" s="58" t="str">
        <f t="shared" si="189"/>
        <v>-2.72374817758794-12.3530283291801i</v>
      </c>
      <c r="AW334" s="64">
        <f t="shared" si="213"/>
        <v>22.041637167213878</v>
      </c>
      <c r="AX334" s="61">
        <f t="shared" si="214"/>
        <v>-102.43432270891212</v>
      </c>
    </row>
    <row r="335" spans="14:50" x14ac:dyDescent="0.4">
      <c r="N335" s="10">
        <v>17</v>
      </c>
      <c r="O335" s="50">
        <f t="shared" si="216"/>
        <v>14791.083881682089</v>
      </c>
      <c r="P335" s="48" t="str">
        <f t="shared" si="180"/>
        <v>5120.19230769231</v>
      </c>
      <c r="Q335" s="17" t="str">
        <f t="shared" si="181"/>
        <v>1+434.292968926979i</v>
      </c>
      <c r="R335" s="17">
        <f t="shared" si="190"/>
        <v>434.29412022201029</v>
      </c>
      <c r="S335" s="17">
        <f t="shared" si="191"/>
        <v>1.5684937377496153</v>
      </c>
      <c r="T335" s="17" t="str">
        <f t="shared" si="182"/>
        <v>1+0.000928421858017232i</v>
      </c>
      <c r="U335" s="17">
        <f t="shared" si="192"/>
        <v>1.0000004309834805</v>
      </c>
      <c r="V335" s="17">
        <f t="shared" si="193"/>
        <v>9.2842159126099017E-4</v>
      </c>
      <c r="W335" s="31" t="str">
        <f t="shared" si="183"/>
        <v>1-1.50554895894686i</v>
      </c>
      <c r="X335" s="17">
        <f t="shared" si="194"/>
        <v>1.8073952715955564</v>
      </c>
      <c r="Y335" s="17">
        <f t="shared" si="195"/>
        <v>-0.98449673207603927</v>
      </c>
      <c r="Z335" s="31" t="str">
        <f t="shared" si="184"/>
        <v>0.912489535042018+9.16649215523316i</v>
      </c>
      <c r="AA335" s="17">
        <f t="shared" si="196"/>
        <v>9.2117976304037565</v>
      </c>
      <c r="AB335" s="17">
        <f t="shared" si="197"/>
        <v>1.4715769934359626</v>
      </c>
      <c r="AC335" s="66" t="str">
        <f t="shared" si="198"/>
        <v>-1.47019999285544+1.78587762933015i</v>
      </c>
      <c r="AD335" s="64">
        <f t="shared" si="199"/>
        <v>7.2842252709590074</v>
      </c>
      <c r="AE335" s="61">
        <f t="shared" si="200"/>
        <v>129.46246462822546</v>
      </c>
      <c r="AF335" s="31" t="str">
        <f t="shared" si="185"/>
        <v>-10.0808080808081</v>
      </c>
      <c r="AG335" s="31" t="str">
        <f t="shared" si="201"/>
        <v>92935.1209226457i</v>
      </c>
      <c r="AH335" s="31">
        <f t="shared" si="202"/>
        <v>92935.120922645699</v>
      </c>
      <c r="AI335" s="31">
        <f t="shared" si="203"/>
        <v>1.5707963267948966</v>
      </c>
      <c r="AJ335" s="31" t="str">
        <f t="shared" si="186"/>
        <v>-164.207905617091+124.787425462311i</v>
      </c>
      <c r="AK335" s="31">
        <f t="shared" si="204"/>
        <v>206.24290974640385</v>
      </c>
      <c r="AL335" s="31">
        <f t="shared" si="205"/>
        <v>2.491763057124488</v>
      </c>
      <c r="AM335" s="31" t="str">
        <f t="shared" si="187"/>
        <v>1+92113.7231498833i</v>
      </c>
      <c r="AN335" s="31">
        <f t="shared" si="206"/>
        <v>92113.723155311367</v>
      </c>
      <c r="AO335" s="31">
        <f t="shared" si="207"/>
        <v>1.5707854706491915</v>
      </c>
      <c r="AP335" s="31" t="str">
        <f t="shared" si="188"/>
        <v>1+107.953436463745i</v>
      </c>
      <c r="AQ335" s="31">
        <f t="shared" si="208"/>
        <v>107.95806799091872</v>
      </c>
      <c r="AR335" s="31">
        <f t="shared" si="209"/>
        <v>1.5615333386806711</v>
      </c>
      <c r="AS335" s="58" t="str">
        <f t="shared" si="210"/>
        <v>-3.12576525348754+4.19336149872922i</v>
      </c>
      <c r="AT335" s="49">
        <f t="shared" si="211"/>
        <v>14.370317828286987</v>
      </c>
      <c r="AU335" s="61">
        <f t="shared" si="212"/>
        <v>126.70114114419577</v>
      </c>
      <c r="AV335" s="58" t="str">
        <f t="shared" si="189"/>
        <v>-2.8933304389297-11.7473142862129i</v>
      </c>
      <c r="AW335" s="64">
        <f t="shared" si="213"/>
        <v>21.654543099246023</v>
      </c>
      <c r="AX335" s="61">
        <f t="shared" si="214"/>
        <v>-103.83639422757871</v>
      </c>
    </row>
    <row r="336" spans="14:50" x14ac:dyDescent="0.4">
      <c r="N336" s="10">
        <v>18</v>
      </c>
      <c r="O336" s="50">
        <f t="shared" si="216"/>
        <v>15135.612484362096</v>
      </c>
      <c r="P336" s="48" t="str">
        <f t="shared" si="180"/>
        <v>5120.19230769231</v>
      </c>
      <c r="Q336" s="17" t="str">
        <f t="shared" si="181"/>
        <v>1+444.408951699781i</v>
      </c>
      <c r="R336" s="17">
        <f t="shared" si="190"/>
        <v>444.410076788205</v>
      </c>
      <c r="S336" s="17">
        <f t="shared" si="191"/>
        <v>1.5685461508962997</v>
      </c>
      <c r="T336" s="17" t="str">
        <f t="shared" si="182"/>
        <v>1+0.00095004758118931i</v>
      </c>
      <c r="U336" s="17">
        <f t="shared" si="192"/>
        <v>1.0000004512951013</v>
      </c>
      <c r="V336" s="17">
        <f t="shared" si="193"/>
        <v>9.5004729535485394E-4</v>
      </c>
      <c r="W336" s="31" t="str">
        <f t="shared" si="183"/>
        <v>1-1.54061769922591i</v>
      </c>
      <c r="X336" s="17">
        <f t="shared" si="194"/>
        <v>1.8367098015658696</v>
      </c>
      <c r="Y336" s="17">
        <f t="shared" si="195"/>
        <v>-0.99506088205603016</v>
      </c>
      <c r="Z336" s="31" t="str">
        <f t="shared" si="184"/>
        <v>0.908365293889289+9.3800071862466i</v>
      </c>
      <c r="AA336" s="17">
        <f t="shared" si="196"/>
        <v>9.4238878559318824</v>
      </c>
      <c r="AB336" s="17">
        <f t="shared" si="197"/>
        <v>1.4742567860177074</v>
      </c>
      <c r="AC336" s="66" t="str">
        <f t="shared" si="198"/>
        <v>-1.40403966879461+1.75241022612002i</v>
      </c>
      <c r="AD336" s="64">
        <f t="shared" si="199"/>
        <v>7.0262601045866537</v>
      </c>
      <c r="AE336" s="61">
        <f t="shared" si="200"/>
        <v>128.70187862480199</v>
      </c>
      <c r="AF336" s="31" t="str">
        <f t="shared" si="185"/>
        <v>-10.0808080808081</v>
      </c>
      <c r="AG336" s="31" t="str">
        <f t="shared" si="201"/>
        <v>95099.8579769078i</v>
      </c>
      <c r="AH336" s="31">
        <f t="shared" si="202"/>
        <v>95099.857976907806</v>
      </c>
      <c r="AI336" s="31">
        <f t="shared" si="203"/>
        <v>1.5707963267948966</v>
      </c>
      <c r="AJ336" s="31" t="str">
        <f t="shared" si="186"/>
        <v>-171.993914335354+127.694098000339i</v>
      </c>
      <c r="AK336" s="31">
        <f t="shared" si="204"/>
        <v>214.21412005868629</v>
      </c>
      <c r="AL336" s="31">
        <f t="shared" si="205"/>
        <v>2.5029515152732187</v>
      </c>
      <c r="AM336" s="31" t="str">
        <f t="shared" si="187"/>
        <v>1+94259.327392165i</v>
      </c>
      <c r="AN336" s="31">
        <f t="shared" si="206"/>
        <v>94259.327397469518</v>
      </c>
      <c r="AO336" s="31">
        <f t="shared" si="207"/>
        <v>1.5707857177652373</v>
      </c>
      <c r="AP336" s="31" t="str">
        <f t="shared" si="188"/>
        <v>1+110.467995025976i</v>
      </c>
      <c r="AQ336" s="31">
        <f t="shared" si="208"/>
        <v>110.47252113108966</v>
      </c>
      <c r="AR336" s="31">
        <f t="shared" si="209"/>
        <v>1.5617441783801573</v>
      </c>
      <c r="AS336" s="58" t="str">
        <f t="shared" si="210"/>
        <v>-3.03400824409809+4.16490959323809i</v>
      </c>
      <c r="AT336" s="49">
        <f t="shared" si="211"/>
        <v>14.240919717177597</v>
      </c>
      <c r="AU336" s="61">
        <f t="shared" si="212"/>
        <v>126.0721840966556</v>
      </c>
      <c r="AV336" s="58" t="str">
        <f t="shared" si="189"/>
        <v>-3.0387622318922-11.1645253589394i</v>
      </c>
      <c r="AW336" s="64">
        <f t="shared" si="213"/>
        <v>21.267179821764216</v>
      </c>
      <c r="AX336" s="61">
        <f t="shared" si="214"/>
        <v>-105.22593727854245</v>
      </c>
    </row>
    <row r="337" spans="14:50" x14ac:dyDescent="0.4">
      <c r="N337" s="10">
        <v>19</v>
      </c>
      <c r="O337" s="50">
        <f t="shared" si="216"/>
        <v>15488.166189124853</v>
      </c>
      <c r="P337" s="48" t="str">
        <f t="shared" si="180"/>
        <v>5120.19230769231</v>
      </c>
      <c r="Q337" s="17" t="str">
        <f t="shared" si="181"/>
        <v>1+454.760565981223i</v>
      </c>
      <c r="R337" s="17">
        <f t="shared" si="190"/>
        <v>454.76166545957057</v>
      </c>
      <c r="S337" s="17">
        <f t="shared" si="191"/>
        <v>1.5685973709860535</v>
      </c>
      <c r="T337" s="17" t="str">
        <f t="shared" si="182"/>
        <v>1+0.000972177032164303i</v>
      </c>
      <c r="U337" s="17">
        <f t="shared" si="192"/>
        <v>1.0000004725639793</v>
      </c>
      <c r="V337" s="17">
        <f t="shared" si="193"/>
        <v>9.7217672588717301E-4</v>
      </c>
      <c r="W337" s="31" t="str">
        <f t="shared" si="183"/>
        <v>1-1.57650329540157i</v>
      </c>
      <c r="X337" s="17">
        <f t="shared" si="194"/>
        <v>1.8669125958148147</v>
      </c>
      <c r="Y337" s="17">
        <f t="shared" si="195"/>
        <v>-1.0055264683779326</v>
      </c>
      <c r="Z337" s="31" t="str">
        <f t="shared" si="184"/>
        <v>0.90404668323922+9.59849562122928i</v>
      </c>
      <c r="AA337" s="17">
        <f t="shared" si="196"/>
        <v>9.6409760188599947</v>
      </c>
      <c r="AB337" s="17">
        <f t="shared" si="197"/>
        <v>1.4768870752891761</v>
      </c>
      <c r="AC337" s="66" t="str">
        <f t="shared" si="198"/>
        <v>-1.34079022676116+1.71923142621919i</v>
      </c>
      <c r="AD337" s="64">
        <f t="shared" si="199"/>
        <v>6.7701122595556837</v>
      </c>
      <c r="AE337" s="61">
        <f t="shared" si="200"/>
        <v>127.94987345227665</v>
      </c>
      <c r="AF337" s="31" t="str">
        <f t="shared" si="185"/>
        <v>-10.0808080808081</v>
      </c>
      <c r="AG337" s="31" t="str">
        <f t="shared" si="201"/>
        <v>97315.0182346649i</v>
      </c>
      <c r="AH337" s="31">
        <f t="shared" si="202"/>
        <v>97315.018234664894</v>
      </c>
      <c r="AI337" s="31">
        <f t="shared" si="203"/>
        <v>1.5707963267948966</v>
      </c>
      <c r="AJ337" s="31" t="str">
        <f t="shared" si="186"/>
        <v>-180.146866339622+130.668475639359i</v>
      </c>
      <c r="AK337" s="31">
        <f t="shared" si="204"/>
        <v>222.54694780629859</v>
      </c>
      <c r="AL337" s="31">
        <f t="shared" si="205"/>
        <v>2.5140589185271911</v>
      </c>
      <c r="AM337" s="31" t="str">
        <f t="shared" si="187"/>
        <v>1+96454.9091775i</v>
      </c>
      <c r="AN337" s="31">
        <f t="shared" si="206"/>
        <v>96454.909182683754</v>
      </c>
      <c r="AO337" s="31">
        <f t="shared" si="207"/>
        <v>1.5707859592562354</v>
      </c>
      <c r="AP337" s="31" t="str">
        <f t="shared" si="188"/>
        <v>1+113.041125181387i</v>
      </c>
      <c r="AQ337" s="31">
        <f t="shared" si="208"/>
        <v>113.04554826384808</v>
      </c>
      <c r="AR337" s="31">
        <f t="shared" si="209"/>
        <v>1.5619502195598385</v>
      </c>
      <c r="AS337" s="58" t="str">
        <f t="shared" si="210"/>
        <v>-2.94352858516835+4.13466880736899i</v>
      </c>
      <c r="AT337" s="49">
        <f t="shared" si="211"/>
        <v>14.10943273790571</v>
      </c>
      <c r="AU337" s="61">
        <f t="shared" si="212"/>
        <v>125.44759589526967</v>
      </c>
      <c r="AV337" s="58" t="str">
        <f t="shared" si="189"/>
        <v>-3.16179819145116-10.6043303754105i</v>
      </c>
      <c r="AW337" s="64">
        <f t="shared" si="213"/>
        <v>20.879544997461394</v>
      </c>
      <c r="AX337" s="61">
        <f t="shared" si="214"/>
        <v>-106.60253065245368</v>
      </c>
    </row>
    <row r="338" spans="14:50" x14ac:dyDescent="0.4">
      <c r="N338" s="10">
        <v>20</v>
      </c>
      <c r="O338" s="50">
        <f t="shared" si="216"/>
        <v>15848.931924611146</v>
      </c>
      <c r="P338" s="48" t="str">
        <f t="shared" si="180"/>
        <v>5120.19230769231</v>
      </c>
      <c r="Q338" s="17" t="str">
        <f t="shared" si="181"/>
        <v>1+465.353300334214i</v>
      </c>
      <c r="R338" s="17">
        <f t="shared" si="190"/>
        <v>465.35437478543724</v>
      </c>
      <c r="S338" s="17">
        <f t="shared" si="191"/>
        <v>1.5686474251753701</v>
      </c>
      <c r="T338" s="17" t="str">
        <f t="shared" si="182"/>
        <v>1+0.000994821944270031i</v>
      </c>
      <c r="U338" s="17">
        <f t="shared" si="192"/>
        <v>1.0000004948352279</v>
      </c>
      <c r="V338" s="17">
        <f t="shared" si="193"/>
        <v>9.9482161608818232E-4</v>
      </c>
      <c r="W338" s="31" t="str">
        <f t="shared" si="183"/>
        <v>1-1.61322477449194i</v>
      </c>
      <c r="X338" s="17">
        <f t="shared" si="194"/>
        <v>1.8980237546022891</v>
      </c>
      <c r="Y338" s="17">
        <f t="shared" si="195"/>
        <v>-1.0158898695498313</v>
      </c>
      <c r="Z338" s="31" t="str">
        <f t="shared" si="184"/>
        <v>0.899524542739617+9.8220733056414i</v>
      </c>
      <c r="AA338" s="17">
        <f t="shared" si="196"/>
        <v>9.8631774000260339</v>
      </c>
      <c r="AB338" s="17">
        <f t="shared" si="197"/>
        <v>1.4794691447685273</v>
      </c>
      <c r="AC338" s="66" t="str">
        <f t="shared" si="198"/>
        <v>-1.28032644325877+1.68636548075643i</v>
      </c>
      <c r="AD338" s="64">
        <f t="shared" si="199"/>
        <v>6.5157497142588952</v>
      </c>
      <c r="AE338" s="61">
        <f t="shared" si="200"/>
        <v>127.20658218299079</v>
      </c>
      <c r="AF338" s="31" t="str">
        <f t="shared" si="185"/>
        <v>-10.0808080808081</v>
      </c>
      <c r="AG338" s="31" t="str">
        <f t="shared" si="201"/>
        <v>99581.7762032062i</v>
      </c>
      <c r="AH338" s="31">
        <f t="shared" si="202"/>
        <v>99581.776203206202</v>
      </c>
      <c r="AI338" s="31">
        <f t="shared" si="203"/>
        <v>1.5707963267948966</v>
      </c>
      <c r="AJ338" s="31" t="str">
        <f t="shared" si="186"/>
        <v>-188.684055134178+133.712135433765i</v>
      </c>
      <c r="AK338" s="31">
        <f t="shared" si="204"/>
        <v>231.25874648137102</v>
      </c>
      <c r="AL338" s="31">
        <f t="shared" si="205"/>
        <v>2.5250807183215835</v>
      </c>
      <c r="AM338" s="31" t="str">
        <f t="shared" si="187"/>
        <v>1+98701.6326324121i</v>
      </c>
      <c r="AN338" s="31">
        <f t="shared" si="206"/>
        <v>98701.632637477873</v>
      </c>
      <c r="AO338" s="31">
        <f t="shared" si="207"/>
        <v>1.5707861952502271</v>
      </c>
      <c r="AP338" s="31" t="str">
        <f t="shared" si="188"/>
        <v>1+115.674191237644i</v>
      </c>
      <c r="AQ338" s="31">
        <f t="shared" si="208"/>
        <v>115.67851364226219</v>
      </c>
      <c r="AR338" s="31">
        <f t="shared" si="209"/>
        <v>1.5621515713954586</v>
      </c>
      <c r="AS338" s="58" t="str">
        <f t="shared" si="210"/>
        <v>-2.85439366294102+4.10270907144465i</v>
      </c>
      <c r="AT338" s="49">
        <f t="shared" si="211"/>
        <v>13.975886944988179</v>
      </c>
      <c r="AU338" s="61">
        <f t="shared" si="212"/>
        <v>124.82764341625088</v>
      </c>
      <c r="AV338" s="58" t="str">
        <f t="shared" si="189"/>
        <v>-3.26411126953687-10.0663578548419i</v>
      </c>
      <c r="AW338" s="64">
        <f t="shared" si="213"/>
        <v>20.491636659247106</v>
      </c>
      <c r="AX338" s="61">
        <f t="shared" si="214"/>
        <v>-107.96577440075822</v>
      </c>
    </row>
    <row r="339" spans="14:50" x14ac:dyDescent="0.4">
      <c r="N339" s="10">
        <v>21</v>
      </c>
      <c r="O339" s="50">
        <f t="shared" si="216"/>
        <v>16218.100973589309</v>
      </c>
      <c r="P339" s="48" t="str">
        <f t="shared" ref="P339:P402" si="217">COMPLEX(Adc,0)</f>
        <v>5120.19230769231</v>
      </c>
      <c r="Q339" s="17" t="str">
        <f t="shared" ref="Q339:Q402" si="218">IMSUM(COMPLEX(1,0),IMDIV(COMPLEX(0,2*PI()*O339),COMPLEX(wp_lf,0)))</f>
        <v>1+476.192771166721i</v>
      </c>
      <c r="R339" s="17">
        <f t="shared" si="190"/>
        <v>476.19382116050292</v>
      </c>
      <c r="S339" s="17">
        <f t="shared" si="191"/>
        <v>1.5686963400026404</v>
      </c>
      <c r="T339" s="17" t="str">
        <f t="shared" ref="T339:T402" si="219">IMSUM(COMPLEX(1,0),IMDIV(COMPLEX(0,2*PI()*O339),COMPLEX(wz_esr,0)))</f>
        <v>1+0.00101799432413863i</v>
      </c>
      <c r="U339" s="17">
        <f t="shared" si="192"/>
        <v>1.0000005181560878</v>
      </c>
      <c r="V339" s="17">
        <f t="shared" si="193"/>
        <v>1.0179939724854533E-3</v>
      </c>
      <c r="W339" s="31" t="str">
        <f t="shared" ref="W339:W402" si="220">IMSUB(COMPLEX(1,0),IMDIV(COMPLEX(0,2*PI()*O339),COMPLEX(wz_rhp,0)))</f>
        <v>1-1.6508016067113i</v>
      </c>
      <c r="X339" s="17">
        <f t="shared" si="194"/>
        <v>1.930063715197146</v>
      </c>
      <c r="Y339" s="17">
        <f t="shared" si="195"/>
        <v>-1.0261476758105497</v>
      </c>
      <c r="Z339" s="31" t="str">
        <f t="shared" ref="Z339:Z402" si="221">IMSUM(COMPLEX(1,0),IMDIV(COMPLEX(0,2*PI()*O339),COMPLEX(Q*(wsl/2),0)),IMDIV(IMPOWER(COMPLEX(0,2*PI()*O339),2),IMPOWER(COMPLEX(wsl/2,0),2)))</f>
        <v>0.894789280324185+10.0508587833307i</v>
      </c>
      <c r="AA339" s="17">
        <f t="shared" si="196"/>
        <v>10.090609998341971</v>
      </c>
      <c r="AB339" s="17">
        <f t="shared" si="197"/>
        <v>1.4820042596549772</v>
      </c>
      <c r="AC339" s="66" t="str">
        <f t="shared" si="198"/>
        <v>-1.22252823337585+1.65383411134405i</v>
      </c>
      <c r="AD339" s="64">
        <f t="shared" si="199"/>
        <v>6.2631393407849618</v>
      </c>
      <c r="AE339" s="61">
        <f t="shared" si="200"/>
        <v>126.47212685867916</v>
      </c>
      <c r="AF339" s="31" t="str">
        <f t="shared" ref="AF339:AF402" si="222">COMPLEX(Adc_ea_iso,0)</f>
        <v>-10.0808080808081</v>
      </c>
      <c r="AG339" s="31" t="str">
        <f t="shared" si="201"/>
        <v>101901.333747611i</v>
      </c>
      <c r="AH339" s="31">
        <f t="shared" si="202"/>
        <v>101901.333747611</v>
      </c>
      <c r="AI339" s="31">
        <f t="shared" si="203"/>
        <v>1.5707963267948966</v>
      </c>
      <c r="AJ339" s="31" t="str">
        <f t="shared" ref="AJ339:AJ402" si="223">IMSUM(IMPRODUCT(COMPLEX(wpA_ea_iso,0),IMPOWER(COMPLEX(0,2*PI()*O339),2)),COMPLEX(0,wpB_ea_iso*2*PI()*O339),COMPLEX(1,0))</f>
        <v>-197.623589241058+136.826691172266i</v>
      </c>
      <c r="AK339" s="31">
        <f t="shared" si="204"/>
        <v>240.36769009513128</v>
      </c>
      <c r="AL339" s="31">
        <f t="shared" si="205"/>
        <v>2.536012552434884</v>
      </c>
      <c r="AM339" s="31" t="str">
        <f t="shared" ref="AM339:AM402" si="224">IMSUM(COMPLEX(1,0),IMDIV(COMPLEX(0,2*PI()*O339),COMPLEX(wz1_ea_iso,0)))</f>
        <v>1+101000.688999416i</v>
      </c>
      <c r="AN339" s="31">
        <f t="shared" si="206"/>
        <v>101000.68900436646</v>
      </c>
      <c r="AO339" s="31">
        <f t="shared" si="207"/>
        <v>1.5707864258723399</v>
      </c>
      <c r="AP339" s="31" t="str">
        <f t="shared" ref="AP339:AP402" si="225">IMSUM(COMPLEX(1,0),IMDIV(COMPLEX(0,2*PI()*O339),COMPLEX(wz2_ea_iso,0)))</f>
        <v>1+118.368589281225i</v>
      </c>
      <c r="AQ339" s="31">
        <f t="shared" si="208"/>
        <v>118.37281329945375</v>
      </c>
      <c r="AR339" s="31">
        <f t="shared" si="209"/>
        <v>1.5623483405810821</v>
      </c>
      <c r="AS339" s="58" t="str">
        <f t="shared" si="210"/>
        <v>-2.7666660697171+4.0691029936645i</v>
      </c>
      <c r="AT339" s="49">
        <f t="shared" si="211"/>
        <v>13.840313883652158</v>
      </c>
      <c r="AU339" s="61">
        <f t="shared" si="212"/>
        <v>124.21258271676979</v>
      </c>
      <c r="AV339" s="58" t="str">
        <f t="shared" ref="AV339:AV402" si="226">IMPRODUCT(AC339,AS339)</f>
        <v>-3.34729395094239-9.55020001506536i</v>
      </c>
      <c r="AW339" s="64">
        <f t="shared" si="213"/>
        <v>20.103453224437121</v>
      </c>
      <c r="AX339" s="61">
        <f t="shared" si="214"/>
        <v>-109.31529042455104</v>
      </c>
    </row>
    <row r="340" spans="14:50" x14ac:dyDescent="0.4">
      <c r="N340" s="10">
        <v>22</v>
      </c>
      <c r="O340" s="50">
        <f t="shared" si="216"/>
        <v>16595.869074375616</v>
      </c>
      <c r="P340" s="48" t="str">
        <f t="shared" si="217"/>
        <v>5120.19230769231</v>
      </c>
      <c r="Q340" s="17" t="str">
        <f t="shared" si="218"/>
        <v>1+487.28472570966i</v>
      </c>
      <c r="R340" s="17">
        <f t="shared" ref="R340:R403" si="227">IMABS(Q340)</f>
        <v>487.2857518027165</v>
      </c>
      <c r="S340" s="17">
        <f t="shared" ref="S340:S403" si="228">IMARGUMENT(Q340)</f>
        <v>1.5687441414022156</v>
      </c>
      <c r="T340" s="17" t="str">
        <f t="shared" si="219"/>
        <v>1+0.00104170645807265i</v>
      </c>
      <c r="U340" s="17">
        <f t="shared" ref="U340:U403" si="229">IMABS(T340)</f>
        <v>1.0000005425760252</v>
      </c>
      <c r="V340" s="17">
        <f t="shared" ref="V340:V403" si="230">IMARGUMENT(T340)</f>
        <v>1.0417060812694934E-3</v>
      </c>
      <c r="W340" s="31" t="str">
        <f t="shared" si="220"/>
        <v>1-1.68925371579349i</v>
      </c>
      <c r="X340" s="17">
        <f t="shared" ref="X340:X403" si="231">IMABS(W340)</f>
        <v>1.9630532637506584</v>
      </c>
      <c r="Y340" s="17">
        <f t="shared" ref="Y340:Y403" si="232">IMARGUMENT(W340)</f>
        <v>-1.0362966907449269</v>
      </c>
      <c r="Z340" s="31" t="str">
        <f t="shared" si="221"/>
        <v>0.889830851866473+10.2849733593858i</v>
      </c>
      <c r="AA340" s="17">
        <f t="shared" ref="AA340:AA403" si="233">IMABS(Z340)</f>
        <v>10.323394594231543</v>
      </c>
      <c r="AB340" s="17">
        <f t="shared" ref="AB340:AB403" si="234">IMARGUMENT(Z340)</f>
        <v>1.4844936670314364</v>
      </c>
      <c r="AC340" s="66" t="str">
        <f t="shared" ref="AC340:AC403" si="235">(IMDIV(IMPRODUCT(P340,T340,W340),IMPRODUCT(Q340,Z340)))</f>
        <v>-1.16728046178078+1.62165669114119i</v>
      </c>
      <c r="AD340" s="64">
        <f t="shared" ref="AD340:AD403" si="236">20*LOG(IMABS(AC340))</f>
        <v>6.012247026290245</v>
      </c>
      <c r="AE340" s="61">
        <f t="shared" ref="AE340:AE403" si="237">(180/PI())*IMARGUMENT(AC340)</f>
        <v>125.74661838587042</v>
      </c>
      <c r="AF340" s="31" t="str">
        <f t="shared" si="222"/>
        <v>-10.0808080808081</v>
      </c>
      <c r="AG340" s="31" t="str">
        <f t="shared" ref="AG340:AG403" si="238">COMPLEX(0,1*2*PI()*O340)</f>
        <v>104274.920727993i</v>
      </c>
      <c r="AH340" s="31">
        <f t="shared" ref="AH340:AH403" si="239">IMABS(AG340)</f>
        <v>104274.920727993</v>
      </c>
      <c r="AI340" s="31">
        <f t="shared" ref="AI340:AI403" si="240">IMARGUMENT(AG340)</f>
        <v>1.5707963267948966</v>
      </c>
      <c r="AJ340" s="31" t="str">
        <f t="shared" si="223"/>
        <v>-206.984430610648+140.013794233543i</v>
      </c>
      <c r="AK340" s="31">
        <f t="shared" ref="AK340:AK403" si="241">IMABS(AJ340)</f>
        <v>249.89281120289772</v>
      </c>
      <c r="AL340" s="31">
        <f t="shared" ref="AL340:AL403" si="242">IMARGUMENT(AJ340)</f>
        <v>2.5468502516025739</v>
      </c>
      <c r="AM340" s="31" t="str">
        <f t="shared" si="224"/>
        <v>1+103353.297268631i</v>
      </c>
      <c r="AN340" s="31">
        <f t="shared" ref="AN340:AN403" si="243">IMABS(AM340)</f>
        <v>103353.29727346876</v>
      </c>
      <c r="AO340" s="31">
        <f t="shared" ref="AO340:AO403" si="244">IMARGUMENT(AM340)</f>
        <v>1.5707866512448523</v>
      </c>
      <c r="AP340" s="31" t="str">
        <f t="shared" si="225"/>
        <v>1+121.125747917637i</v>
      </c>
      <c r="AQ340" s="31">
        <f t="shared" ref="AQ340:AQ403" si="245">IMABS(AP340)</f>
        <v>121.12987578878692</v>
      </c>
      <c r="AR340" s="31">
        <f t="shared" ref="AR340:AR403" si="246">IMARGUMENT(AP340)</f>
        <v>1.5625406313853527</v>
      </c>
      <c r="AS340" s="58" t="str">
        <f t="shared" ref="AS340:AS403" si="247">IMDIV(IMPRODUCT(AF340,AM340,AP340),IMPRODUCT(AG340,AJ340))</f>
        <v>-2.68040350306379+4.03392548365402i</v>
      </c>
      <c r="AT340" s="49">
        <f t="shared" ref="AT340:AT403" si="248">20*LOG(IMABS(AS340))</f>
        <v>13.702746478684952</v>
      </c>
      <c r="AU340" s="61">
        <f t="shared" ref="AU340:AU403" si="249">(180/PI())*IMARGUMENT(AS340)</f>
        <v>123.60265865924622</v>
      </c>
      <c r="AV340" s="58" t="str">
        <f t="shared" si="226"/>
        <v>-3.41285961331738-9.0554166770506i</v>
      </c>
      <c r="AW340" s="64">
        <f t="shared" ref="AW340:AW403" si="250">20*LOG(IMABS(AV340))</f>
        <v>19.714993504975197</v>
      </c>
      <c r="AX340" s="61">
        <f t="shared" ref="AX340:AX403" si="251">(180/PI())*IMARGUMENT(AV340)</f>
        <v>-110.65072295488336</v>
      </c>
    </row>
    <row r="341" spans="14:50" x14ac:dyDescent="0.4">
      <c r="N341" s="10">
        <v>23</v>
      </c>
      <c r="O341" s="50">
        <f t="shared" si="216"/>
        <v>16982.436524617482</v>
      </c>
      <c r="P341" s="48" t="str">
        <f t="shared" si="217"/>
        <v>5120.19230769231</v>
      </c>
      <c r="Q341" s="17" t="str">
        <f t="shared" si="218"/>
        <v>1+498.635045064147i</v>
      </c>
      <c r="R341" s="17">
        <f t="shared" si="227"/>
        <v>498.6360478005214</v>
      </c>
      <c r="S341" s="17">
        <f t="shared" si="228"/>
        <v>1.5687908547181564</v>
      </c>
      <c r="T341" s="17" t="str">
        <f t="shared" si="219"/>
        <v>1+0.00106597091855936i</v>
      </c>
      <c r="U341" s="17">
        <f t="shared" si="229"/>
        <v>1.0000005681468382</v>
      </c>
      <c r="V341" s="17">
        <f t="shared" si="230"/>
        <v>1.0659705148075159E-3</v>
      </c>
      <c r="W341" s="31" t="str">
        <f t="shared" si="220"/>
        <v>1-1.72860148955571i</v>
      </c>
      <c r="X341" s="17">
        <f t="shared" si="231"/>
        <v>1.9970135476992186</v>
      </c>
      <c r="Y341" s="17">
        <f t="shared" si="232"/>
        <v>-1.0463339320073555</v>
      </c>
      <c r="Z341" s="31" t="str">
        <f t="shared" si="221"/>
        <v>0.884638739874934+10.5245411644538i</v>
      </c>
      <c r="AA341" s="17">
        <f t="shared" si="233"/>
        <v>10.561654814581381</v>
      </c>
      <c r="AB341" s="17">
        <f t="shared" si="234"/>
        <v>1.4869385960869721</v>
      </c>
      <c r="AC341" s="66" t="str">
        <f t="shared" si="235"/>
        <v>-1.11447275869355+1.58985041444754i</v>
      </c>
      <c r="AD341" s="64">
        <f t="shared" si="236"/>
        <v>5.7630377924985581</v>
      </c>
      <c r="AE341" s="61">
        <f t="shared" si="237"/>
        <v>125.03015648127122</v>
      </c>
      <c r="AF341" s="31" t="str">
        <f t="shared" si="222"/>
        <v>-10.0808080808081</v>
      </c>
      <c r="AG341" s="31" t="str">
        <f t="shared" si="238"/>
        <v>106703.795651587i</v>
      </c>
      <c r="AH341" s="31">
        <f t="shared" si="239"/>
        <v>106703.795651587</v>
      </c>
      <c r="AI341" s="31">
        <f t="shared" si="240"/>
        <v>1.5707963267948966</v>
      </c>
      <c r="AJ341" s="31" t="str">
        <f t="shared" si="223"/>
        <v>-216.786434842523+143.275134461824i</v>
      </c>
      <c r="AK341" s="31">
        <f t="shared" si="241"/>
        <v>259.85404073592008</v>
      </c>
      <c r="AL341" s="31">
        <f t="shared" si="242"/>
        <v>2.5575898451359071</v>
      </c>
      <c r="AM341" s="31" t="str">
        <f t="shared" si="224"/>
        <v>1+105760.7048241i</v>
      </c>
      <c r="AN341" s="31">
        <f t="shared" si="243"/>
        <v>105760.70482882767</v>
      </c>
      <c r="AO341" s="31">
        <f t="shared" si="244"/>
        <v>1.5707868714872602</v>
      </c>
      <c r="AP341" s="31" t="str">
        <f t="shared" si="225"/>
        <v>1+123.947129028884i</v>
      </c>
      <c r="AQ341" s="31">
        <f t="shared" si="245"/>
        <v>123.95116294130854</v>
      </c>
      <c r="AR341" s="31">
        <f t="shared" si="246"/>
        <v>1.5627285457064866</v>
      </c>
      <c r="AS341" s="58" t="str">
        <f t="shared" si="247"/>
        <v>-2.59565869809597+3.99725337625939i</v>
      </c>
      <c r="AT341" s="49">
        <f t="shared" si="248"/>
        <v>13.563218921354645</v>
      </c>
      <c r="AU341" s="61">
        <f t="shared" si="249"/>
        <v>122.99810459257175</v>
      </c>
      <c r="AV341" s="58" t="str">
        <f t="shared" si="226"/>
        <v>-3.4622440270039-8.58153905436915i</v>
      </c>
      <c r="AW341" s="64">
        <f t="shared" si="250"/>
        <v>19.326256713853205</v>
      </c>
      <c r="AX341" s="61">
        <f t="shared" si="251"/>
        <v>-111.97173892615703</v>
      </c>
    </row>
    <row r="342" spans="14:50" x14ac:dyDescent="0.4">
      <c r="N342" s="10">
        <v>24</v>
      </c>
      <c r="O342" s="50">
        <f t="shared" si="216"/>
        <v>17378.008287493791</v>
      </c>
      <c r="P342" s="48" t="str">
        <f t="shared" si="217"/>
        <v>5120.19230769231</v>
      </c>
      <c r="Q342" s="17" t="str">
        <f t="shared" si="218"/>
        <v>1+510.249747319737i</v>
      </c>
      <c r="R342" s="17">
        <f t="shared" si="227"/>
        <v>510.25072723108929</v>
      </c>
      <c r="S342" s="17">
        <f t="shared" si="228"/>
        <v>1.5688365047176656</v>
      </c>
      <c r="T342" s="17" t="str">
        <f t="shared" si="219"/>
        <v>1+0.00109080057093686i</v>
      </c>
      <c r="U342" s="17">
        <f t="shared" si="229"/>
        <v>1.0000005949227659</v>
      </c>
      <c r="V342" s="17">
        <f t="shared" si="230"/>
        <v>1.0908001383089783E-3</v>
      </c>
      <c r="W342" s="31" t="str">
        <f t="shared" si="220"/>
        <v>1-1.76886579070842i</v>
      </c>
      <c r="X342" s="17">
        <f t="shared" si="231"/>
        <v>2.031966088678284</v>
      </c>
      <c r="Y342" s="17">
        <f t="shared" si="232"/>
        <v>-1.0562566311926342</v>
      </c>
      <c r="Z342" s="31" t="str">
        <f t="shared" si="221"/>
        <v>0.879201931183919+10.7696892205558i</v>
      </c>
      <c r="AA342" s="17">
        <f t="shared" si="233"/>
        <v>10.80551719924379</v>
      </c>
      <c r="AB342" s="17">
        <f t="shared" si="234"/>
        <v>1.4893402583574205</v>
      </c>
      <c r="AC342" s="66" t="str">
        <f t="shared" si="235"/>
        <v>-1.06399934089663+1.55843045548597i</v>
      </c>
      <c r="AD342" s="64">
        <f t="shared" si="236"/>
        <v>5.5154759127742015</v>
      </c>
      <c r="AE342" s="61">
        <f t="shared" si="237"/>
        <v>124.32282966499115</v>
      </c>
      <c r="AF342" s="31" t="str">
        <f t="shared" si="222"/>
        <v>-10.0808080808081</v>
      </c>
      <c r="AG342" s="31" t="str">
        <f t="shared" si="238"/>
        <v>109189.246340026i</v>
      </c>
      <c r="AH342" s="31">
        <f t="shared" si="239"/>
        <v>109189.246340026</v>
      </c>
      <c r="AI342" s="31">
        <f t="shared" si="240"/>
        <v>1.5707963267948966</v>
      </c>
      <c r="AJ342" s="31" t="str">
        <f t="shared" si="223"/>
        <v>-227.050393301832+146.612441062868i</v>
      </c>
      <c r="AK342" s="31">
        <f t="shared" si="241"/>
        <v>270.27224972780601</v>
      </c>
      <c r="AL342" s="31">
        <f t="shared" si="242"/>
        <v>2.5682275655505067</v>
      </c>
      <c r="AM342" s="31" t="str">
        <f t="shared" si="224"/>
        <v>1+108224.188105175i</v>
      </c>
      <c r="AN342" s="31">
        <f t="shared" si="243"/>
        <v>108224.18810979502</v>
      </c>
      <c r="AO342" s="31">
        <f t="shared" si="244"/>
        <v>1.5707870867163385</v>
      </c>
      <c r="AP342" s="31" t="str">
        <f t="shared" si="225"/>
        <v>1+126.834228548574i</v>
      </c>
      <c r="AQ342" s="31">
        <f t="shared" si="245"/>
        <v>126.83817064082839</v>
      </c>
      <c r="AR342" s="31">
        <f t="shared" si="246"/>
        <v>1.5629121831260286</v>
      </c>
      <c r="AS342" s="58" t="str">
        <f t="shared" si="247"/>
        <v>-2.51247939190826+3.95916505871386i</v>
      </c>
      <c r="AT342" s="49">
        <f t="shared" si="248"/>
        <v>13.421766555151102</v>
      </c>
      <c r="AU342" s="61">
        <f t="shared" si="249"/>
        <v>122.39914208999329</v>
      </c>
      <c r="AV342" s="58" t="str">
        <f t="shared" si="226"/>
        <v>-3.49680698878882-8.12807341610322i</v>
      </c>
      <c r="AW342" s="64">
        <f t="shared" si="250"/>
        <v>18.937242467925305</v>
      </c>
      <c r="AX342" s="61">
        <f t="shared" si="251"/>
        <v>-113.27802824501549</v>
      </c>
    </row>
    <row r="343" spans="14:50" x14ac:dyDescent="0.4">
      <c r="N343" s="10">
        <v>25</v>
      </c>
      <c r="O343" s="50">
        <f t="shared" si="216"/>
        <v>17782.794100389234</v>
      </c>
      <c r="P343" s="48" t="str">
        <f t="shared" si="217"/>
        <v>5120.19230769231</v>
      </c>
      <c r="Q343" s="17" t="str">
        <f t="shared" si="218"/>
        <v>1+522.13499074531i</v>
      </c>
      <c r="R343" s="17">
        <f t="shared" si="227"/>
        <v>522.13594835119807</v>
      </c>
      <c r="S343" s="17">
        <f t="shared" si="228"/>
        <v>1.5688811156042153</v>
      </c>
      <c r="T343" s="17" t="str">
        <f t="shared" si="219"/>
        <v>1+0.00111620858021553i</v>
      </c>
      <c r="U343" s="17">
        <f t="shared" si="229"/>
        <v>1.0000006229606033</v>
      </c>
      <c r="V343" s="17">
        <f t="shared" si="230"/>
        <v>1.1162081166464185E-3</v>
      </c>
      <c r="W343" s="31" t="str">
        <f t="shared" si="220"/>
        <v>1-1.81006796791707i</v>
      </c>
      <c r="X343" s="17">
        <f t="shared" si="231"/>
        <v>2.0679327959291696</v>
      </c>
      <c r="Y343" s="17">
        <f t="shared" si="232"/>
        <v>-1.0660622328977016</v>
      </c>
      <c r="Z343" s="31" t="str">
        <f t="shared" si="221"/>
        <v>0.873508893593265+11.0205475084363i</v>
      </c>
      <c r="AA343" s="17">
        <f t="shared" si="233"/>
        <v>11.055111269131944</v>
      </c>
      <c r="AB343" s="17">
        <f t="shared" si="234"/>
        <v>1.4916998479826071</v>
      </c>
      <c r="AC343" s="66" t="str">
        <f t="shared" si="235"/>
        <v>-1.01575883782307+1.52741011700067i</v>
      </c>
      <c r="AD343" s="64">
        <f t="shared" si="236"/>
        <v>5.2695250262643416</v>
      </c>
      <c r="AE343" s="61">
        <f t="shared" si="237"/>
        <v>123.62471529920373</v>
      </c>
      <c r="AF343" s="31" t="str">
        <f t="shared" si="222"/>
        <v>-10.0808080808081</v>
      </c>
      <c r="AG343" s="31" t="str">
        <f t="shared" si="238"/>
        <v>111732.590612165i</v>
      </c>
      <c r="AH343" s="31">
        <f t="shared" si="239"/>
        <v>111732.590612165</v>
      </c>
      <c r="AI343" s="31">
        <f t="shared" si="240"/>
        <v>1.5707963267948966</v>
      </c>
      <c r="AJ343" s="31" t="str">
        <f t="shared" si="223"/>
        <v>-237.798077220582+150.027483520807i</v>
      </c>
      <c r="AK343" s="31">
        <f t="shared" si="241"/>
        <v>281.16929302715812</v>
      </c>
      <c r="AL343" s="31">
        <f t="shared" si="242"/>
        <v>2.5787598522177282</v>
      </c>
      <c r="AM343" s="31" t="str">
        <f t="shared" si="224"/>
        <v>1+110745.053283299i</v>
      </c>
      <c r="AN343" s="31">
        <f t="shared" si="243"/>
        <v>110745.05328781389</v>
      </c>
      <c r="AO343" s="31">
        <f t="shared" si="244"/>
        <v>1.5707872970462051</v>
      </c>
      <c r="AP343" s="31" t="str">
        <f t="shared" si="225"/>
        <v>1+129.788577255091i</v>
      </c>
      <c r="AQ343" s="31">
        <f t="shared" si="245"/>
        <v>129.79242961706484</v>
      </c>
      <c r="AR343" s="31">
        <f t="shared" si="246"/>
        <v>1.5630916409613991</v>
      </c>
      <c r="AS343" s="58" t="str">
        <f t="shared" si="247"/>
        <v>-2.43090831892687+3.91974010409967i</v>
      </c>
      <c r="AT343" s="49">
        <f t="shared" si="248"/>
        <v>13.278425761067785</v>
      </c>
      <c r="AU343" s="61">
        <f t="shared" si="249"/>
        <v>121.80598074292057</v>
      </c>
      <c r="AV343" s="58" t="str">
        <f t="shared" si="226"/>
        <v>-3.51783408212751-7.69450461253875i</v>
      </c>
      <c r="AW343" s="64">
        <f t="shared" si="250"/>
        <v>18.547950787332127</v>
      </c>
      <c r="AX343" s="61">
        <f t="shared" si="251"/>
        <v>-114.5693039578757</v>
      </c>
    </row>
    <row r="344" spans="14:50" x14ac:dyDescent="0.4">
      <c r="N344" s="10">
        <v>26</v>
      </c>
      <c r="O344" s="50">
        <f t="shared" si="216"/>
        <v>18197.008586099837</v>
      </c>
      <c r="P344" s="48" t="str">
        <f t="shared" si="217"/>
        <v>5120.19230769231</v>
      </c>
      <c r="Q344" s="17" t="str">
        <f t="shared" si="218"/>
        <v>1+534.297077054253i</v>
      </c>
      <c r="R344" s="17">
        <f t="shared" si="227"/>
        <v>534.29801286240843</v>
      </c>
      <c r="S344" s="17">
        <f t="shared" si="228"/>
        <v>1.5689247110303775</v>
      </c>
      <c r="T344" s="17" t="str">
        <f t="shared" si="219"/>
        <v>1+0.0011422084180582i</v>
      </c>
      <c r="U344" s="17">
        <f t="shared" si="229"/>
        <v>1.0000006523198224</v>
      </c>
      <c r="V344" s="17">
        <f t="shared" si="230"/>
        <v>1.1422079213349653E-3</v>
      </c>
      <c r="W344" s="31" t="str">
        <f t="shared" si="220"/>
        <v>1-1.85222986712141i</v>
      </c>
      <c r="X344" s="17">
        <f t="shared" si="231"/>
        <v>2.1049359801800613</v>
      </c>
      <c r="Y344" s="17">
        <f t="shared" si="232"/>
        <v>-1.0757483930215488</v>
      </c>
      <c r="Z344" s="31" t="str">
        <f t="shared" si="221"/>
        <v>0.867547551406964+11.27724903648i</v>
      </c>
      <c r="AA344" s="17">
        <f t="shared" si="233"/>
        <v>11.310569595946143</v>
      </c>
      <c r="AB344" s="17">
        <f t="shared" si="234"/>
        <v>1.4940185419786998</v>
      </c>
      <c r="AC344" s="66" t="str">
        <f t="shared" si="235"/>
        <v>-0.969654122737351+1.49680096926657i</v>
      </c>
      <c r="AD344" s="64">
        <f t="shared" si="236"/>
        <v>5.0251482486592245</v>
      </c>
      <c r="AE344" s="61">
        <f t="shared" si="237"/>
        <v>122.9358796696125</v>
      </c>
      <c r="AF344" s="31" t="str">
        <f t="shared" si="222"/>
        <v>-10.0808080808081</v>
      </c>
      <c r="AG344" s="31" t="str">
        <f t="shared" si="238"/>
        <v>114335.176982803i</v>
      </c>
      <c r="AH344" s="31">
        <f t="shared" si="239"/>
        <v>114335.17698280299</v>
      </c>
      <c r="AI344" s="31">
        <f t="shared" si="240"/>
        <v>1.5707963267948966</v>
      </c>
      <c r="AJ344" s="31" t="str">
        <f t="shared" si="223"/>
        <v>-249.052283877334+153.522072536358i</v>
      </c>
      <c r="AK344" s="31">
        <f t="shared" si="241"/>
        <v>292.56805509210147</v>
      </c>
      <c r="AL344" s="31">
        <f t="shared" si="242"/>
        <v>2.5891833540588904</v>
      </c>
      <c r="AM344" s="31" t="str">
        <f t="shared" si="224"/>
        <v>1+113324.636954559i</v>
      </c>
      <c r="AN344" s="31">
        <f t="shared" si="243"/>
        <v>113324.6369589711</v>
      </c>
      <c r="AO344" s="31">
        <f t="shared" si="244"/>
        <v>1.5707875025883795</v>
      </c>
      <c r="AP344" s="31" t="str">
        <f t="shared" si="225"/>
        <v>1+132.811741583224i</v>
      </c>
      <c r="AQ344" s="31">
        <f t="shared" si="245"/>
        <v>132.81550625724796</v>
      </c>
      <c r="AR344" s="31">
        <f t="shared" si="246"/>
        <v>1.5632670143172558</v>
      </c>
      <c r="AS344" s="58" t="str">
        <f t="shared" si="247"/>
        <v>-2.35098323568298+3.87905891380192i</v>
      </c>
      <c r="AT344" s="49">
        <f t="shared" si="248"/>
        <v>13.13323384311979</v>
      </c>
      <c r="AU344" s="61">
        <f t="shared" si="249"/>
        <v>121.21881800950385</v>
      </c>
      <c r="AV344" s="58" t="str">
        <f t="shared" si="226"/>
        <v>-3.52653855505444-7.28029945400884i</v>
      </c>
      <c r="AW344" s="64">
        <f t="shared" si="250"/>
        <v>18.158382091779007</v>
      </c>
      <c r="AX344" s="61">
        <f t="shared" si="251"/>
        <v>-115.84530232088363</v>
      </c>
    </row>
    <row r="345" spans="14:50" x14ac:dyDescent="0.4">
      <c r="N345" s="10">
        <v>27</v>
      </c>
      <c r="O345" s="50">
        <f t="shared" si="216"/>
        <v>18620.871366628675</v>
      </c>
      <c r="P345" s="48" t="str">
        <f t="shared" si="217"/>
        <v>5120.19230769231</v>
      </c>
      <c r="Q345" s="17" t="str">
        <f t="shared" si="218"/>
        <v>1+546.742454745707i</v>
      </c>
      <c r="R345" s="17">
        <f t="shared" si="227"/>
        <v>546.74336925230432</v>
      </c>
      <c r="S345" s="17">
        <f t="shared" si="228"/>
        <v>1.5689673141103611</v>
      </c>
      <c r="T345" s="17" t="str">
        <f t="shared" si="219"/>
        <v>1+0.00116881386992304i</v>
      </c>
      <c r="U345" s="17">
        <f t="shared" si="229"/>
        <v>1.000000683062698</v>
      </c>
      <c r="V345" s="17">
        <f t="shared" si="230"/>
        <v>1.1688133376745241E-3</v>
      </c>
      <c r="W345" s="31" t="str">
        <f t="shared" si="220"/>
        <v>1-1.89537384311845i</v>
      </c>
      <c r="X345" s="17">
        <f t="shared" si="231"/>
        <v>2.1429983679829538</v>
      </c>
      <c r="Y345" s="17">
        <f t="shared" si="232"/>
        <v>-1.085312976353684</v>
      </c>
      <c r="Z345" s="31" t="str">
        <f t="shared" si="221"/>
        <v>0.861305259818988+11.5399299112349i</v>
      </c>
      <c r="AA345" s="17">
        <f t="shared" si="233"/>
        <v>11.57202787357539</v>
      </c>
      <c r="AB345" s="17">
        <f t="shared" si="234"/>
        <v>1.4962975005243602</v>
      </c>
      <c r="AC345" s="66" t="str">
        <f t="shared" si="235"/>
        <v>-0.925592149004389+1.4666129800749i</v>
      </c>
      <c r="AD345" s="64">
        <f t="shared" si="236"/>
        <v>4.7823082791678937</v>
      </c>
      <c r="AE345" s="61">
        <f t="shared" si="237"/>
        <v>122.25637810691929</v>
      </c>
      <c r="AF345" s="31" t="str">
        <f t="shared" si="222"/>
        <v>-10.0808080808081</v>
      </c>
      <c r="AG345" s="31" t="str">
        <f t="shared" si="238"/>
        <v>116998.385377682i</v>
      </c>
      <c r="AH345" s="31">
        <f t="shared" si="239"/>
        <v>116998.385377682</v>
      </c>
      <c r="AI345" s="31">
        <f t="shared" si="240"/>
        <v>1.5707963267948966</v>
      </c>
      <c r="AJ345" s="31" t="str">
        <f t="shared" si="223"/>
        <v>-260.836884953284+157.098060986873i</v>
      </c>
      <c r="AK345" s="31">
        <f t="shared" si="241"/>
        <v>304.49249796664611</v>
      </c>
      <c r="AL345" s="31">
        <f t="shared" si="242"/>
        <v>2.5994949313095379</v>
      </c>
      <c r="AM345" s="31" t="str">
        <f t="shared" si="224"/>
        <v>1+115964.30684836i</v>
      </c>
      <c r="AN345" s="31">
        <f t="shared" si="243"/>
        <v>115964.30685267165</v>
      </c>
      <c r="AO345" s="31">
        <f t="shared" si="244"/>
        <v>1.5707877034518425</v>
      </c>
      <c r="AP345" s="31" t="str">
        <f t="shared" si="225"/>
        <v>1+135.905324454715i</v>
      </c>
      <c r="AQ345" s="31">
        <f t="shared" si="245"/>
        <v>135.90900343664268</v>
      </c>
      <c r="AR345" s="31">
        <f t="shared" si="246"/>
        <v>1.5634383961356981</v>
      </c>
      <c r="AS345" s="58" t="str">
        <f t="shared" si="247"/>
        <v>-2.27273697327468+3.83720237139545i</v>
      </c>
      <c r="AT345" s="49">
        <f t="shared" si="248"/>
        <v>12.986228914750447</v>
      </c>
      <c r="AU345" s="61">
        <f t="shared" si="249"/>
        <v>120.63783911642938</v>
      </c>
      <c r="AV345" s="58" t="str">
        <f t="shared" si="226"/>
        <v>-3.52406330584771-6.88490993440544i</v>
      </c>
      <c r="AW345" s="64">
        <f t="shared" si="250"/>
        <v>17.768537193918341</v>
      </c>
      <c r="AX345" s="61">
        <f t="shared" si="251"/>
        <v>-117.10578277665131</v>
      </c>
    </row>
    <row r="346" spans="14:50" x14ac:dyDescent="0.4">
      <c r="N346" s="10">
        <v>28</v>
      </c>
      <c r="O346" s="50">
        <f t="shared" si="216"/>
        <v>19054.607179632505</v>
      </c>
      <c r="P346" s="48" t="str">
        <f t="shared" si="217"/>
        <v>5120.19230769231</v>
      </c>
      <c r="Q346" s="17" t="str">
        <f t="shared" si="218"/>
        <v>1+559.477722523663i</v>
      </c>
      <c r="R346" s="17">
        <f t="shared" si="227"/>
        <v>559.4786162135822</v>
      </c>
      <c r="S346" s="17">
        <f t="shared" si="228"/>
        <v>1.5690089474322642</v>
      </c>
      <c r="T346" s="17" t="str">
        <f t="shared" si="219"/>
        <v>1+0.00119603904237281i</v>
      </c>
      <c r="U346" s="17">
        <f t="shared" si="229"/>
        <v>1.0000007152544397</v>
      </c>
      <c r="V346" s="17">
        <f t="shared" si="230"/>
        <v>1.1960384720582722E-3</v>
      </c>
      <c r="W346" s="31" t="str">
        <f t="shared" si="220"/>
        <v>1-1.93952277141537i</v>
      </c>
      <c r="X346" s="17">
        <f t="shared" si="231"/>
        <v>2.1821431164886409</v>
      </c>
      <c r="Y346" s="17">
        <f t="shared" si="232"/>
        <v>-1.0947540535038169</v>
      </c>
      <c r="Z346" s="31" t="str">
        <f t="shared" si="221"/>
        <v>0.854768778091957+11.8087294095778i</v>
      </c>
      <c r="AA346" s="17">
        <f t="shared" si="233"/>
        <v>11.839624991216086</v>
      </c>
      <c r="AB346" s="17">
        <f t="shared" si="234"/>
        <v>1.4985378672594238</v>
      </c>
      <c r="AC346" s="66" t="str">
        <f t="shared" si="235"/>
        <v>-0.883483791424573+1.43685463623142i</v>
      </c>
      <c r="AD346" s="64">
        <f t="shared" si="236"/>
        <v>4.5409675033632526</v>
      </c>
      <c r="AE346" s="61">
        <f t="shared" si="237"/>
        <v>121.58625514534339</v>
      </c>
      <c r="AF346" s="31" t="str">
        <f t="shared" si="222"/>
        <v>-10.0808080808081</v>
      </c>
      <c r="AG346" s="31" t="str">
        <f t="shared" si="238"/>
        <v>119723.627865146i</v>
      </c>
      <c r="AH346" s="31">
        <f t="shared" si="239"/>
        <v>119723.627865146</v>
      </c>
      <c r="AI346" s="31">
        <f t="shared" si="240"/>
        <v>1.5707963267948966</v>
      </c>
      <c r="AJ346" s="31" t="str">
        <f t="shared" si="223"/>
        <v>-273.176877167308+160.757344908762i</v>
      </c>
      <c r="AK346" s="31">
        <f t="shared" si="241"/>
        <v>316.96771154330088</v>
      </c>
      <c r="AL346" s="31">
        <f t="shared" si="242"/>
        <v>2.6096916563868016</v>
      </c>
      <c r="AM346" s="31" t="str">
        <f t="shared" si="224"/>
        <v>1+118665.462552623i</v>
      </c>
      <c r="AN346" s="31">
        <f t="shared" si="243"/>
        <v>118665.46255683652</v>
      </c>
      <c r="AO346" s="31">
        <f t="shared" si="244"/>
        <v>1.5707878997430951</v>
      </c>
      <c r="AP346" s="31" t="str">
        <f t="shared" si="225"/>
        <v>1+139.070966128154i</v>
      </c>
      <c r="AQ346" s="31">
        <f t="shared" si="245"/>
        <v>139.07456136841907</v>
      </c>
      <c r="AR346" s="31">
        <f t="shared" si="246"/>
        <v>1.5636058772453416</v>
      </c>
      <c r="AS346" s="58" t="str">
        <f t="shared" si="247"/>
        <v>-2.19619751559374+3.79425151013793i</v>
      </c>
      <c r="AT346" s="49">
        <f t="shared" si="248"/>
        <v>12.837449786742116</v>
      </c>
      <c r="AU346" s="61">
        <f t="shared" si="249"/>
        <v>120.0632170120379</v>
      </c>
      <c r="AV346" s="58" t="str">
        <f t="shared" si="226"/>
        <v>-3.51148296557577-6.50777629215586i</v>
      </c>
      <c r="AW346" s="64">
        <f t="shared" si="250"/>
        <v>17.378417290105372</v>
      </c>
      <c r="AX346" s="61">
        <f t="shared" si="251"/>
        <v>-118.35052784261877</v>
      </c>
    </row>
    <row r="347" spans="14:50" x14ac:dyDescent="0.4">
      <c r="N347" s="10">
        <v>29</v>
      </c>
      <c r="O347" s="50">
        <f t="shared" si="216"/>
        <v>19498.445997580486</v>
      </c>
      <c r="P347" s="48" t="str">
        <f t="shared" si="217"/>
        <v>5120.19230769231</v>
      </c>
      <c r="Q347" s="17" t="str">
        <f t="shared" si="218"/>
        <v>1+572.509632795657i</v>
      </c>
      <c r="R347" s="17">
        <f t="shared" si="227"/>
        <v>572.51050614274152</v>
      </c>
      <c r="S347" s="17">
        <f t="shared" si="228"/>
        <v>1.569049633070047</v>
      </c>
      <c r="T347" s="17" t="str">
        <f t="shared" si="219"/>
        <v>1+0.00122389837055427i</v>
      </c>
      <c r="U347" s="17">
        <f t="shared" si="229"/>
        <v>1.0000007489633302</v>
      </c>
      <c r="V347" s="17">
        <f t="shared" si="230"/>
        <v>1.2238977594512574E-3</v>
      </c>
      <c r="W347" s="31" t="str">
        <f t="shared" si="220"/>
        <v>1-1.98470006035828i</v>
      </c>
      <c r="X347" s="17">
        <f t="shared" si="231"/>
        <v>2.2223938286420255</v>
      </c>
      <c r="Y347" s="17">
        <f t="shared" si="232"/>
        <v>-1.104069897226895</v>
      </c>
      <c r="Z347" s="31" t="str">
        <f t="shared" si="221"/>
        <v>0.847924241471776+12.0837900525605i</v>
      </c>
      <c r="AA347" s="17">
        <f t="shared" si="233"/>
        <v>12.113503108252194</v>
      </c>
      <c r="AB347" s="17">
        <f t="shared" si="234"/>
        <v>1.5007407695949297</v>
      </c>
      <c r="AC347" s="66" t="str">
        <f t="shared" si="235"/>
        <v>-0.843243692597537+1.40753305707541i</v>
      </c>
      <c r="AD347" s="64">
        <f t="shared" si="236"/>
        <v>4.3010880916023773</v>
      </c>
      <c r="AE347" s="61">
        <f t="shared" si="237"/>
        <v>120.9255447151598</v>
      </c>
      <c r="AF347" s="31" t="str">
        <f t="shared" si="222"/>
        <v>-10.0808080808081</v>
      </c>
      <c r="AG347" s="31" t="str">
        <f t="shared" si="238"/>
        <v>122512.349404832i</v>
      </c>
      <c r="AH347" s="31">
        <f t="shared" si="239"/>
        <v>122512.349404832</v>
      </c>
      <c r="AI347" s="31">
        <f t="shared" si="240"/>
        <v>1.5707963267948966</v>
      </c>
      <c r="AJ347" s="31" t="str">
        <f t="shared" si="223"/>
        <v>-286.098435297328+164.501864502796i</v>
      </c>
      <c r="AK347" s="31">
        <f t="shared" si="241"/>
        <v>330.01996622094799</v>
      </c>
      <c r="AL347" s="31">
        <f t="shared" si="242"/>
        <v>2.6197708138983065</v>
      </c>
      <c r="AM347" s="31" t="str">
        <f t="shared" si="224"/>
        <v>1+121429.536255853i</v>
      </c>
      <c r="AN347" s="31">
        <f t="shared" si="243"/>
        <v>121429.53625997063</v>
      </c>
      <c r="AO347" s="31">
        <f t="shared" si="244"/>
        <v>1.5707880915662134</v>
      </c>
      <c r="AP347" s="31" t="str">
        <f t="shared" si="225"/>
        <v>1+142.310345068653i</v>
      </c>
      <c r="AQ347" s="31">
        <f t="shared" si="245"/>
        <v>142.31385847330219</v>
      </c>
      <c r="AR347" s="31">
        <f t="shared" si="246"/>
        <v>1.5637695464092831</v>
      </c>
      <c r="AS347" s="58" t="str">
        <f t="shared" si="247"/>
        <v>-2.12138810123889+3.75028719595858i</v>
      </c>
      <c r="AT347" s="49">
        <f t="shared" si="248"/>
        <v>12.686935857195234</v>
      </c>
      <c r="AU347" s="61">
        <f t="shared" si="249"/>
        <v>119.49511236856661</v>
      </c>
      <c r="AV347" s="58" t="str">
        <f t="shared" si="226"/>
        <v>-3.48980606591719-6.14832990280155i</v>
      </c>
      <c r="AW347" s="64">
        <f t="shared" si="250"/>
        <v>16.988023948797611</v>
      </c>
      <c r="AX347" s="61">
        <f t="shared" si="251"/>
        <v>-119.57934291627362</v>
      </c>
    </row>
    <row r="348" spans="14:50" x14ac:dyDescent="0.4">
      <c r="N348" s="10">
        <v>30</v>
      </c>
      <c r="O348" s="50">
        <f t="shared" si="216"/>
        <v>19952.623149688792</v>
      </c>
      <c r="P348" s="48" t="str">
        <f t="shared" si="217"/>
        <v>5120.19230769231</v>
      </c>
      <c r="Q348" s="17" t="str">
        <f t="shared" si="218"/>
        <v>1+585.845095253025i</v>
      </c>
      <c r="R348" s="17">
        <f t="shared" si="227"/>
        <v>585.84594872033199</v>
      </c>
      <c r="S348" s="17">
        <f t="shared" si="228"/>
        <v>1.5690893925952345</v>
      </c>
      <c r="T348" s="17" t="str">
        <f t="shared" si="219"/>
        <v>1+0.00125240662585202i</v>
      </c>
      <c r="U348" s="17">
        <f t="shared" si="229"/>
        <v>1.0000007842608707</v>
      </c>
      <c r="V348" s="17">
        <f t="shared" si="230"/>
        <v>1.2524059710433721E-3</v>
      </c>
      <c r="W348" s="31" t="str">
        <f t="shared" si="220"/>
        <v>1-2.03092966354382i</v>
      </c>
      <c r="X348" s="17">
        <f t="shared" si="231"/>
        <v>2.2637745687815767</v>
      </c>
      <c r="Y348" s="17">
        <f t="shared" si="232"/>
        <v>-1.1132589781987559</v>
      </c>
      <c r="Z348" s="31" t="str">
        <f t="shared" si="221"/>
        <v>0.840757131778601+12.3652576809771i</v>
      </c>
      <c r="AA348" s="17">
        <f t="shared" si="233"/>
        <v>12.393807730943696</v>
      </c>
      <c r="AB348" s="17">
        <f t="shared" si="234"/>
        <v>1.5029073190334243</v>
      </c>
      <c r="AC348" s="66" t="str">
        <f t="shared" si="235"/>
        <v>-0.804790114263232+1.37865410050038i</v>
      </c>
      <c r="AD348" s="64">
        <f t="shared" si="236"/>
        <v>4.062632092777684</v>
      </c>
      <c r="AE348" s="61">
        <f t="shared" si="237"/>
        <v>120.27427036615292</v>
      </c>
      <c r="AF348" s="31" t="str">
        <f t="shared" si="222"/>
        <v>-10.0808080808081</v>
      </c>
      <c r="AG348" s="31" t="str">
        <f t="shared" si="238"/>
        <v>125366.028613816i</v>
      </c>
      <c r="AH348" s="31">
        <f t="shared" si="239"/>
        <v>125366.028613816</v>
      </c>
      <c r="AI348" s="31">
        <f t="shared" si="240"/>
        <v>1.5707963267948966</v>
      </c>
      <c r="AJ348" s="31" t="str">
        <f t="shared" si="223"/>
        <v>-299.628967700577+168.333605162829i</v>
      </c>
      <c r="AK348" s="31">
        <f t="shared" si="241"/>
        <v>343.67676807201946</v>
      </c>
      <c r="AL348" s="31">
        <f t="shared" si="242"/>
        <v>2.629729899835886</v>
      </c>
      <c r="AM348" s="31" t="str">
        <f t="shared" si="224"/>
        <v>1+124257.993506516i</v>
      </c>
      <c r="AN348" s="31">
        <f t="shared" si="243"/>
        <v>124257.99351053989</v>
      </c>
      <c r="AO348" s="31">
        <f t="shared" si="244"/>
        <v>1.5707882790229042</v>
      </c>
      <c r="AP348" s="31" t="str">
        <f t="shared" si="225"/>
        <v>1+145.625178837809i</v>
      </c>
      <c r="AQ348" s="31">
        <f t="shared" si="245"/>
        <v>145.62861226951196</v>
      </c>
      <c r="AR348" s="31">
        <f t="shared" si="246"/>
        <v>1.5639294903719854</v>
      </c>
      <c r="AS348" s="58" t="str">
        <f t="shared" si="247"/>
        <v>-2.04832734692359+3.70538982754849i</v>
      </c>
      <c r="AT348" s="49">
        <f t="shared" si="248"/>
        <v>12.534727004096126</v>
      </c>
      <c r="AU348" s="61">
        <f t="shared" si="249"/>
        <v>118.9336736310338</v>
      </c>
      <c r="AV348" s="58" t="str">
        <f t="shared" si="226"/>
        <v>-3.45997728012298-5.80599599870584i</v>
      </c>
      <c r="AW348" s="64">
        <f t="shared" si="250"/>
        <v>16.597359096873809</v>
      </c>
      <c r="AX348" s="61">
        <f t="shared" si="251"/>
        <v>-120.79205600281324</v>
      </c>
    </row>
    <row r="349" spans="14:50" x14ac:dyDescent="0.4">
      <c r="N349" s="10">
        <v>31</v>
      </c>
      <c r="O349" s="50">
        <f t="shared" si="216"/>
        <v>20417.379446695286</v>
      </c>
      <c r="P349" s="48" t="str">
        <f t="shared" si="217"/>
        <v>5120.19230769231</v>
      </c>
      <c r="Q349" s="17" t="str">
        <f t="shared" si="218"/>
        <v>1+599.49118053447i</v>
      </c>
      <c r="R349" s="17">
        <f t="shared" si="227"/>
        <v>599.49201457451659</v>
      </c>
      <c r="S349" s="17">
        <f t="shared" si="228"/>
        <v>1.5691282470883501</v>
      </c>
      <c r="T349" s="17" t="str">
        <f t="shared" si="219"/>
        <v>1+0.00128157892372036i</v>
      </c>
      <c r="U349" s="17">
        <f t="shared" si="229"/>
        <v>1.0000008212219316</v>
      </c>
      <c r="V349" s="17">
        <f t="shared" si="230"/>
        <v>1.2815782220802839E-3</v>
      </c>
      <c r="W349" s="31" t="str">
        <f t="shared" si="220"/>
        <v>1-2.07823609251949i</v>
      </c>
      <c r="X349" s="17">
        <f t="shared" si="231"/>
        <v>2.3063098786266072</v>
      </c>
      <c r="Y349" s="17">
        <f t="shared" si="232"/>
        <v>-1.1223199602976857</v>
      </c>
      <c r="Z349" s="31" t="str">
        <f t="shared" si="221"/>
        <v>0.833252246611867+12.6532815326896i</v>
      </c>
      <c r="AA349" s="17">
        <f t="shared" si="233"/>
        <v>12.680687790967312</v>
      </c>
      <c r="AB349" s="17">
        <f t="shared" si="234"/>
        <v>1.5050386114985013</v>
      </c>
      <c r="AC349" s="66" t="str">
        <f t="shared" si="235"/>
        <v>-0.768044793557899+1.35022246193197i</v>
      </c>
      <c r="AD349" s="64">
        <f t="shared" si="236"/>
        <v>3.8255615232085898</v>
      </c>
      <c r="AE349" s="61">
        <f t="shared" si="237"/>
        <v>119.63244551887634</v>
      </c>
      <c r="AF349" s="31" t="str">
        <f t="shared" si="222"/>
        <v>-10.0808080808081</v>
      </c>
      <c r="AG349" s="31" t="str">
        <f t="shared" si="238"/>
        <v>128286.178550586i</v>
      </c>
      <c r="AH349" s="31">
        <f t="shared" si="239"/>
        <v>128286.178550586</v>
      </c>
      <c r="AI349" s="31">
        <f t="shared" si="240"/>
        <v>1.5707963267948966</v>
      </c>
      <c r="AJ349" s="31" t="str">
        <f t="shared" si="223"/>
        <v>-313.797174450344+172.254598528479i</v>
      </c>
      <c r="AK349" s="31">
        <f t="shared" si="241"/>
        <v>357.96691663787465</v>
      </c>
      <c r="AL349" s="31">
        <f t="shared" si="242"/>
        <v>2.6395666200007959</v>
      </c>
      <c r="AM349" s="31" t="str">
        <f t="shared" si="224"/>
        <v>1+127152.333990085i</v>
      </c>
      <c r="AN349" s="31">
        <f t="shared" si="243"/>
        <v>127152.3339940173</v>
      </c>
      <c r="AO349" s="31">
        <f t="shared" si="244"/>
        <v>1.5707884622125599</v>
      </c>
      <c r="AP349" s="31" t="str">
        <f t="shared" si="225"/>
        <v>1+149.017225004361i</v>
      </c>
      <c r="AQ349" s="31">
        <f t="shared" si="245"/>
        <v>149.02058028339692</v>
      </c>
      <c r="AR349" s="31">
        <f t="shared" si="246"/>
        <v>1.5640857939051018</v>
      </c>
      <c r="AS349" s="58" t="str">
        <f t="shared" si="247"/>
        <v>-1.97702939011158+3.65963905486917i</v>
      </c>
      <c r="AT349" s="49">
        <f t="shared" si="248"/>
        <v>12.380863480940352</v>
      </c>
      <c r="AU349" s="61">
        <f t="shared" si="249"/>
        <v>118.37903711009805</v>
      </c>
      <c r="AV349" s="58" t="str">
        <f t="shared" si="226"/>
        <v>-3.42287972466169-5.48019621282173i</v>
      </c>
      <c r="AW349" s="64">
        <f t="shared" si="250"/>
        <v>16.206425004148937</v>
      </c>
      <c r="AX349" s="61">
        <f t="shared" si="251"/>
        <v>-121.98851737102561</v>
      </c>
    </row>
    <row r="350" spans="14:50" x14ac:dyDescent="0.4">
      <c r="N350" s="10">
        <v>32</v>
      </c>
      <c r="O350" s="50">
        <f t="shared" si="216"/>
        <v>20892.961308540423</v>
      </c>
      <c r="P350" s="48" t="str">
        <f t="shared" si="217"/>
        <v>5120.19230769231</v>
      </c>
      <c r="Q350" s="17" t="str">
        <f t="shared" si="218"/>
        <v>1+613.455123975043i</v>
      </c>
      <c r="R350" s="17">
        <f t="shared" si="227"/>
        <v>613.4559390300459</v>
      </c>
      <c r="S350" s="17">
        <f t="shared" si="228"/>
        <v>1.5691662171500906</v>
      </c>
      <c r="T350" s="17" t="str">
        <f t="shared" si="219"/>
        <v>1+0.00131143073169776i</v>
      </c>
      <c r="U350" s="17">
        <f t="shared" si="229"/>
        <v>1.0000008599249122</v>
      </c>
      <c r="V350" s="17">
        <f t="shared" si="230"/>
        <v>1.3114299798769079E-3</v>
      </c>
      <c r="W350" s="31" t="str">
        <f t="shared" si="220"/>
        <v>1-2.12664442978015i</v>
      </c>
      <c r="X350" s="17">
        <f t="shared" si="231"/>
        <v>2.3500247936383434</v>
      </c>
      <c r="Y350" s="17">
        <f t="shared" si="232"/>
        <v>-1.1312516954472027</v>
      </c>
      <c r="Z350" s="31" t="str">
        <f t="shared" si="221"/>
        <v>0.825393667103932+12.9480143217568i</v>
      </c>
      <c r="AA350" s="17">
        <f t="shared" si="233"/>
        <v>12.974295725861751</v>
      </c>
      <c r="AB350" s="17">
        <f t="shared" si="234"/>
        <v>1.5071357276726738</v>
      </c>
      <c r="AC350" s="66" t="str">
        <f t="shared" si="235"/>
        <v>-0.732932804111331+1.32224176669322i</v>
      </c>
      <c r="AD350" s="64">
        <f t="shared" si="236"/>
        <v>3.5898384505269485</v>
      </c>
      <c r="AE350" s="61">
        <f t="shared" si="237"/>
        <v>119.00007374059896</v>
      </c>
      <c r="AF350" s="31" t="str">
        <f t="shared" si="222"/>
        <v>-10.0808080808081</v>
      </c>
      <c r="AG350" s="31" t="str">
        <f t="shared" si="238"/>
        <v>131274.347517293i</v>
      </c>
      <c r="AH350" s="31">
        <f t="shared" si="239"/>
        <v>131274.347517293</v>
      </c>
      <c r="AI350" s="31">
        <f t="shared" si="240"/>
        <v>1.5707963267948966</v>
      </c>
      <c r="AJ350" s="31" t="str">
        <f t="shared" si="223"/>
        <v>-328.633108212719+176.266923562327i</v>
      </c>
      <c r="AK350" s="31">
        <f t="shared" si="241"/>
        <v>372.92056547699252</v>
      </c>
      <c r="AL350" s="31">
        <f t="shared" si="242"/>
        <v>2.6492788877107856</v>
      </c>
      <c r="AM350" s="31" t="str">
        <f t="shared" si="224"/>
        <v>1+130114.092324197i</v>
      </c>
      <c r="AN350" s="31">
        <f t="shared" si="243"/>
        <v>130114.09232803978</v>
      </c>
      <c r="AO350" s="31">
        <f t="shared" si="244"/>
        <v>1.5707886412323098</v>
      </c>
      <c r="AP350" s="31" t="str">
        <f t="shared" si="225"/>
        <v>1+152.488282076088i</v>
      </c>
      <c r="AQ350" s="31">
        <f t="shared" si="245"/>
        <v>152.49156098130999</v>
      </c>
      <c r="AR350" s="31">
        <f t="shared" si="246"/>
        <v>1.5642385398522685</v>
      </c>
      <c r="AS350" s="58" t="str">
        <f t="shared" si="247"/>
        <v>-1.90750404856993+3.6131135171144i</v>
      </c>
      <c r="AT350" s="49">
        <f t="shared" si="248"/>
        <v>12.225385815823383</v>
      </c>
      <c r="AU350" s="61">
        <f t="shared" si="249"/>
        <v>117.83132711600086</v>
      </c>
      <c r="AV350" s="58" t="str">
        <f t="shared" si="226"/>
        <v>-3.37933730896042-5.17035094482678i</v>
      </c>
      <c r="AW350" s="64">
        <f t="shared" si="250"/>
        <v>15.815224266350327</v>
      </c>
      <c r="AX350" s="61">
        <f t="shared" si="251"/>
        <v>-123.16859914340017</v>
      </c>
    </row>
    <row r="351" spans="14:50" x14ac:dyDescent="0.4">
      <c r="N351" s="10">
        <v>33</v>
      </c>
      <c r="O351" s="50">
        <f t="shared" si="216"/>
        <v>21379.620895022348</v>
      </c>
      <c r="P351" s="48" t="str">
        <f t="shared" si="217"/>
        <v>5120.19230769231</v>
      </c>
      <c r="Q351" s="17" t="str">
        <f t="shared" si="218"/>
        <v>1+627.744329442381i</v>
      </c>
      <c r="R351" s="17">
        <f t="shared" si="227"/>
        <v>627.74512594449072</v>
      </c>
      <c r="S351" s="17">
        <f t="shared" si="228"/>
        <v>1.5692033229122475</v>
      </c>
      <c r="T351" s="17" t="str">
        <f t="shared" si="219"/>
        <v>1+0.00134197787760793i</v>
      </c>
      <c r="U351" s="17">
        <f t="shared" si="229"/>
        <v>1.0000009004519066</v>
      </c>
      <c r="V351" s="17">
        <f t="shared" si="230"/>
        <v>1.3419770720174121E-3</v>
      </c>
      <c r="W351" s="31" t="str">
        <f t="shared" si="220"/>
        <v>1-2.17618034206692i</v>
      </c>
      <c r="X351" s="17">
        <f t="shared" si="231"/>
        <v>2.3949448597407201</v>
      </c>
      <c r="Y351" s="17">
        <f t="shared" si="232"/>
        <v>-1.1400532180743219</v>
      </c>
      <c r="Z351" s="31" t="str">
        <f t="shared" si="221"/>
        <v>0.817164724154049+13.2496123194046i</v>
      </c>
      <c r="AA351" s="17">
        <f t="shared" si="233"/>
        <v>13.274787561423343</v>
      </c>
      <c r="AB351" s="17">
        <f t="shared" si="234"/>
        <v>1.5091997333426781</v>
      </c>
      <c r="AC351" s="66" t="str">
        <f t="shared" si="235"/>
        <v>-0.699382421904129+1.29471465616394i</v>
      </c>
      <c r="AD351" s="64">
        <f t="shared" si="236"/>
        <v>3.35542507245925</v>
      </c>
      <c r="AE351" s="61">
        <f t="shared" si="237"/>
        <v>118.37714904288269</v>
      </c>
      <c r="AF351" s="31" t="str">
        <f t="shared" si="222"/>
        <v>-10.0808080808081</v>
      </c>
      <c r="AG351" s="31" t="str">
        <f t="shared" si="238"/>
        <v>134332.119880674i</v>
      </c>
      <c r="AH351" s="31">
        <f t="shared" si="239"/>
        <v>134332.119880674</v>
      </c>
      <c r="AI351" s="31">
        <f t="shared" si="240"/>
        <v>1.5707963267948966</v>
      </c>
      <c r="AJ351" s="31" t="str">
        <f t="shared" si="223"/>
        <v>-344.168237992288+180.372707652217i</v>
      </c>
      <c r="AK351" s="31">
        <f t="shared" si="241"/>
        <v>388.56928559590034</v>
      </c>
      <c r="AL351" s="31">
        <f t="shared" si="242"/>
        <v>2.6588648208411785</v>
      </c>
      <c r="AM351" s="31" t="str">
        <f t="shared" si="224"/>
        <v>1+133144.838872321i</v>
      </c>
      <c r="AN351" s="31">
        <f t="shared" si="243"/>
        <v>133144.8388760763</v>
      </c>
      <c r="AO351" s="31">
        <f t="shared" si="244"/>
        <v>1.5707888161770729</v>
      </c>
      <c r="AP351" s="31" t="str">
        <f t="shared" si="225"/>
        <v>1+156.040190453391i</v>
      </c>
      <c r="AQ351" s="31">
        <f t="shared" si="245"/>
        <v>156.04339472316838</v>
      </c>
      <c r="AR351" s="31">
        <f t="shared" si="246"/>
        <v>1.5643878091728816</v>
      </c>
      <c r="AS351" s="58" t="str">
        <f t="shared" si="247"/>
        <v>-1.83975699452714+3.56589060088781i</v>
      </c>
      <c r="AT351" s="49">
        <f t="shared" si="248"/>
        <v>12.068334714363488</v>
      </c>
      <c r="AU351" s="61">
        <f t="shared" si="249"/>
        <v>117.29065613061323</v>
      </c>
      <c r="AV351" s="58" t="str">
        <f t="shared" si="226"/>
        <v>-3.33011712069923-4.8758815492885i</v>
      </c>
      <c r="AW351" s="64">
        <f t="shared" si="250"/>
        <v>15.423759786822739</v>
      </c>
      <c r="AX351" s="61">
        <f t="shared" si="251"/>
        <v>-124.33219482650401</v>
      </c>
    </row>
    <row r="352" spans="14:50" x14ac:dyDescent="0.4">
      <c r="N352" s="10">
        <v>34</v>
      </c>
      <c r="O352" s="50">
        <f t="shared" si="216"/>
        <v>21877.61623949555</v>
      </c>
      <c r="P352" s="48" t="str">
        <f t="shared" si="217"/>
        <v>5120.19230769231</v>
      </c>
      <c r="Q352" s="17" t="str">
        <f t="shared" si="218"/>
        <v>1+642.36637326237i</v>
      </c>
      <c r="R352" s="17">
        <f t="shared" si="227"/>
        <v>642.36715163390045</v>
      </c>
      <c r="S352" s="17">
        <f t="shared" si="228"/>
        <v>1.5692395840483777</v>
      </c>
      <c r="T352" s="17" t="str">
        <f t="shared" si="219"/>
        <v>1+0.001373236557952i</v>
      </c>
      <c r="U352" s="17">
        <f t="shared" si="229"/>
        <v>1.0000009428888776</v>
      </c>
      <c r="V352" s="17">
        <f t="shared" si="230"/>
        <v>1.3732356947462521E-3</v>
      </c>
      <c r="W352" s="31" t="str">
        <f t="shared" si="220"/>
        <v>1-2.22687009397621i</v>
      </c>
      <c r="X352" s="17">
        <f t="shared" si="231"/>
        <v>2.4410961503893311</v>
      </c>
      <c r="Y352" s="17">
        <f t="shared" si="232"/>
        <v>-1.1487237392365768</v>
      </c>
      <c r="Z352" s="31" t="str">
        <f t="shared" si="221"/>
        <v>0.808547963070944+13.5582354368834i</v>
      </c>
      <c r="AA352" s="17">
        <f t="shared" si="233"/>
        <v>13.582322996105894</v>
      </c>
      <c r="AB352" s="17">
        <f t="shared" si="234"/>
        <v>1.511231679751432</v>
      </c>
      <c r="AC352" s="66" t="str">
        <f t="shared" si="235"/>
        <v>-0.667324995795432+1.26764286811804i</v>
      </c>
      <c r="AD352" s="64">
        <f t="shared" si="236"/>
        <v>3.1222837904486331</v>
      </c>
      <c r="AE352" s="61">
        <f t="shared" si="237"/>
        <v>117.76365619778333</v>
      </c>
      <c r="AF352" s="31" t="str">
        <f t="shared" si="222"/>
        <v>-10.0808080808081</v>
      </c>
      <c r="AG352" s="31" t="str">
        <f t="shared" si="238"/>
        <v>137461.116912112i</v>
      </c>
      <c r="AH352" s="31">
        <f t="shared" si="239"/>
        <v>137461.11691211199</v>
      </c>
      <c r="AI352" s="31">
        <f t="shared" si="240"/>
        <v>1.5707963267948966</v>
      </c>
      <c r="AJ352" s="31" t="str">
        <f t="shared" si="223"/>
        <v>-360.435515882152+184.574127739218i</v>
      </c>
      <c r="AK352" s="31">
        <f t="shared" si="241"/>
        <v>404.9461318989554</v>
      </c>
      <c r="AL352" s="31">
        <f t="shared" si="242"/>
        <v>2.6683227382543211</v>
      </c>
      <c r="AM352" s="31" t="str">
        <f t="shared" si="224"/>
        <v>1+136246.180576396i</v>
      </c>
      <c r="AN352" s="31">
        <f t="shared" si="243"/>
        <v>136246.18058006585</v>
      </c>
      <c r="AO352" s="31">
        <f t="shared" si="244"/>
        <v>1.5707889871396068</v>
      </c>
      <c r="AP352" s="31" t="str">
        <f t="shared" si="225"/>
        <v>1+159.674833405109i</v>
      </c>
      <c r="AQ352" s="31">
        <f t="shared" si="245"/>
        <v>159.67796473824848</v>
      </c>
      <c r="AR352" s="31">
        <f t="shared" si="246"/>
        <v>1.5645336809848882</v>
      </c>
      <c r="AS352" s="58" t="str">
        <f t="shared" si="247"/>
        <v>-1.77378994114358+3.51804621909652i</v>
      </c>
      <c r="AT352" s="49">
        <f t="shared" si="248"/>
        <v>11.909750966762594</v>
      </c>
      <c r="AU352" s="61">
        <f t="shared" si="249"/>
        <v>116.7571250144663</v>
      </c>
      <c r="AV352" s="58" t="str">
        <f t="shared" si="226"/>
        <v>-3.27593183433172-4.5962123467969i</v>
      </c>
      <c r="AW352" s="64">
        <f t="shared" si="250"/>
        <v>15.032034757211232</v>
      </c>
      <c r="AX352" s="61">
        <f t="shared" si="251"/>
        <v>-125.47921878775034</v>
      </c>
    </row>
    <row r="353" spans="14:50" x14ac:dyDescent="0.4">
      <c r="N353" s="10">
        <v>35</v>
      </c>
      <c r="O353" s="50">
        <f t="shared" si="216"/>
        <v>22387.211385683382</v>
      </c>
      <c r="P353" s="48" t="str">
        <f t="shared" si="217"/>
        <v>5120.19230769231</v>
      </c>
      <c r="Q353" s="17" t="str">
        <f t="shared" si="218"/>
        <v>1+657.329008236183i</v>
      </c>
      <c r="R353" s="17">
        <f t="shared" si="227"/>
        <v>657.32976888983501</v>
      </c>
      <c r="S353" s="17">
        <f t="shared" si="228"/>
        <v>1.569275019784234</v>
      </c>
      <c r="T353" s="17" t="str">
        <f t="shared" si="219"/>
        <v>1+0.00140522334649602i</v>
      </c>
      <c r="U353" s="17">
        <f t="shared" si="229"/>
        <v>1.0000009873258393</v>
      </c>
      <c r="V353" s="17">
        <f t="shared" si="230"/>
        <v>1.4052224215544459E-3</v>
      </c>
      <c r="W353" s="31" t="str">
        <f t="shared" si="220"/>
        <v>1-2.27874056188543i</v>
      </c>
      <c r="X353" s="17">
        <f t="shared" si="231"/>
        <v>2.4885052839770956</v>
      </c>
      <c r="Y353" s="17">
        <f t="shared" si="232"/>
        <v>-1.1572626404691861</v>
      </c>
      <c r="Z353" s="31" t="str">
        <f t="shared" si="221"/>
        <v>0.799525106549092+13.8740473102554i</v>
      </c>
      <c r="AA353" s="17">
        <f t="shared" si="233"/>
        <v>13.897065487476389</v>
      </c>
      <c r="AB353" s="17">
        <f t="shared" si="234"/>
        <v>1.5132326039558956</v>
      </c>
      <c r="AC353" s="66" t="str">
        <f t="shared" si="235"/>
        <v>-0.636694822625936+1.24102731160099i</v>
      </c>
      <c r="AD353" s="64">
        <f t="shared" si="236"/>
        <v>2.8903772781008548</v>
      </c>
      <c r="AE353" s="61">
        <f t="shared" si="237"/>
        <v>117.15957106977251</v>
      </c>
      <c r="AF353" s="31" t="str">
        <f t="shared" si="222"/>
        <v>-10.0808080808081</v>
      </c>
      <c r="AG353" s="31" t="str">
        <f t="shared" si="238"/>
        <v>140662.997647249i</v>
      </c>
      <c r="AH353" s="31">
        <f t="shared" si="239"/>
        <v>140662.99764724899</v>
      </c>
      <c r="AI353" s="31">
        <f t="shared" si="240"/>
        <v>1.5707963267948966</v>
      </c>
      <c r="AJ353" s="31" t="str">
        <f t="shared" si="223"/>
        <v>-377.469446959703+188.873411471875i</v>
      </c>
      <c r="AK353" s="31">
        <f t="shared" si="241"/>
        <v>422.08571279905721</v>
      </c>
      <c r="AL353" s="31">
        <f t="shared" si="242"/>
        <v>2.6776511556722218</v>
      </c>
      <c r="AM353" s="31" t="str">
        <f t="shared" si="224"/>
        <v>1+139419.761808844i</v>
      </c>
      <c r="AN353" s="31">
        <f t="shared" si="243"/>
        <v>139419.76181243028</v>
      </c>
      <c r="AO353" s="31">
        <f t="shared" si="244"/>
        <v>1.5707891542105585</v>
      </c>
      <c r="AP353" s="31" t="str">
        <f t="shared" si="225"/>
        <v>1+163.394138067045i</v>
      </c>
      <c r="AQ353" s="31">
        <f t="shared" si="245"/>
        <v>163.39719812369049</v>
      </c>
      <c r="AR353" s="31">
        <f t="shared" si="246"/>
        <v>1.5646762326066082</v>
      </c>
      <c r="AS353" s="58" t="str">
        <f t="shared" si="247"/>
        <v>-1.70960083905665+3.46965461081576i</v>
      </c>
      <c r="AT353" s="49">
        <f t="shared" si="248"/>
        <v>11.749675359262611</v>
      </c>
      <c r="AU353" s="61">
        <f t="shared" si="249"/>
        <v>116.230823245632</v>
      </c>
      <c r="AV353" s="58" t="str">
        <f t="shared" si="226"/>
        <v>-3.21744213086034-4.33077246021187i</v>
      </c>
      <c r="AW353" s="64">
        <f t="shared" si="250"/>
        <v>14.640052637363461</v>
      </c>
      <c r="AX353" s="61">
        <f t="shared" si="251"/>
        <v>-126.60960568459552</v>
      </c>
    </row>
    <row r="354" spans="14:50" x14ac:dyDescent="0.4">
      <c r="N354" s="10">
        <v>36</v>
      </c>
      <c r="O354" s="50">
        <f t="shared" si="216"/>
        <v>22908.676527677751</v>
      </c>
      <c r="P354" s="48" t="str">
        <f t="shared" si="217"/>
        <v>5120.19230769231</v>
      </c>
      <c r="Q354" s="17" t="str">
        <f t="shared" si="218"/>
        <v>1+672.640167750949i</v>
      </c>
      <c r="R354" s="17">
        <f t="shared" si="227"/>
        <v>672.64091109002925</v>
      </c>
      <c r="S354" s="17">
        <f t="shared" si="228"/>
        <v>1.5693096489079568</v>
      </c>
      <c r="T354" s="17" t="str">
        <f t="shared" si="219"/>
        <v>1+0.0014379552030587i</v>
      </c>
      <c r="U354" s="17">
        <f t="shared" si="229"/>
        <v>1.0000010338570486</v>
      </c>
      <c r="V354" s="17">
        <f t="shared" si="230"/>
        <v>1.4379542119660024E-3</v>
      </c>
      <c r="W354" s="31" t="str">
        <f t="shared" si="220"/>
        <v>1-2.33181924820329i</v>
      </c>
      <c r="X354" s="17">
        <f t="shared" si="231"/>
        <v>2.5371994415676817</v>
      </c>
      <c r="Y354" s="17">
        <f t="shared" si="232"/>
        <v>-1.1656694674019852</v>
      </c>
      <c r="Z354" s="31" t="str">
        <f t="shared" si="221"/>
        <v>0.790077015900089+14.197215387156i</v>
      </c>
      <c r="AA354" s="17">
        <f t="shared" si="233"/>
        <v>14.219182340780101</v>
      </c>
      <c r="AB354" s="17">
        <f t="shared" si="234"/>
        <v>1.5152035291901533</v>
      </c>
      <c r="AC354" s="66" t="str">
        <f t="shared" si="235"/>
        <v>-0.607429026795614+1.2148681366892i</v>
      </c>
      <c r="AD354" s="64">
        <f t="shared" si="236"/>
        <v>2.6596685444755099</v>
      </c>
      <c r="AE354" s="61">
        <f t="shared" si="237"/>
        <v>116.56486096057637</v>
      </c>
      <c r="AF354" s="31" t="str">
        <f t="shared" si="222"/>
        <v>-10.0808080808081</v>
      </c>
      <c r="AG354" s="31" t="str">
        <f t="shared" si="238"/>
        <v>143939.459765635i</v>
      </c>
      <c r="AH354" s="31">
        <f t="shared" si="239"/>
        <v>143939.45976563499</v>
      </c>
      <c r="AI354" s="31">
        <f t="shared" si="240"/>
        <v>1.5707963267948966</v>
      </c>
      <c r="AJ354" s="31" t="str">
        <f t="shared" si="223"/>
        <v>-395.306162476546+193.272838387329i</v>
      </c>
      <c r="AK354" s="31">
        <f t="shared" si="241"/>
        <v>440.02426313810008</v>
      </c>
      <c r="AL354" s="31">
        <f t="shared" si="242"/>
        <v>2.6868487810480675</v>
      </c>
      <c r="AM354" s="31" t="str">
        <f t="shared" si="224"/>
        <v>1+142667.265244443i</v>
      </c>
      <c r="AN354" s="31">
        <f t="shared" si="243"/>
        <v>142667.26524794765</v>
      </c>
      <c r="AO354" s="31">
        <f t="shared" si="244"/>
        <v>1.5707893174785108</v>
      </c>
      <c r="AP354" s="31" t="str">
        <f t="shared" si="225"/>
        <v>1+167.200076463762i</v>
      </c>
      <c r="AQ354" s="31">
        <f t="shared" si="245"/>
        <v>167.2030668662745</v>
      </c>
      <c r="AR354" s="31">
        <f t="shared" si="246"/>
        <v>1.5648155395976104</v>
      </c>
      <c r="AS354" s="58" t="str">
        <f t="shared" si="247"/>
        <v>-1.64718408083588+3.42078816215268i</v>
      </c>
      <c r="AT354" s="49">
        <f t="shared" si="248"/>
        <v>11.588148590203042</v>
      </c>
      <c r="AU354" s="61">
        <f t="shared" si="249"/>
        <v>115.71182918725931</v>
      </c>
      <c r="AV354" s="58" t="str">
        <f t="shared" si="226"/>
        <v>-3.15525911738753-4.07899747927956i</v>
      </c>
      <c r="AW354" s="64">
        <f t="shared" si="250"/>
        <v>14.247817134678552</v>
      </c>
      <c r="AX354" s="61">
        <f t="shared" si="251"/>
        <v>-127.72330985216426</v>
      </c>
    </row>
    <row r="355" spans="14:50" x14ac:dyDescent="0.4">
      <c r="N355" s="10">
        <v>37</v>
      </c>
      <c r="O355" s="50">
        <f t="shared" si="216"/>
        <v>23442.288153199243</v>
      </c>
      <c r="P355" s="48" t="str">
        <f t="shared" si="217"/>
        <v>5120.19230769231</v>
      </c>
      <c r="Q355" s="17" t="str">
        <f t="shared" si="218"/>
        <v>1+688.307969986097i</v>
      </c>
      <c r="R355" s="17">
        <f t="shared" si="227"/>
        <v>688.30869640473213</v>
      </c>
      <c r="S355" s="17">
        <f t="shared" si="228"/>
        <v>1.5693434897800329</v>
      </c>
      <c r="T355" s="17" t="str">
        <f t="shared" si="219"/>
        <v>1+0.00147144948250361i</v>
      </c>
      <c r="U355" s="17">
        <f t="shared" si="229"/>
        <v>1.0000010825812038</v>
      </c>
      <c r="V355" s="17">
        <f t="shared" si="230"/>
        <v>1.4714484205287134E-3</v>
      </c>
      <c r="W355" s="31" t="str">
        <f t="shared" si="220"/>
        <v>1-2.3861342959518i</v>
      </c>
      <c r="X355" s="17">
        <f t="shared" si="231"/>
        <v>2.5872063849483276</v>
      </c>
      <c r="Y355" s="17">
        <f t="shared" si="232"/>
        <v>-1.1739439231933098</v>
      </c>
      <c r="Z355" s="31" t="str">
        <f t="shared" si="221"/>
        <v>0.780183650456948+14.5279110155773i</v>
      </c>
      <c r="AA355" s="17">
        <f t="shared" si="233"/>
        <v>14.548844799673017</v>
      </c>
      <c r="AB355" s="17">
        <f t="shared" si="234"/>
        <v>1.5171454652330956</v>
      </c>
      <c r="AC355" s="66" t="str">
        <f t="shared" si="235"/>
        <v>-0.5794674442115+1.18916479945297i</v>
      </c>
      <c r="AD355" s="64">
        <f t="shared" si="236"/>
        <v>2.4301209922748401</v>
      </c>
      <c r="AE355" s="61">
        <f t="shared" si="237"/>
        <v>115.9794849642647</v>
      </c>
      <c r="AF355" s="31" t="str">
        <f t="shared" si="222"/>
        <v>-10.0808080808081</v>
      </c>
      <c r="AG355" s="31" t="str">
        <f t="shared" si="238"/>
        <v>147292.240490852i</v>
      </c>
      <c r="AH355" s="31">
        <f t="shared" si="239"/>
        <v>147292.24049085201</v>
      </c>
      <c r="AI355" s="31">
        <f t="shared" si="240"/>
        <v>1.5707963267948966</v>
      </c>
      <c r="AJ355" s="31" t="str">
        <f t="shared" si="223"/>
        <v>-413.983496497689+197.774741119965i</v>
      </c>
      <c r="AK355" s="31">
        <f t="shared" si="241"/>
        <v>458.79972057262762</v>
      </c>
      <c r="AL355" s="31">
        <f t="shared" si="242"/>
        <v>2.6959145094916575</v>
      </c>
      <c r="AM355" s="31" t="str">
        <f t="shared" si="224"/>
        <v>1+145990.412752498i</v>
      </c>
      <c r="AN355" s="31">
        <f t="shared" si="243"/>
        <v>145990.41275592288</v>
      </c>
      <c r="AO355" s="31">
        <f t="shared" si="244"/>
        <v>1.570789477030031</v>
      </c>
      <c r="AP355" s="31" t="str">
        <f t="shared" si="225"/>
        <v>1+171.094666554174i</v>
      </c>
      <c r="AQ355" s="31">
        <f t="shared" si="245"/>
        <v>171.09758888799101</v>
      </c>
      <c r="AR355" s="31">
        <f t="shared" si="246"/>
        <v>1.5649516757986657</v>
      </c>
      <c r="AS355" s="58" t="str">
        <f t="shared" si="247"/>
        <v>-1.58653071128162+3.37151724792905i</v>
      </c>
      <c r="AT355" s="49">
        <f t="shared" si="248"/>
        <v>11.425211190838141</v>
      </c>
      <c r="AU355" s="61">
        <f t="shared" si="249"/>
        <v>115.20021038061807</v>
      </c>
      <c r="AV355" s="58" t="str">
        <f t="shared" si="226"/>
        <v>-3.08994673555636-3.84033095787962i</v>
      </c>
      <c r="AW355" s="64">
        <f t="shared" si="250"/>
        <v>13.855332183112969</v>
      </c>
      <c r="AX355" s="61">
        <f t="shared" si="251"/>
        <v>-128.82030465511721</v>
      </c>
    </row>
    <row r="356" spans="14:50" x14ac:dyDescent="0.4">
      <c r="N356" s="10">
        <v>38</v>
      </c>
      <c r="O356" s="50">
        <f t="shared" si="216"/>
        <v>23988.329190194923</v>
      </c>
      <c r="P356" s="48" t="str">
        <f t="shared" si="217"/>
        <v>5120.19230769231</v>
      </c>
      <c r="Q356" s="17" t="str">
        <f t="shared" si="218"/>
        <v>1+704.340722217763i</v>
      </c>
      <c r="R356" s="17">
        <f t="shared" si="227"/>
        <v>704.34143210110813</v>
      </c>
      <c r="S356" s="17">
        <f t="shared" si="228"/>
        <v>1.569376560343031</v>
      </c>
      <c r="T356" s="17" t="str">
        <f t="shared" si="219"/>
        <v>1+0.00150572394394109i</v>
      </c>
      <c r="U356" s="17">
        <f t="shared" si="229"/>
        <v>1.0000011336016552</v>
      </c>
      <c r="V356" s="17">
        <f t="shared" si="230"/>
        <v>1.5057228060145562E-3</v>
      </c>
      <c r="W356" s="31" t="str">
        <f t="shared" si="220"/>
        <v>1-2.44171450368824i</v>
      </c>
      <c r="X356" s="17">
        <f t="shared" si="231"/>
        <v>2.6385544749960177</v>
      </c>
      <c r="Y356" s="17">
        <f t="shared" si="232"/>
        <v>-1.1820858618256889</v>
      </c>
      <c r="Z356" s="31" t="str">
        <f t="shared" si="221"/>
        <v>0.769824025065136+14.8663095347186i</v>
      </c>
      <c r="AA356" s="17">
        <f t="shared" si="233"/>
        <v>14.886228139177254</v>
      </c>
      <c r="AB356" s="17">
        <f t="shared" si="234"/>
        <v>1.5190594087801246</v>
      </c>
      <c r="AC356" s="66" t="str">
        <f t="shared" si="235"/>
        <v>-0.552752510497557+1.16391612242653i</v>
      </c>
      <c r="AD356" s="64">
        <f t="shared" si="236"/>
        <v>2.2016984710148217</v>
      </c>
      <c r="AE356" s="61">
        <f t="shared" si="237"/>
        <v>115.40339433005164</v>
      </c>
      <c r="AF356" s="31" t="str">
        <f t="shared" si="222"/>
        <v>-10.0808080808081</v>
      </c>
      <c r="AG356" s="31" t="str">
        <f t="shared" si="238"/>
        <v>150723.11751162i</v>
      </c>
      <c r="AH356" s="31">
        <f t="shared" si="239"/>
        <v>150723.11751161999</v>
      </c>
      <c r="AI356" s="31">
        <f t="shared" si="240"/>
        <v>1.5707963267948966</v>
      </c>
      <c r="AJ356" s="31" t="str">
        <f t="shared" si="223"/>
        <v>-433.541066152708+202.3815066382i</v>
      </c>
      <c r="AK356" s="31">
        <f t="shared" si="241"/>
        <v>478.45180558753719</v>
      </c>
      <c r="AL356" s="31">
        <f t="shared" si="242"/>
        <v>2.7048474178034816</v>
      </c>
      <c r="AM356" s="31" t="str">
        <f t="shared" si="224"/>
        <v>1+149390.966309806i</v>
      </c>
      <c r="AN356" s="31">
        <f t="shared" si="243"/>
        <v>149390.96631315295</v>
      </c>
      <c r="AO356" s="31">
        <f t="shared" si="244"/>
        <v>1.5707896329497151</v>
      </c>
      <c r="AP356" s="31" t="str">
        <f t="shared" si="225"/>
        <v>1+175.079973301498i</v>
      </c>
      <c r="AQ356" s="31">
        <f t="shared" si="245"/>
        <v>175.08282911597371</v>
      </c>
      <c r="AR356" s="31">
        <f t="shared" si="246"/>
        <v>1.5650847133707939</v>
      </c>
      <c r="AS356" s="58" t="str">
        <f t="shared" si="247"/>
        <v>-1.52762864161169+3.32191009381577i</v>
      </c>
      <c r="AT356" s="49">
        <f t="shared" si="248"/>
        <v>11.260903451022951</v>
      </c>
      <c r="AU356" s="61">
        <f t="shared" si="249"/>
        <v>114.69602386051267</v>
      </c>
      <c r="AV356" s="58" t="str">
        <f t="shared" si="226"/>
        <v>-3.02202414868477-3.61422574905623i</v>
      </c>
      <c r="AW356" s="64">
        <f t="shared" si="250"/>
        <v>13.462601922037781</v>
      </c>
      <c r="AX356" s="61">
        <f t="shared" si="251"/>
        <v>-129.90058180943569</v>
      </c>
    </row>
    <row r="357" spans="14:50" x14ac:dyDescent="0.4">
      <c r="N357" s="10">
        <v>39</v>
      </c>
      <c r="O357" s="50">
        <f t="shared" si="216"/>
        <v>24547.089156850321</v>
      </c>
      <c r="P357" s="48" t="str">
        <f t="shared" si="217"/>
        <v>5120.19230769231</v>
      </c>
      <c r="Q357" s="17" t="str">
        <f t="shared" si="218"/>
        <v>1+720.7469252234i</v>
      </c>
      <c r="R357" s="17">
        <f t="shared" si="227"/>
        <v>720.74761894784319</v>
      </c>
      <c r="S357" s="17">
        <f t="shared" si="228"/>
        <v>1.5694088781311113</v>
      </c>
      <c r="T357" s="17" t="str">
        <f t="shared" si="219"/>
        <v>1+0.00154079676014425i</v>
      </c>
      <c r="U357" s="17">
        <f t="shared" si="229"/>
        <v>1.0000011870266234</v>
      </c>
      <c r="V357" s="17">
        <f t="shared" si="230"/>
        <v>1.5407955408340793E-3</v>
      </c>
      <c r="W357" s="31" t="str">
        <f t="shared" si="220"/>
        <v>1-2.49858934077445i</v>
      </c>
      <c r="X357" s="17">
        <f t="shared" si="231"/>
        <v>2.6912726903514814</v>
      </c>
      <c r="Y357" s="17">
        <f t="shared" si="232"/>
        <v>-1.1900952813053474</v>
      </c>
      <c r="Z357" s="31" t="str">
        <f t="shared" si="221"/>
        <v>0.758976165570257+15.212590367954i</v>
      </c>
      <c r="AA357" s="17">
        <f t="shared" si="233"/>
        <v>15.231511760920863</v>
      </c>
      <c r="AB357" s="17">
        <f t="shared" si="234"/>
        <v>1.5209463438183566</v>
      </c>
      <c r="AC357" s="66" t="str">
        <f t="shared" si="235"/>
        <v>-0.527229153356237+1.13912035087043i</v>
      </c>
      <c r="AD357" s="64">
        <f t="shared" si="236"/>
        <v>1.9743653252871094</v>
      </c>
      <c r="AE357" s="61">
        <f t="shared" si="237"/>
        <v>114.8365328304323</v>
      </c>
      <c r="AF357" s="31" t="str">
        <f t="shared" si="222"/>
        <v>-10.0808080808081</v>
      </c>
      <c r="AG357" s="31" t="str">
        <f t="shared" si="238"/>
        <v>154233.909924349i</v>
      </c>
      <c r="AH357" s="31">
        <f t="shared" si="239"/>
        <v>154233.90992434899</v>
      </c>
      <c r="AI357" s="31">
        <f t="shared" si="240"/>
        <v>1.5707963267948966</v>
      </c>
      <c r="AJ357" s="31" t="str">
        <f t="shared" si="223"/>
        <v>-454.020355668973+207.095577510091i</v>
      </c>
      <c r="AK357" s="31">
        <f t="shared" si="241"/>
        <v>499.02210530799027</v>
      </c>
      <c r="AL357" s="31">
        <f t="shared" si="242"/>
        <v>2.7136467586705901</v>
      </c>
      <c r="AM357" s="31" t="str">
        <f t="shared" si="224"/>
        <v>1+152870.728934874i</v>
      </c>
      <c r="AN357" s="31">
        <f t="shared" si="243"/>
        <v>152870.72893814472</v>
      </c>
      <c r="AO357" s="31">
        <f t="shared" si="244"/>
        <v>1.5707897853202339</v>
      </c>
      <c r="AP357" s="31" t="str">
        <f t="shared" si="225"/>
        <v>1+179.158109768124i</v>
      </c>
      <c r="AQ357" s="31">
        <f t="shared" si="245"/>
        <v>179.16090057735019</v>
      </c>
      <c r="AR357" s="31">
        <f t="shared" si="246"/>
        <v>1.5652147228334288</v>
      </c>
      <c r="AS357" s="58" t="str">
        <f t="shared" si="247"/>
        <v>-1.47046286570938+3.27203265838792i</v>
      </c>
      <c r="AT357" s="49">
        <f t="shared" si="248"/>
        <v>11.095265349837987</v>
      </c>
      <c r="AU357" s="61">
        <f t="shared" si="249"/>
        <v>114.19931649002373</v>
      </c>
      <c r="AV357" s="58" t="str">
        <f t="shared" si="226"/>
        <v>-2.95196809815261-3.40014518376463i</v>
      </c>
      <c r="AW357" s="64">
        <f t="shared" si="250"/>
        <v>13.069630675125101</v>
      </c>
      <c r="AX357" s="61">
        <f t="shared" si="251"/>
        <v>-130.96415067954393</v>
      </c>
    </row>
    <row r="358" spans="14:50" x14ac:dyDescent="0.4">
      <c r="N358" s="10">
        <v>40</v>
      </c>
      <c r="O358" s="50">
        <f t="shared" si="216"/>
        <v>25118.86431509586</v>
      </c>
      <c r="P358" s="48" t="str">
        <f t="shared" si="217"/>
        <v>5120.19230769231</v>
      </c>
      <c r="Q358" s="17" t="str">
        <f t="shared" si="218"/>
        <v>1+737.535277789009i</v>
      </c>
      <c r="R358" s="17">
        <f t="shared" si="227"/>
        <v>737.53595572237066</v>
      </c>
      <c r="S358" s="17">
        <f t="shared" si="228"/>
        <v>1.5694404602793228</v>
      </c>
      <c r="T358" s="17" t="str">
        <f t="shared" si="219"/>
        <v>1+0.00157668652718451i</v>
      </c>
      <c r="U358" s="17">
        <f t="shared" si="229"/>
        <v>1.00000124296943</v>
      </c>
      <c r="V358" s="17">
        <f t="shared" si="230"/>
        <v>1.5766852206702106E-3</v>
      </c>
      <c r="W358" s="31" t="str">
        <f t="shared" si="220"/>
        <v>1-2.5567889630019i</v>
      </c>
      <c r="X358" s="17">
        <f t="shared" si="231"/>
        <v>2.7453906463977638</v>
      </c>
      <c r="Y358" s="17">
        <f t="shared" si="232"/>
        <v>-1.1979723168048761</v>
      </c>
      <c r="Z358" s="31" t="str">
        <f t="shared" si="221"/>
        <v>0.747617062207921+15.5669371179651i</v>
      </c>
      <c r="AA358" s="17">
        <f t="shared" si="233"/>
        <v>15.584879290722272</v>
      </c>
      <c r="AB358" s="17">
        <f t="shared" si="234"/>
        <v>1.5228072420048384</v>
      </c>
      <c r="AC358" s="66" t="str">
        <f t="shared" si="235"/>
        <v>-0.502844688969559+1.11477520509522i</v>
      </c>
      <c r="AD358" s="64">
        <f t="shared" si="236"/>
        <v>1.7480864382462105</v>
      </c>
      <c r="AE358" s="61">
        <f t="shared" si="237"/>
        <v>114.27883713242771</v>
      </c>
      <c r="AF358" s="31" t="str">
        <f t="shared" si="222"/>
        <v>-10.0808080808081</v>
      </c>
      <c r="AG358" s="31" t="str">
        <f t="shared" si="238"/>
        <v>157826.479197648i</v>
      </c>
      <c r="AH358" s="31">
        <f t="shared" si="239"/>
        <v>157826.479197648</v>
      </c>
      <c r="AI358" s="31">
        <f t="shared" si="240"/>
        <v>1.5707963267948966</v>
      </c>
      <c r="AJ358" s="31" t="str">
        <f t="shared" si="223"/>
        <v>-475.464804365259+211.919453198412i</v>
      </c>
      <c r="AK358" s="31">
        <f t="shared" si="241"/>
        <v>520.55416128776449</v>
      </c>
      <c r="AL358" s="31">
        <f t="shared" si="242"/>
        <v>2.7223119545761079</v>
      </c>
      <c r="AM358" s="31" t="str">
        <f t="shared" si="224"/>
        <v>1+156431.545643908i</v>
      </c>
      <c r="AN358" s="31">
        <f t="shared" si="243"/>
        <v>156431.5456471043</v>
      </c>
      <c r="AO358" s="31">
        <f t="shared" si="244"/>
        <v>1.5707899342223763</v>
      </c>
      <c r="AP358" s="31" t="str">
        <f t="shared" si="225"/>
        <v>1+183.331238235988i</v>
      </c>
      <c r="AQ358" s="31">
        <f t="shared" si="245"/>
        <v>183.33396551959646</v>
      </c>
      <c r="AR358" s="31">
        <f t="shared" si="246"/>
        <v>1.5653417731017187</v>
      </c>
      <c r="AS358" s="58" t="str">
        <f t="shared" si="247"/>
        <v>-1.41501567674145+3.22194853442599i</v>
      </c>
      <c r="AT358" s="49">
        <f t="shared" si="248"/>
        <v>10.928336491179724</v>
      </c>
      <c r="AU358" s="61">
        <f t="shared" si="249"/>
        <v>113.71012531160693</v>
      </c>
      <c r="AV358" s="58" t="str">
        <f t="shared" si="226"/>
        <v>-2.88021522041287-3.19756409992176i</v>
      </c>
      <c r="AW358" s="64">
        <f t="shared" si="250"/>
        <v>12.676422929425925</v>
      </c>
      <c r="AX358" s="61">
        <f t="shared" si="251"/>
        <v>-132.01103755596537</v>
      </c>
    </row>
    <row r="359" spans="14:50" x14ac:dyDescent="0.4">
      <c r="N359" s="10">
        <v>41</v>
      </c>
      <c r="O359" s="50">
        <f t="shared" si="216"/>
        <v>25703.95782768865</v>
      </c>
      <c r="P359" s="48" t="str">
        <f t="shared" si="217"/>
        <v>5120.19230769231</v>
      </c>
      <c r="Q359" s="17" t="str">
        <f t="shared" si="218"/>
        <v>1+754.714681321331i</v>
      </c>
      <c r="R359" s="17">
        <f t="shared" si="227"/>
        <v>754.71534382305902</v>
      </c>
      <c r="S359" s="17">
        <f t="shared" si="228"/>
        <v>1.5694713235326865</v>
      </c>
      <c r="T359" s="17" t="str">
        <f t="shared" si="219"/>
        <v>1+0.00161341227429138i</v>
      </c>
      <c r="U359" s="17">
        <f t="shared" si="229"/>
        <v>1.0000013015487363</v>
      </c>
      <c r="V359" s="17">
        <f t="shared" si="230"/>
        <v>1.6134108743361842E-3</v>
      </c>
      <c r="W359" s="31" t="str">
        <f t="shared" si="220"/>
        <v>1-2.61634422858061i</v>
      </c>
      <c r="X359" s="17">
        <f t="shared" si="231"/>
        <v>2.8009386145410375</v>
      </c>
      <c r="Y359" s="17">
        <f t="shared" si="232"/>
        <v>-1.205717233785444</v>
      </c>
      <c r="Z359" s="31" t="str">
        <f t="shared" si="221"/>
        <v>0.735722620796961+15.9295376640888i</v>
      </c>
      <c r="AA359" s="17">
        <f t="shared" si="233"/>
        <v>15.946518678582359</v>
      </c>
      <c r="AB359" s="17">
        <f t="shared" si="234"/>
        <v>1.5246430630473422</v>
      </c>
      <c r="AC359" s="66" t="str">
        <f t="shared" si="235"/>
        <v>-0.479548722326244+1.09087792909882i</v>
      </c>
      <c r="AD359" s="64">
        <f t="shared" si="236"/>
        <v>1.5228272704722621</v>
      </c>
      <c r="AE359" s="61">
        <f t="shared" si="237"/>
        <v>113.73023716988045</v>
      </c>
      <c r="AF359" s="31" t="str">
        <f t="shared" si="222"/>
        <v>-10.0808080808081</v>
      </c>
      <c r="AG359" s="31" t="str">
        <f t="shared" si="238"/>
        <v>161502.730159297i</v>
      </c>
      <c r="AH359" s="31">
        <f t="shared" si="239"/>
        <v>161502.730159297</v>
      </c>
      <c r="AI359" s="31">
        <f t="shared" si="240"/>
        <v>1.5707963267948966</v>
      </c>
      <c r="AJ359" s="31" t="str">
        <f t="shared" si="223"/>
        <v>-497.919898792348+216.855691385904i</v>
      </c>
      <c r="AK359" s="31">
        <f t="shared" si="241"/>
        <v>543.0935614604914</v>
      </c>
      <c r="AL359" s="31">
        <f t="shared" si="242"/>
        <v>2.7308425914721082</v>
      </c>
      <c r="AM359" s="31" t="str">
        <f t="shared" si="224"/>
        <v>1+160075.304429058i</v>
      </c>
      <c r="AN359" s="31">
        <f t="shared" si="243"/>
        <v>160075.3044321815</v>
      </c>
      <c r="AO359" s="31">
        <f t="shared" si="244"/>
        <v>1.5707900797350922</v>
      </c>
      <c r="AP359" s="31" t="str">
        <f t="shared" si="225"/>
        <v>1+187.60157135304i</v>
      </c>
      <c r="AQ359" s="31">
        <f t="shared" si="245"/>
        <v>187.60423655698651</v>
      </c>
      <c r="AR359" s="31">
        <f t="shared" si="246"/>
        <v>1.5654659315229813</v>
      </c>
      <c r="AS359" s="58" t="str">
        <f t="shared" si="247"/>
        <v>-1.36126688259942+3.17171886866752i</v>
      </c>
      <c r="AT359" s="49">
        <f t="shared" si="248"/>
        <v>10.760156044306601</v>
      </c>
      <c r="AU359" s="61">
        <f t="shared" si="249"/>
        <v>113.22847791170132</v>
      </c>
      <c r="AV359" s="58" t="str">
        <f t="shared" si="226"/>
        <v>-2.8071643168401-3.00596972888841i</v>
      </c>
      <c r="AW359" s="64">
        <f t="shared" si="250"/>
        <v>12.282983314778868</v>
      </c>
      <c r="AX359" s="61">
        <f t="shared" si="251"/>
        <v>-133.04128491841828</v>
      </c>
    </row>
    <row r="360" spans="14:50" x14ac:dyDescent="0.4">
      <c r="N360" s="10">
        <v>42</v>
      </c>
      <c r="O360" s="50">
        <f t="shared" si="216"/>
        <v>26302.679918953829</v>
      </c>
      <c r="P360" s="48" t="str">
        <f t="shared" si="217"/>
        <v>5120.19230769231</v>
      </c>
      <c r="Q360" s="17" t="str">
        <f t="shared" si="218"/>
        <v>1+772.294244567519i</v>
      </c>
      <c r="R360" s="17">
        <f t="shared" si="227"/>
        <v>772.29489198887939</v>
      </c>
      <c r="S360" s="17">
        <f t="shared" si="228"/>
        <v>1.5695014842550723</v>
      </c>
      <c r="T360" s="17" t="str">
        <f t="shared" si="219"/>
        <v>1+0.00165099347394212i</v>
      </c>
      <c r="U360" s="17">
        <f t="shared" si="229"/>
        <v>1.0000013628887967</v>
      </c>
      <c r="V360" s="17">
        <f t="shared" si="230"/>
        <v>1.6509919738632117E-3</v>
      </c>
      <c r="W360" s="31" t="str">
        <f t="shared" si="220"/>
        <v>1-2.67728671450073i</v>
      </c>
      <c r="X360" s="17">
        <f t="shared" si="231"/>
        <v>2.8579475417932558</v>
      </c>
      <c r="Y360" s="17">
        <f t="shared" si="232"/>
        <v>-1.2133304211320832</v>
      </c>
      <c r="Z360" s="31" t="str">
        <f t="shared" si="221"/>
        <v>0.723267611632425+16.3005842619344i</v>
      </c>
      <c r="AA360" s="17">
        <f t="shared" si="233"/>
        <v>16.316622301152282</v>
      </c>
      <c r="AB360" s="17">
        <f t="shared" si="234"/>
        <v>1.5264547550873422</v>
      </c>
      <c r="AC360" s="66" t="str">
        <f t="shared" si="235"/>
        <v>-0.457293051360925+1.06742533575551i</v>
      </c>
      <c r="AD360" s="64">
        <f t="shared" si="236"/>
        <v>1.2985538943803632</v>
      </c>
      <c r="AE360" s="61">
        <f t="shared" si="237"/>
        <v>113.19065651489863</v>
      </c>
      <c r="AF360" s="31" t="str">
        <f t="shared" si="222"/>
        <v>-10.0808080808081</v>
      </c>
      <c r="AG360" s="31" t="str">
        <f t="shared" si="238"/>
        <v>165264.612006218i</v>
      </c>
      <c r="AH360" s="31">
        <f t="shared" si="239"/>
        <v>165264.612006218</v>
      </c>
      <c r="AI360" s="31">
        <f t="shared" si="240"/>
        <v>1.5707963267948966</v>
      </c>
      <c r="AJ360" s="31" t="str">
        <f t="shared" si="223"/>
        <v>-521.433269216132+221.906909331393i</v>
      </c>
      <c r="AK360" s="31">
        <f t="shared" si="241"/>
        <v>566.6880364490097</v>
      </c>
      <c r="AL360" s="31">
        <f t="shared" si="242"/>
        <v>2.739238412263477</v>
      </c>
      <c r="AM360" s="31" t="str">
        <f t="shared" si="224"/>
        <v>1+163803.937259463i</v>
      </c>
      <c r="AN360" s="31">
        <f t="shared" si="243"/>
        <v>163803.93726251545</v>
      </c>
      <c r="AO360" s="31">
        <f t="shared" si="244"/>
        <v>1.5707902219355341</v>
      </c>
      <c r="AP360" s="31" t="str">
        <f t="shared" si="225"/>
        <v>1+191.971373306423i</v>
      </c>
      <c r="AQ360" s="31">
        <f t="shared" si="245"/>
        <v>191.97397784375366</v>
      </c>
      <c r="AR360" s="31">
        <f t="shared" si="246"/>
        <v>1.5655872639123347</v>
      </c>
      <c r="AS360" s="58" t="str">
        <f t="shared" si="247"/>
        <v>-1.30919401876541+3.12140229911443i</v>
      </c>
      <c r="AT360" s="49">
        <f t="shared" si="248"/>
        <v>10.590762689297664</v>
      </c>
      <c r="AU360" s="61">
        <f t="shared" si="249"/>
        <v>112.75439279612108</v>
      </c>
      <c r="AV360" s="58" t="str">
        <f t="shared" si="226"/>
        <v>-2.73317856949553-2.82486244693682i</v>
      </c>
      <c r="AW360" s="64">
        <f t="shared" si="250"/>
        <v>11.889316583678022</v>
      </c>
      <c r="AX360" s="61">
        <f t="shared" si="251"/>
        <v>-134.0549506889802</v>
      </c>
    </row>
    <row r="361" spans="14:50" x14ac:dyDescent="0.4">
      <c r="N361" s="10">
        <v>43</v>
      </c>
      <c r="O361" s="50">
        <f t="shared" si="216"/>
        <v>26915.348039269167</v>
      </c>
      <c r="P361" s="48" t="str">
        <f t="shared" si="217"/>
        <v>5120.19230769231</v>
      </c>
      <c r="Q361" s="17" t="str">
        <f t="shared" si="218"/>
        <v>1+790.283288444703i</v>
      </c>
      <c r="R361" s="17">
        <f t="shared" si="227"/>
        <v>790.28392112896586</v>
      </c>
      <c r="S361" s="17">
        <f t="shared" si="228"/>
        <v>1.5695309584378749</v>
      </c>
      <c r="T361" s="17" t="str">
        <f t="shared" si="219"/>
        <v>1+0.00168945005218623i</v>
      </c>
      <c r="U361" s="17">
        <f t="shared" si="229"/>
        <v>1.0000014271197211</v>
      </c>
      <c r="V361" s="17">
        <f t="shared" si="230"/>
        <v>1.6894484448228442E-3</v>
      </c>
      <c r="W361" s="31" t="str">
        <f t="shared" si="220"/>
        <v>1-2.73964873327497i</v>
      </c>
      <c r="X361" s="17">
        <f t="shared" si="231"/>
        <v>2.9164490706568404</v>
      </c>
      <c r="Y361" s="17">
        <f t="shared" si="232"/>
        <v>-1.2208123843325325</v>
      </c>
      <c r="Z361" s="31" t="str">
        <f t="shared" si="221"/>
        <v>0.710225615970003+16.6802736453195i</v>
      </c>
      <c r="AA361" s="17">
        <f t="shared" si="233"/>
        <v>16.695387066741525</v>
      </c>
      <c r="AB361" s="17">
        <f t="shared" si="234"/>
        <v>1.5282432550848088</v>
      </c>
      <c r="AC361" s="66" t="str">
        <f t="shared" si="235"/>
        <v>-0.436031574791388+1.04441384877946i</v>
      </c>
      <c r="AD361" s="64">
        <f t="shared" si="236"/>
        <v>1.0752330243567378</v>
      </c>
      <c r="AE361" s="61">
        <f t="shared" si="237"/>
        <v>112.66001274672863</v>
      </c>
      <c r="AF361" s="31" t="str">
        <f t="shared" si="222"/>
        <v>-10.0808080808081</v>
      </c>
      <c r="AG361" s="31" t="str">
        <f t="shared" si="238"/>
        <v>169114.119337961i</v>
      </c>
      <c r="AH361" s="31">
        <f t="shared" si="239"/>
        <v>169114.11933796099</v>
      </c>
      <c r="AI361" s="31">
        <f t="shared" si="240"/>
        <v>1.5707963267948966</v>
      </c>
      <c r="AJ361" s="31" t="str">
        <f t="shared" si="223"/>
        <v>-546.054790647774+227.075785257496i</v>
      </c>
      <c r="AK361" s="31">
        <f t="shared" si="241"/>
        <v>591.38756043705609</v>
      </c>
      <c r="AL361" s="31">
        <f t="shared" si="242"/>
        <v>2.7474993101477585</v>
      </c>
      <c r="AM361" s="31" t="str">
        <f t="shared" si="224"/>
        <v>1+167619.421105605i</v>
      </c>
      <c r="AN361" s="31">
        <f t="shared" si="243"/>
        <v>167619.42110858794</v>
      </c>
      <c r="AO361" s="31">
        <f t="shared" si="244"/>
        <v>1.570790360899099</v>
      </c>
      <c r="AP361" s="31" t="str">
        <f t="shared" si="225"/>
        <v>1+196.442961022976i</v>
      </c>
      <c r="AQ361" s="31">
        <f t="shared" si="245"/>
        <v>196.44550627457596</v>
      </c>
      <c r="AR361" s="31">
        <f t="shared" si="246"/>
        <v>1.5657058345875201</v>
      </c>
      <c r="AS361" s="58" t="str">
        <f t="shared" si="247"/>
        <v>-1.25877255735389+3.0710549089221i</v>
      </c>
      <c r="AT361" s="49">
        <f t="shared" si="248"/>
        <v>10.420194567350961</v>
      </c>
      <c r="AU361" s="61">
        <f t="shared" si="249"/>
        <v>112.28787977365114</v>
      </c>
      <c r="AV361" s="58" t="str">
        <f t="shared" si="226"/>
        <v>-2.65858769675319-2.65375639957207i</v>
      </c>
      <c r="AW361" s="64">
        <f t="shared" si="250"/>
        <v>11.495427591707713</v>
      </c>
      <c r="AX361" s="61">
        <f t="shared" si="251"/>
        <v>-135.05210747962022</v>
      </c>
    </row>
    <row r="362" spans="14:50" x14ac:dyDescent="0.4">
      <c r="N362" s="10">
        <v>44</v>
      </c>
      <c r="O362" s="50">
        <f t="shared" si="216"/>
        <v>27542.287033381719</v>
      </c>
      <c r="P362" s="48" t="str">
        <f t="shared" si="217"/>
        <v>5120.19230769231</v>
      </c>
      <c r="Q362" s="17" t="str">
        <f t="shared" si="218"/>
        <v>1+808.691350982056i</v>
      </c>
      <c r="R362" s="17">
        <f t="shared" si="227"/>
        <v>808.69196926467794</v>
      </c>
      <c r="S362" s="17">
        <f t="shared" si="228"/>
        <v>1.5695597617084915</v>
      </c>
      <c r="T362" s="17" t="str">
        <f t="shared" si="219"/>
        <v>1+0.00172880239921053i</v>
      </c>
      <c r="U362" s="17">
        <f t="shared" si="229"/>
        <v>1.0000014943777511</v>
      </c>
      <c r="V362" s="17">
        <f t="shared" si="230"/>
        <v>1.7288006768897708E-3</v>
      </c>
      <c r="W362" s="31" t="str">
        <f t="shared" si="220"/>
        <v>1-2.80346335007113i</v>
      </c>
      <c r="X362" s="17">
        <f t="shared" si="231"/>
        <v>2.9764755593137404</v>
      </c>
      <c r="Y362" s="17">
        <f t="shared" si="232"/>
        <v>-1.2281637387273332</v>
      </c>
      <c r="Z362" s="31" t="str">
        <f t="shared" si="221"/>
        <v>0.696568969988324+17.0688071305808i</v>
      </c>
      <c r="AA362" s="17">
        <f t="shared" si="233"/>
        <v>17.083014522938175</v>
      </c>
      <c r="AB362" s="17">
        <f t="shared" si="234"/>
        <v>1.5300094892044944</v>
      </c>
      <c r="AC362" s="66" t="str">
        <f t="shared" si="235"/>
        <v>-0.415720203539974+1.02183954167294i</v>
      </c>
      <c r="AD362" s="64">
        <f t="shared" si="236"/>
        <v>0.85283204281698533</v>
      </c>
      <c r="AE362" s="61">
        <f t="shared" si="237"/>
        <v>112.1382178164808</v>
      </c>
      <c r="AF362" s="31" t="str">
        <f t="shared" si="222"/>
        <v>-10.0808080808081</v>
      </c>
      <c r="AG362" s="31" t="str">
        <f t="shared" si="238"/>
        <v>173053.293214267i</v>
      </c>
      <c r="AH362" s="31">
        <f t="shared" si="239"/>
        <v>173053.293214267</v>
      </c>
      <c r="AI362" s="31">
        <f t="shared" si="240"/>
        <v>1.5707963267948966</v>
      </c>
      <c r="AJ362" s="31" t="str">
        <f t="shared" si="223"/>
        <v>-571.836688635296+232.365059770645i</v>
      </c>
      <c r="AK362" s="31">
        <f t="shared" si="241"/>
        <v>617.24445681722887</v>
      </c>
      <c r="AL362" s="31">
        <f t="shared" si="242"/>
        <v>2.7556253218534827</v>
      </c>
      <c r="AM362" s="31" t="str">
        <f t="shared" si="224"/>
        <v>1+171523.778987523i</v>
      </c>
      <c r="AN362" s="31">
        <f t="shared" si="243"/>
        <v>171523.778990438</v>
      </c>
      <c r="AO362" s="31">
        <f t="shared" si="244"/>
        <v>1.5707904966994668</v>
      </c>
      <c r="AP362" s="31" t="str">
        <f t="shared" si="225"/>
        <v>1+201.018705397693i</v>
      </c>
      <c r="AQ362" s="31">
        <f t="shared" si="245"/>
        <v>201.02119271301839</v>
      </c>
      <c r="AR362" s="31">
        <f t="shared" si="246"/>
        <v>1.5658217064029352</v>
      </c>
      <c r="AS362" s="58" t="str">
        <f t="shared" si="247"/>
        <v>-1.20997611122901+3.02073019583564i</v>
      </c>
      <c r="AT362" s="49">
        <f t="shared" si="248"/>
        <v>10.248489235819569</v>
      </c>
      <c r="AU362" s="61">
        <f t="shared" si="249"/>
        <v>111.82894034541502</v>
      </c>
      <c r="AV362" s="58" t="str">
        <f t="shared" si="226"/>
        <v>-2.58369004359167-2.4921800067856i</v>
      </c>
      <c r="AW362" s="64">
        <f t="shared" si="250"/>
        <v>11.10132127863656</v>
      </c>
      <c r="AX362" s="61">
        <f t="shared" si="251"/>
        <v>-136.03284183810413</v>
      </c>
    </row>
    <row r="363" spans="14:50" x14ac:dyDescent="0.4">
      <c r="N363" s="10">
        <v>45</v>
      </c>
      <c r="O363" s="50">
        <f t="shared" si="216"/>
        <v>28183.829312644593</v>
      </c>
      <c r="P363" s="48" t="str">
        <f t="shared" si="217"/>
        <v>5120.19230769231</v>
      </c>
      <c r="Q363" s="17" t="str">
        <f t="shared" si="218"/>
        <v>1+827.528192377993i</v>
      </c>
      <c r="R363" s="17">
        <f t="shared" si="227"/>
        <v>827.52879658679467</v>
      </c>
      <c r="S363" s="17">
        <f t="shared" si="228"/>
        <v>1.5695879093386058</v>
      </c>
      <c r="T363" s="17" t="str">
        <f t="shared" si="219"/>
        <v>1+0.00176907138015029i</v>
      </c>
      <c r="U363" s="17">
        <f t="shared" si="229"/>
        <v>1.0000015648055498</v>
      </c>
      <c r="V363" s="17">
        <f t="shared" si="230"/>
        <v>1.7690695346505025E-3</v>
      </c>
      <c r="W363" s="31" t="str">
        <f t="shared" si="220"/>
        <v>1-2.86876440024371i</v>
      </c>
      <c r="X363" s="17">
        <f t="shared" si="231"/>
        <v>3.038060102122019</v>
      </c>
      <c r="Y363" s="17">
        <f t="shared" si="232"/>
        <v>-1.235385202855964</v>
      </c>
      <c r="Z363" s="31" t="str">
        <f t="shared" si="221"/>
        <v>0.682268706110285+17.4663907233151i</v>
      </c>
      <c r="AA363" s="17">
        <f t="shared" si="233"/>
        <v>17.47971096691376</v>
      </c>
      <c r="AB363" s="17">
        <f t="shared" si="234"/>
        <v>1.531754373203422</v>
      </c>
      <c r="AC363" s="66" t="str">
        <f t="shared" si="235"/>
        <v>-0.396316775626082+0.999698173855807i</v>
      </c>
      <c r="AD363" s="64">
        <f t="shared" si="236"/>
        <v>0.63131902238511017</v>
      </c>
      <c r="AE363" s="61">
        <f t="shared" si="237"/>
        <v>111.62517840631335</v>
      </c>
      <c r="AF363" s="31" t="str">
        <f t="shared" si="222"/>
        <v>-10.0808080808081</v>
      </c>
      <c r="AG363" s="31" t="str">
        <f t="shared" si="238"/>
        <v>177084.222237266i</v>
      </c>
      <c r="AH363" s="31">
        <f t="shared" si="239"/>
        <v>177084.22223726599</v>
      </c>
      <c r="AI363" s="31">
        <f t="shared" si="240"/>
        <v>1.5707963267948966</v>
      </c>
      <c r="AJ363" s="31" t="str">
        <f t="shared" si="223"/>
        <v>-598.833650040962+237.7775373142i</v>
      </c>
      <c r="AK363" s="31">
        <f t="shared" si="241"/>
        <v>644.31350883912637</v>
      </c>
      <c r="AL363" s="31">
        <f t="shared" si="242"/>
        <v>2.7636166208165585</v>
      </c>
      <c r="AM363" s="31" t="str">
        <f t="shared" si="224"/>
        <v>1+175519.081047445i</v>
      </c>
      <c r="AN363" s="31">
        <f t="shared" si="243"/>
        <v>175519.08105029369</v>
      </c>
      <c r="AO363" s="31">
        <f t="shared" si="244"/>
        <v>1.5707906294086409</v>
      </c>
      <c r="AP363" s="31" t="str">
        <f t="shared" si="225"/>
        <v>1+205.701032550808i</v>
      </c>
      <c r="AQ363" s="31">
        <f t="shared" si="245"/>
        <v>205.70346324860108</v>
      </c>
      <c r="AR363" s="31">
        <f t="shared" si="246"/>
        <v>1.5659349407828975</v>
      </c>
      <c r="AS363" s="58" t="str">
        <f t="shared" si="247"/>
        <v>-1.16277663224403+2.97047905609788i</v>
      </c>
      <c r="AT363" s="49">
        <f t="shared" si="248"/>
        <v>10.075683627862455</v>
      </c>
      <c r="AU363" s="61">
        <f t="shared" si="249"/>
        <v>111.37756809774662</v>
      </c>
      <c r="AV363" s="58" t="str">
        <f t="shared" si="226"/>
        <v>-2.50875460219366-2.33967635743408i</v>
      </c>
      <c r="AW363" s="64">
        <f t="shared" si="250"/>
        <v>10.707002650247556</v>
      </c>
      <c r="AX363" s="61">
        <f t="shared" si="251"/>
        <v>-136.99725349594002</v>
      </c>
    </row>
    <row r="364" spans="14:50" x14ac:dyDescent="0.4">
      <c r="N364" s="10">
        <v>46</v>
      </c>
      <c r="O364" s="50">
        <f t="shared" si="216"/>
        <v>28840.315031266062</v>
      </c>
      <c r="P364" s="48" t="str">
        <f t="shared" si="217"/>
        <v>5120.19230769231</v>
      </c>
      <c r="Q364" s="17" t="str">
        <f t="shared" si="218"/>
        <v>1+846.803800175156i</v>
      </c>
      <c r="R364" s="17">
        <f t="shared" si="227"/>
        <v>846.80439063049585</v>
      </c>
      <c r="S364" s="17">
        <f t="shared" si="228"/>
        <v>1.5696154162522855</v>
      </c>
      <c r="T364" s="17" t="str">
        <f t="shared" si="219"/>
        <v>1+0.00181027834615222i</v>
      </c>
      <c r="U364" s="17">
        <f t="shared" si="229"/>
        <v>1.0000016385525028</v>
      </c>
      <c r="V364" s="17">
        <f t="shared" si="230"/>
        <v>1.8102763686637449E-3</v>
      </c>
      <c r="W364" s="31" t="str">
        <f t="shared" si="220"/>
        <v>1-2.93558650727387i</v>
      </c>
      <c r="X364" s="17">
        <f t="shared" si="231"/>
        <v>3.101236550424427</v>
      </c>
      <c r="Y364" s="17">
        <f t="shared" si="232"/>
        <v>-1.2424775919210282</v>
      </c>
      <c r="Z364" s="31" t="str">
        <f t="shared" si="221"/>
        <v>0.667294491558933+17.8732352276058i</v>
      </c>
      <c r="AA364" s="17">
        <f t="shared" si="233"/>
        <v>17.88568755848636</v>
      </c>
      <c r="AB364" s="17">
        <f t="shared" si="234"/>
        <v>1.5334788128193095</v>
      </c>
      <c r="AC364" s="66" t="str">
        <f t="shared" si="235"/>
        <v>-0.377780974417667+0.977985224161496i</v>
      </c>
      <c r="AD364" s="64">
        <f t="shared" si="236"/>
        <v>0.41066274440201278</v>
      </c>
      <c r="AE364" s="61">
        <f t="shared" si="237"/>
        <v>111.12079628181965</v>
      </c>
      <c r="AF364" s="31" t="str">
        <f t="shared" si="222"/>
        <v>-10.0808080808081</v>
      </c>
      <c r="AG364" s="31" t="str">
        <f t="shared" si="238"/>
        <v>181209.043658881i</v>
      </c>
      <c r="AH364" s="31">
        <f t="shared" si="239"/>
        <v>181209.04365888101</v>
      </c>
      <c r="AI364" s="31">
        <f t="shared" si="240"/>
        <v>1.5707963267948966</v>
      </c>
      <c r="AJ364" s="31" t="str">
        <f t="shared" si="223"/>
        <v>-627.102939039456+243.316087655396i</v>
      </c>
      <c r="AK364" s="31">
        <f t="shared" si="241"/>
        <v>672.65207549211652</v>
      </c>
      <c r="AL364" s="31">
        <f t="shared" si="242"/>
        <v>2.7714735103315471</v>
      </c>
      <c r="AM364" s="31" t="str">
        <f t="shared" si="224"/>
        <v>1+179607.445647407i</v>
      </c>
      <c r="AN364" s="31">
        <f t="shared" si="243"/>
        <v>179607.44565019084</v>
      </c>
      <c r="AO364" s="31">
        <f t="shared" si="244"/>
        <v>1.5707907590969854</v>
      </c>
      <c r="AP364" s="31" t="str">
        <f t="shared" si="225"/>
        <v>1+210.492425114156i</v>
      </c>
      <c r="AQ364" s="31">
        <f t="shared" si="245"/>
        <v>210.49480048314396</v>
      </c>
      <c r="AR364" s="31">
        <f t="shared" si="246"/>
        <v>1.5660455977541523</v>
      </c>
      <c r="AS364" s="58" t="str">
        <f t="shared" si="247"/>
        <v>-1.11714460279038+2.92034978172759i</v>
      </c>
      <c r="AT364" s="49">
        <f t="shared" si="248"/>
        <v>9.9018140165652895</v>
      </c>
      <c r="AU364" s="61">
        <f t="shared" si="249"/>
        <v>110.93374909645856</v>
      </c>
      <c r="AV364" s="58" t="str">
        <f t="shared" si="226"/>
        <v>-2.43402295930525-2.19580350096223i</v>
      </c>
      <c r="AW364" s="64">
        <f t="shared" si="250"/>
        <v>10.31247676096732</v>
      </c>
      <c r="AX364" s="61">
        <f t="shared" si="251"/>
        <v>-137.94545462172175</v>
      </c>
    </row>
    <row r="365" spans="14:50" x14ac:dyDescent="0.4">
      <c r="N365" s="10">
        <v>47</v>
      </c>
      <c r="O365" s="50">
        <f t="shared" si="216"/>
        <v>29512.092266663854</v>
      </c>
      <c r="P365" s="48" t="str">
        <f t="shared" si="217"/>
        <v>5120.19230769231</v>
      </c>
      <c r="Q365" s="17" t="str">
        <f t="shared" si="218"/>
        <v>1+866.528394555953i</v>
      </c>
      <c r="R365" s="17">
        <f t="shared" si="227"/>
        <v>866.52897157089774</v>
      </c>
      <c r="S365" s="17">
        <f t="shared" si="228"/>
        <v>1.5696422970338937</v>
      </c>
      <c r="T365" s="17" t="str">
        <f t="shared" si="219"/>
        <v>1+0.00185244514569517i</v>
      </c>
      <c r="U365" s="17">
        <f t="shared" si="229"/>
        <v>1.0000017157750369</v>
      </c>
      <c r="V365" s="17">
        <f t="shared" si="230"/>
        <v>1.8524430267782893E-3</v>
      </c>
      <c r="W365" s="31" t="str">
        <f t="shared" si="220"/>
        <v>1-3.0039651011273i</v>
      </c>
      <c r="X365" s="17">
        <f t="shared" si="231"/>
        <v>3.1660395336746423</v>
      </c>
      <c r="Y365" s="17">
        <f t="shared" si="232"/>
        <v>-1.2494418113898584</v>
      </c>
      <c r="Z365" s="31" t="str">
        <f t="shared" si="221"/>
        <v>0.651614564017566+18.2895563577946i</v>
      </c>
      <c r="AA365" s="17">
        <f t="shared" si="233"/>
        <v>18.301160436021114</v>
      </c>
      <c r="AB365" s="17">
        <f t="shared" si="234"/>
        <v>1.5351837041596981</v>
      </c>
      <c r="AC365" s="66" t="str">
        <f t="shared" si="235"/>
        <v>-0.360074250131001+0.956695921872744i</v>
      </c>
      <c r="AD365" s="64">
        <f t="shared" si="236"/>
        <v>0.19083271397160287</v>
      </c>
      <c r="AE365" s="61">
        <f t="shared" si="237"/>
        <v>110.62496863653026</v>
      </c>
      <c r="AF365" s="31" t="str">
        <f t="shared" si="222"/>
        <v>-10.0808080808081</v>
      </c>
      <c r="AG365" s="31" t="str">
        <f t="shared" si="238"/>
        <v>185429.944514031i</v>
      </c>
      <c r="AH365" s="31">
        <f t="shared" si="239"/>
        <v>185429.944514031</v>
      </c>
      <c r="AI365" s="31">
        <f t="shared" si="240"/>
        <v>1.5707963267948966</v>
      </c>
      <c r="AJ365" s="31" t="str">
        <f t="shared" si="223"/>
        <v>-656.704518582895+248.983647406936i</v>
      </c>
      <c r="AK365" s="31">
        <f t="shared" si="241"/>
        <v>702.32021286821396</v>
      </c>
      <c r="AL365" s="31">
        <f t="shared" si="242"/>
        <v>2.7791964167116112</v>
      </c>
      <c r="AM365" s="31" t="str">
        <f t="shared" si="224"/>
        <v>1+183791.040492439i</v>
      </c>
      <c r="AN365" s="31">
        <f t="shared" si="243"/>
        <v>183791.04049515945</v>
      </c>
      <c r="AO365" s="31">
        <f t="shared" si="244"/>
        <v>1.5707908858332627</v>
      </c>
      <c r="AP365" s="31" t="str">
        <f t="shared" si="225"/>
        <v>1+215.395423547499i</v>
      </c>
      <c r="AQ365" s="31">
        <f t="shared" si="245"/>
        <v>215.39774484707698</v>
      </c>
      <c r="AR365" s="31">
        <f t="shared" si="246"/>
        <v>1.5661537359776441</v>
      </c>
      <c r="AS365" s="58" t="str">
        <f t="shared" si="247"/>
        <v>-1.07304921997974+2.87038807005593i</v>
      </c>
      <c r="AT365" s="49">
        <f t="shared" si="248"/>
        <v>9.7269159833691248</v>
      </c>
      <c r="AU365" s="61">
        <f t="shared" si="249"/>
        <v>110.49746228057013</v>
      </c>
      <c r="AV365" s="58" t="str">
        <f t="shared" si="226"/>
        <v>-2.35971116757682-2.06013464463371i</v>
      </c>
      <c r="AW365" s="64">
        <f t="shared" si="250"/>
        <v>9.9177486973407252</v>
      </c>
      <c r="AX365" s="61">
        <f t="shared" si="251"/>
        <v>-138.8775690828995</v>
      </c>
    </row>
    <row r="366" spans="14:50" x14ac:dyDescent="0.4">
      <c r="N366" s="10">
        <v>48</v>
      </c>
      <c r="O366" s="50">
        <f t="shared" si="216"/>
        <v>30199.517204020212</v>
      </c>
      <c r="P366" s="48" t="str">
        <f t="shared" si="217"/>
        <v>5120.19230769231</v>
      </c>
      <c r="Q366" s="17" t="str">
        <f t="shared" si="218"/>
        <v>1+886.712433761399i</v>
      </c>
      <c r="R366" s="17">
        <f t="shared" si="227"/>
        <v>886.71299764188825</v>
      </c>
      <c r="S366" s="17">
        <f t="shared" si="228"/>
        <v>1.5696685659358209</v>
      </c>
      <c r="T366" s="17" t="str">
        <f t="shared" si="219"/>
        <v>1+0.00189559413617437i</v>
      </c>
      <c r="U366" s="17">
        <f t="shared" si="229"/>
        <v>1.0000017966369505</v>
      </c>
      <c r="V366" s="17">
        <f t="shared" si="230"/>
        <v>1.8955918657142465E-3</v>
      </c>
      <c r="W366" s="31" t="str">
        <f t="shared" si="220"/>
        <v>1-3.07393643703952i</v>
      </c>
      <c r="X366" s="17">
        <f t="shared" si="231"/>
        <v>3.2325044808877244</v>
      </c>
      <c r="Y366" s="17">
        <f t="shared" si="232"/>
        <v>-1.2562788507503093</v>
      </c>
      <c r="Z366" s="31" t="str">
        <f t="shared" si="221"/>
        <v>0.635195664257634+18.7155748528551i</v>
      </c>
      <c r="AA366" s="17">
        <f t="shared" si="233"/>
        <v>18.726350835245874</v>
      </c>
      <c r="AB366" s="17">
        <f t="shared" si="234"/>
        <v>1.5368699340915726</v>
      </c>
      <c r="AC366" s="66" t="str">
        <f t="shared" si="235"/>
        <v>-0.343159744469545+0.93582527546009i</v>
      </c>
      <c r="AD366" s="64">
        <f t="shared" si="236"/>
        <v>-2.8200828241929096E-2</v>
      </c>
      <c r="AE366" s="61">
        <f t="shared" si="237"/>
        <v>110.13758842757554</v>
      </c>
      <c r="AF366" s="31" t="str">
        <f t="shared" si="222"/>
        <v>-10.0808080808081</v>
      </c>
      <c r="AG366" s="31" t="str">
        <f t="shared" si="238"/>
        <v>189749.162780217i</v>
      </c>
      <c r="AH366" s="31">
        <f t="shared" si="239"/>
        <v>189749.16278021701</v>
      </c>
      <c r="AI366" s="31">
        <f t="shared" si="240"/>
        <v>1.5707963267948966</v>
      </c>
      <c r="AJ366" s="31" t="str">
        <f t="shared" si="223"/>
        <v>-687.701177590223+254.78322158402i</v>
      </c>
      <c r="AK366" s="31">
        <f t="shared" si="241"/>
        <v>733.38080126201237</v>
      </c>
      <c r="AL366" s="31">
        <f t="shared" si="242"/>
        <v>2.7867858824880187</v>
      </c>
      <c r="AM366" s="31" t="str">
        <f t="shared" si="224"/>
        <v>1+188072.083779901i</v>
      </c>
      <c r="AN366" s="31">
        <f t="shared" si="243"/>
        <v>188072.08378255955</v>
      </c>
      <c r="AO366" s="31">
        <f t="shared" si="244"/>
        <v>1.57079100968467</v>
      </c>
      <c r="AP366" s="31" t="str">
        <f t="shared" si="225"/>
        <v>1+220.4126274855i</v>
      </c>
      <c r="AQ366" s="31">
        <f t="shared" si="245"/>
        <v>220.41489594639873</v>
      </c>
      <c r="AR366" s="31">
        <f t="shared" si="246"/>
        <v>1.5662594127795681</v>
      </c>
      <c r="AS366" s="58" t="str">
        <f t="shared" si="247"/>
        <v>-1.03045857191139+2.82063704441286i</v>
      </c>
      <c r="AT366" s="49">
        <f t="shared" si="248"/>
        <v>9.551024390633593</v>
      </c>
      <c r="AU366" s="61">
        <f t="shared" si="249"/>
        <v>110.06867985372863</v>
      </c>
      <c r="AV366" s="58" t="str">
        <f t="shared" si="226"/>
        <v>-2.28601153883703-1.93225826431124i</v>
      </c>
      <c r="AW366" s="64">
        <f t="shared" si="250"/>
        <v>9.5228235623916611</v>
      </c>
      <c r="AX366" s="61">
        <f t="shared" si="251"/>
        <v>-139.79373171869571</v>
      </c>
    </row>
    <row r="367" spans="14:50" x14ac:dyDescent="0.4">
      <c r="N367" s="10">
        <v>49</v>
      </c>
      <c r="O367" s="50">
        <f t="shared" si="216"/>
        <v>30902.954325135954</v>
      </c>
      <c r="P367" s="48" t="str">
        <f t="shared" si="217"/>
        <v>5120.19230769231</v>
      </c>
      <c r="Q367" s="17" t="str">
        <f t="shared" si="218"/>
        <v>1+907.366619636251i</v>
      </c>
      <c r="R367" s="17">
        <f t="shared" si="227"/>
        <v>907.3671706812612</v>
      </c>
      <c r="S367" s="17">
        <f t="shared" si="228"/>
        <v>1.569694236886042</v>
      </c>
      <c r="T367" s="17" t="str">
        <f t="shared" si="219"/>
        <v>1+0.00193974819575572i</v>
      </c>
      <c r="U367" s="17">
        <f t="shared" si="229"/>
        <v>1.0000018813097618</v>
      </c>
      <c r="V367" s="17">
        <f t="shared" si="230"/>
        <v>1.9397457629141131E-3</v>
      </c>
      <c r="W367" s="31" t="str">
        <f t="shared" si="220"/>
        <v>1-3.145537614739i</v>
      </c>
      <c r="X367" s="17">
        <f t="shared" si="231"/>
        <v>3.3006676424229568</v>
      </c>
      <c r="Y367" s="17">
        <f t="shared" si="232"/>
        <v>-1.2629897774351551</v>
      </c>
      <c r="Z367" s="31" t="str">
        <f t="shared" si="221"/>
        <v>0.618002965591424+19.1515165934326i</v>
      </c>
      <c r="AA367" s="17">
        <f t="shared" si="233"/>
        <v>19.16148521106869</v>
      </c>
      <c r="AB367" s="17">
        <f t="shared" si="234"/>
        <v>1.5385383806313013</v>
      </c>
      <c r="AC367" s="66" t="str">
        <f t="shared" si="235"/>
        <v>-0.327002218294376+0.915368099175366i</v>
      </c>
      <c r="AD367" s="64">
        <f t="shared" si="236"/>
        <v>-0.24646689725842694</v>
      </c>
      <c r="AE367" s="61">
        <f t="shared" si="237"/>
        <v>109.65854470169737</v>
      </c>
      <c r="AF367" s="31" t="str">
        <f t="shared" si="222"/>
        <v>-10.0808080808081</v>
      </c>
      <c r="AG367" s="31" t="str">
        <f t="shared" si="238"/>
        <v>194168.988564136i</v>
      </c>
      <c r="AH367" s="31">
        <f t="shared" si="239"/>
        <v>194168.988564136</v>
      </c>
      <c r="AI367" s="31">
        <f t="shared" si="240"/>
        <v>1.5707963267948966</v>
      </c>
      <c r="AJ367" s="31" t="str">
        <f t="shared" si="223"/>
        <v>-720.158664130994+260.717885197642i</v>
      </c>
      <c r="AK367" s="31">
        <f t="shared" si="241"/>
        <v>765.89967827703686</v>
      </c>
      <c r="AL367" s="31">
        <f t="shared" si="242"/>
        <v>2.7942425596773033</v>
      </c>
      <c r="AM367" s="31" t="str">
        <f t="shared" si="224"/>
        <v>1+192452.845375611i</v>
      </c>
      <c r="AN367" s="31">
        <f t="shared" si="243"/>
        <v>192452.84537820905</v>
      </c>
      <c r="AO367" s="31">
        <f t="shared" si="244"/>
        <v>1.5707911307168754</v>
      </c>
      <c r="AP367" s="31" t="str">
        <f t="shared" si="225"/>
        <v>1+225.546697116101i</v>
      </c>
      <c r="AQ367" s="31">
        <f t="shared" si="245"/>
        <v>225.54891394103896</v>
      </c>
      <c r="AR367" s="31">
        <f t="shared" si="246"/>
        <v>1.5663626841817173</v>
      </c>
      <c r="AS367" s="58" t="str">
        <f t="shared" si="247"/>
        <v>-0.989339805596357+2.77113728486838i</v>
      </c>
      <c r="AT367" s="49">
        <f t="shared" si="248"/>
        <v>9.3741733581452404</v>
      </c>
      <c r="AU367" s="61">
        <f t="shared" si="249"/>
        <v>109.64736767171337</v>
      </c>
      <c r="AV367" s="58" t="str">
        <f t="shared" si="226"/>
        <v>-2.21309435792702-1.81177813663748i</v>
      </c>
      <c r="AW367" s="64">
        <f t="shared" si="250"/>
        <v>9.1277064608868219</v>
      </c>
      <c r="AX367" s="61">
        <f t="shared" si="251"/>
        <v>-140.69408762658924</v>
      </c>
    </row>
    <row r="368" spans="14:50" x14ac:dyDescent="0.4">
      <c r="N368" s="10">
        <v>50</v>
      </c>
      <c r="O368" s="50">
        <f t="shared" si="216"/>
        <v>31622.77660168384</v>
      </c>
      <c r="P368" s="48" t="str">
        <f t="shared" si="217"/>
        <v>5120.19230769231</v>
      </c>
      <c r="Q368" s="17" t="str">
        <f t="shared" si="218"/>
        <v>1+928.501903303251i</v>
      </c>
      <c r="R368" s="17">
        <f t="shared" si="227"/>
        <v>928.50244180495281</v>
      </c>
      <c r="S368" s="17">
        <f t="shared" si="228"/>
        <v>1.5697193234954989</v>
      </c>
      <c r="T368" s="17" t="str">
        <f t="shared" si="219"/>
        <v>1+0.00198493073550606i</v>
      </c>
      <c r="U368" s="17">
        <f t="shared" si="229"/>
        <v>1.000001969973072</v>
      </c>
      <c r="V368" s="17">
        <f t="shared" si="230"/>
        <v>1.9849281286695888E-3</v>
      </c>
      <c r="W368" s="31" t="str">
        <f t="shared" si="220"/>
        <v>1-3.21880659811794i</v>
      </c>
      <c r="X368" s="17">
        <f t="shared" si="231"/>
        <v>3.3705661121075177</v>
      </c>
      <c r="Y368" s="17">
        <f t="shared" si="232"/>
        <v>-1.2695757309271287</v>
      </c>
      <c r="Z368" s="31" t="str">
        <f t="shared" si="221"/>
        <v>0.6+19.5976127216081i</v>
      </c>
      <c r="AA368" s="17">
        <f t="shared" si="233"/>
        <v>19.606795362479197</v>
      </c>
      <c r="AB368" s="17">
        <f t="shared" si="234"/>
        <v>1.5401899133347225</v>
      </c>
      <c r="AC368" s="66" t="str">
        <f t="shared" si="235"/>
        <v>-0.311567982220904+0.89531903764377i</v>
      </c>
      <c r="AD368" s="64">
        <f t="shared" si="236"/>
        <v>-0.46399375785422975</v>
      </c>
      <c r="AE368" s="61">
        <f t="shared" si="237"/>
        <v>109.18772291092598</v>
      </c>
      <c r="AF368" s="31" t="str">
        <f t="shared" si="222"/>
        <v>-10.0808080808081</v>
      </c>
      <c r="AG368" s="31" t="str">
        <f t="shared" si="238"/>
        <v>198691.765315922i</v>
      </c>
      <c r="AH368" s="31">
        <f t="shared" si="239"/>
        <v>198691.76531592201</v>
      </c>
      <c r="AI368" s="31">
        <f t="shared" si="240"/>
        <v>1.5707963267948966</v>
      </c>
      <c r="AJ368" s="31" t="str">
        <f t="shared" si="223"/>
        <v>-754.145824885811+266.790784885006i</v>
      </c>
      <c r="AK368" s="31">
        <f t="shared" si="241"/>
        <v>799.94577822016026</v>
      </c>
      <c r="AL368" s="31">
        <f t="shared" si="242"/>
        <v>2.8015672031410745</v>
      </c>
      <c r="AM368" s="31" t="str">
        <f t="shared" si="224"/>
        <v>1+196935.648017354i</v>
      </c>
      <c r="AN368" s="31">
        <f t="shared" si="243"/>
        <v>196935.64801989286</v>
      </c>
      <c r="AO368" s="31">
        <f t="shared" si="244"/>
        <v>1.5707912489940512</v>
      </c>
      <c r="AP368" s="31" t="str">
        <f t="shared" si="225"/>
        <v>1+230.800354590975i</v>
      </c>
      <c r="AQ368" s="31">
        <f t="shared" si="245"/>
        <v>230.80252095529588</v>
      </c>
      <c r="AR368" s="31">
        <f t="shared" si="246"/>
        <v>1.5664636049311393</v>
      </c>
      <c r="AS368" s="58" t="str">
        <f t="shared" si="247"/>
        <v>-0.949659286223047+2.72192686795944i</v>
      </c>
      <c r="AT368" s="49">
        <f t="shared" si="248"/>
        <v>9.1963962433779187</v>
      </c>
      <c r="AU368" s="61">
        <f t="shared" si="249"/>
        <v>109.23348562459122</v>
      </c>
      <c r="AV368" s="58" t="str">
        <f t="shared" si="226"/>
        <v>-2.14110951635231-1.69831330023368i</v>
      </c>
      <c r="AW368" s="64">
        <f t="shared" si="250"/>
        <v>8.7324024855236999</v>
      </c>
      <c r="AX368" s="61">
        <f t="shared" si="251"/>
        <v>-141.57879146448275</v>
      </c>
    </row>
    <row r="369" spans="14:50" x14ac:dyDescent="0.4">
      <c r="N369" s="10">
        <v>51</v>
      </c>
      <c r="O369" s="50">
        <f t="shared" si="216"/>
        <v>32359.365692962871</v>
      </c>
      <c r="P369" s="48" t="str">
        <f t="shared" si="217"/>
        <v>5120.19230769231</v>
      </c>
      <c r="Q369" s="17" t="str">
        <f t="shared" si="218"/>
        <v>1+950.129490969559i</v>
      </c>
      <c r="R369" s="17">
        <f t="shared" si="227"/>
        <v>950.13001721347246</v>
      </c>
      <c r="S369" s="17">
        <f t="shared" si="228"/>
        <v>1.5697438390653178</v>
      </c>
      <c r="T369" s="17" t="str">
        <f t="shared" si="219"/>
        <v>1+0.00203116571180604i</v>
      </c>
      <c r="U369" s="17">
        <f t="shared" si="229"/>
        <v>1.0000020628149469</v>
      </c>
      <c r="V369" s="17">
        <f t="shared" si="230"/>
        <v>2.0311629185307471E-3</v>
      </c>
      <c r="W369" s="31" t="str">
        <f t="shared" si="220"/>
        <v>1-3.29378223536113i</v>
      </c>
      <c r="X369" s="17">
        <f t="shared" si="231"/>
        <v>3.4422378497106445</v>
      </c>
      <c r="Y369" s="17">
        <f t="shared" si="232"/>
        <v>-1.2760379170545464</v>
      </c>
      <c r="Z369" s="31" t="str">
        <f t="shared" si="221"/>
        <v>0.58114858077964+20.0540997634537i</v>
      </c>
      <c r="AA369" s="17">
        <f t="shared" si="233"/>
        <v>20.062518560626827</v>
      </c>
      <c r="AB369" s="17">
        <f t="shared" si="234"/>
        <v>1.5418253936872499</v>
      </c>
      <c r="AC369" s="66" t="str">
        <f t="shared" si="235"/>
        <v>-0.296824830038378+0.875672588588105i</v>
      </c>
      <c r="AD369" s="64">
        <f t="shared" si="236"/>
        <v>-0.6808089212618661</v>
      </c>
      <c r="AE369" s="61">
        <f t="shared" si="237"/>
        <v>108.72500521736337</v>
      </c>
      <c r="AF369" s="31" t="str">
        <f t="shared" si="222"/>
        <v>-10.0808080808081</v>
      </c>
      <c r="AG369" s="31" t="str">
        <f t="shared" si="238"/>
        <v>203319.891071675i</v>
      </c>
      <c r="AH369" s="31">
        <f t="shared" si="239"/>
        <v>203319.891071675</v>
      </c>
      <c r="AI369" s="31">
        <f t="shared" si="240"/>
        <v>1.5707963267948966</v>
      </c>
      <c r="AJ369" s="31" t="str">
        <f t="shared" si="223"/>
        <v>-789.734751179378+273.005140577908i</v>
      </c>
      <c r="AK369" s="31">
        <f t="shared" si="241"/>
        <v>835.59127807937136</v>
      </c>
      <c r="AL369" s="31">
        <f t="shared" si="242"/>
        <v>2.8087606640609422</v>
      </c>
      <c r="AM369" s="31" t="str">
        <f t="shared" si="224"/>
        <v>1+201522.868546428i</v>
      </c>
      <c r="AN369" s="31">
        <f t="shared" si="243"/>
        <v>201522.86854890914</v>
      </c>
      <c r="AO369" s="31">
        <f t="shared" si="244"/>
        <v>1.57079136457891</v>
      </c>
      <c r="AP369" s="31" t="str">
        <f t="shared" si="225"/>
        <v>1+236.176385468858i</v>
      </c>
      <c r="AQ369" s="31">
        <f t="shared" si="245"/>
        <v>236.17850252115369</v>
      </c>
      <c r="AR369" s="31">
        <f t="shared" si="246"/>
        <v>1.5665622285291239</v>
      </c>
      <c r="AS369" s="58" t="str">
        <f t="shared" si="247"/>
        <v>-0.911382747550809+2.67304141436595i</v>
      </c>
      <c r="AT369" s="49">
        <f t="shared" si="248"/>
        <v>9.0177256253036759</v>
      </c>
      <c r="AU369" s="61">
        <f t="shared" si="249"/>
        <v>108.82698801224014</v>
      </c>
      <c r="AV369" s="58" t="str">
        <f t="shared" si="226"/>
        <v>-2.07018806557936-1.59149795324707i</v>
      </c>
      <c r="AW369" s="64">
        <f t="shared" si="250"/>
        <v>8.3369167040417924</v>
      </c>
      <c r="AX369" s="61">
        <f t="shared" si="251"/>
        <v>-142.44800677039655</v>
      </c>
    </row>
    <row r="370" spans="14:50" x14ac:dyDescent="0.4">
      <c r="N370" s="10">
        <v>52</v>
      </c>
      <c r="O370" s="50">
        <f t="shared" si="216"/>
        <v>33113.11214825909</v>
      </c>
      <c r="P370" s="48" t="str">
        <f t="shared" si="217"/>
        <v>5120.19230769231</v>
      </c>
      <c r="Q370" s="17" t="str">
        <f t="shared" si="218"/>
        <v>1+972.260849868428i</v>
      </c>
      <c r="R370" s="17">
        <f t="shared" si="227"/>
        <v>972.26136413357392</v>
      </c>
      <c r="S370" s="17">
        <f t="shared" si="228"/>
        <v>1.5697677965938601</v>
      </c>
      <c r="T370" s="17" t="str">
        <f t="shared" si="219"/>
        <v>1+0.00207847763905206i</v>
      </c>
      <c r="U370" s="17">
        <f t="shared" si="229"/>
        <v>1.0000021600323152</v>
      </c>
      <c r="V370" s="17">
        <f t="shared" si="230"/>
        <v>2.078474646004008E-3</v>
      </c>
      <c r="W370" s="31" t="str">
        <f t="shared" si="220"/>
        <v>1-3.37050427954388i</v>
      </c>
      <c r="X370" s="17">
        <f t="shared" si="231"/>
        <v>3.5157217037791275</v>
      </c>
      <c r="Y370" s="17">
        <f t="shared" si="232"/>
        <v>-1.2823776024854772</v>
      </c>
      <c r="Z370" s="31" t="str">
        <f t="shared" si="221"/>
        <v>0.561408721542727+20.5212197544413i</v>
      </c>
      <c r="AA370" s="17">
        <f t="shared" si="233"/>
        <v>20.528897680165297</v>
      </c>
      <c r="AB370" s="17">
        <f t="shared" si="234"/>
        <v>1.5434456754938723</v>
      </c>
      <c r="AC370" s="66" t="str">
        <f t="shared" si="235"/>
        <v>-0.282741974851169+0.856423123811207i</v>
      </c>
      <c r="AD370" s="64">
        <f t="shared" si="236"/>
        <v>-0.89693914429268107</v>
      </c>
      <c r="AE370" s="61">
        <f t="shared" si="237"/>
        <v>108.27027078662181</v>
      </c>
      <c r="AF370" s="31" t="str">
        <f t="shared" si="222"/>
        <v>-10.0808080808081</v>
      </c>
      <c r="AG370" s="31" t="str">
        <f t="shared" si="238"/>
        <v>208055.819724931i</v>
      </c>
      <c r="AH370" s="31">
        <f t="shared" si="239"/>
        <v>208055.819724931</v>
      </c>
      <c r="AI370" s="31">
        <f t="shared" si="240"/>
        <v>1.5707963267948966</v>
      </c>
      <c r="AJ370" s="31" t="str">
        <f t="shared" si="223"/>
        <v>-827.000931895849+279.364247209995i</v>
      </c>
      <c r="AK370" s="31">
        <f t="shared" si="241"/>
        <v>872.91175039393875</v>
      </c>
      <c r="AL370" s="31">
        <f t="shared" si="242"/>
        <v>2.8158238835481408</v>
      </c>
      <c r="AM370" s="31" t="str">
        <f t="shared" si="224"/>
        <v>1+206216.939167875i</v>
      </c>
      <c r="AN370" s="31">
        <f t="shared" si="243"/>
        <v>206216.93917029965</v>
      </c>
      <c r="AO370" s="31">
        <f t="shared" si="244"/>
        <v>1.5707914775327361</v>
      </c>
      <c r="AP370" s="31" t="str">
        <f t="shared" si="225"/>
        <v>1+241.67764019248i</v>
      </c>
      <c r="AQ370" s="31">
        <f t="shared" si="245"/>
        <v>241.67970905519937</v>
      </c>
      <c r="AR370" s="31">
        <f t="shared" si="246"/>
        <v>1.5666586072595297</v>
      </c>
      <c r="AS370" s="58" t="str">
        <f t="shared" si="247"/>
        <v>-0.874475433311347+2.62451414353931i</v>
      </c>
      <c r="AT370" s="49">
        <f t="shared" si="248"/>
        <v>8.8381932915481762</v>
      </c>
      <c r="AU370" s="61">
        <f t="shared" si="249"/>
        <v>108.4278239121136</v>
      </c>
      <c r="AV370" s="58" t="str">
        <f t="shared" si="226"/>
        <v>-2.00044369032335-1.49098129426179i</v>
      </c>
      <c r="AW370" s="64">
        <f t="shared" si="250"/>
        <v>7.9412541472554965</v>
      </c>
      <c r="AX370" s="61">
        <f t="shared" si="251"/>
        <v>-143.30190530126464</v>
      </c>
    </row>
    <row r="371" spans="14:50" x14ac:dyDescent="0.4">
      <c r="N371" s="10">
        <v>53</v>
      </c>
      <c r="O371" s="50">
        <f t="shared" si="216"/>
        <v>33884.41561392029</v>
      </c>
      <c r="P371" s="48" t="str">
        <f t="shared" si="217"/>
        <v>5120.19230769231</v>
      </c>
      <c r="Q371" s="17" t="str">
        <f t="shared" si="218"/>
        <v>1+994.907714339298i</v>
      </c>
      <c r="R371" s="17">
        <f t="shared" si="227"/>
        <v>994.90821689834593</v>
      </c>
      <c r="S371" s="17">
        <f t="shared" si="228"/>
        <v>1.5697912087836146</v>
      </c>
      <c r="T371" s="17" t="str">
        <f t="shared" si="219"/>
        <v>1+0.00212689160265423i</v>
      </c>
      <c r="U371" s="17">
        <f t="shared" si="229"/>
        <v>1.0000022618313869</v>
      </c>
      <c r="V371" s="17">
        <f t="shared" si="230"/>
        <v>2.1268883955458525E-3</v>
      </c>
      <c r="W371" s="31" t="str">
        <f t="shared" si="220"/>
        <v>1-3.44901340970957i</v>
      </c>
      <c r="X371" s="17">
        <f t="shared" si="231"/>
        <v>3.5910574348451227</v>
      </c>
      <c r="Y371" s="17">
        <f t="shared" si="232"/>
        <v>-1.2885961094265226</v>
      </c>
      <c r="Z371" s="31" t="str">
        <f t="shared" si="221"/>
        <v>0.540738551401243+20.9992203677733i</v>
      </c>
      <c r="AA371" s="17">
        <f t="shared" si="233"/>
        <v>21.006181333961596</v>
      </c>
      <c r="AB371" s="17">
        <f t="shared" si="234"/>
        <v>1.54505160526895</v>
      </c>
      <c r="AC371" s="66" t="str">
        <f t="shared" si="235"/>
        <v>-0.269289987843008+0.837564908553936i</v>
      </c>
      <c r="AD371" s="64">
        <f t="shared" si="236"/>
        <v>-1.1124104306898062</v>
      </c>
      <c r="AE371" s="61">
        <f t="shared" si="237"/>
        <v>107.8233960695777</v>
      </c>
      <c r="AF371" s="31" t="str">
        <f t="shared" si="222"/>
        <v>-10.0808080808081</v>
      </c>
      <c r="AG371" s="31" t="str">
        <f t="shared" si="238"/>
        <v>212902.062327751i</v>
      </c>
      <c r="AH371" s="31">
        <f t="shared" si="239"/>
        <v>212902.06232775099</v>
      </c>
      <c r="AI371" s="31">
        <f t="shared" si="240"/>
        <v>1.5707963267948966</v>
      </c>
      <c r="AJ371" s="31" t="str">
        <f t="shared" si="223"/>
        <v>-866.023413600902+285.871476463777i</v>
      </c>
      <c r="AK371" s="31">
        <f t="shared" si="241"/>
        <v>911.98632334072784</v>
      </c>
      <c r="AL371" s="31">
        <f t="shared" si="242"/>
        <v>2.8227578864050313</v>
      </c>
      <c r="AM371" s="31" t="str">
        <f t="shared" si="224"/>
        <v>1+211020.348740074i</v>
      </c>
      <c r="AN371" s="31">
        <f t="shared" si="243"/>
        <v>211020.3487424434</v>
      </c>
      <c r="AO371" s="31">
        <f t="shared" si="244"/>
        <v>1.5707915879154191</v>
      </c>
      <c r="AP371" s="31" t="str">
        <f t="shared" si="225"/>
        <v>1+247.307035599916i</v>
      </c>
      <c r="AQ371" s="31">
        <f t="shared" si="245"/>
        <v>247.3090573699599</v>
      </c>
      <c r="AR371" s="31">
        <f t="shared" si="246"/>
        <v>1.5667527922164688</v>
      </c>
      <c r="AS371" s="58" t="str">
        <f t="shared" si="247"/>
        <v>-0.838902229582396+2.57637593433359i</v>
      </c>
      <c r="AT371" s="49">
        <f t="shared" si="248"/>
        <v>8.6578302286857074</v>
      </c>
      <c r="AU371" s="61">
        <f t="shared" si="249"/>
        <v>108.03593753827025</v>
      </c>
      <c r="AV371" s="58" t="str">
        <f t="shared" si="226"/>
        <v>-1.93197410263496-1.39642731324158i</v>
      </c>
      <c r="AW371" s="64">
        <f t="shared" si="250"/>
        <v>7.5454197979958968</v>
      </c>
      <c r="AX371" s="61">
        <f t="shared" si="251"/>
        <v>-144.14066639215213</v>
      </c>
    </row>
    <row r="372" spans="14:50" x14ac:dyDescent="0.4">
      <c r="N372" s="10">
        <v>54</v>
      </c>
      <c r="O372" s="50">
        <f t="shared" si="216"/>
        <v>34673.685045253202</v>
      </c>
      <c r="P372" s="48" t="str">
        <f t="shared" si="217"/>
        <v>5120.19230769231</v>
      </c>
      <c r="Q372" s="17" t="str">
        <f t="shared" si="218"/>
        <v>1+1018.08209204946i</v>
      </c>
      <c r="R372" s="17">
        <f t="shared" si="227"/>
        <v>1018.0825831688729</v>
      </c>
      <c r="S372" s="17">
        <f t="shared" si="228"/>
        <v>1.5698140880479314</v>
      </c>
      <c r="T372" s="17" t="str">
        <f t="shared" si="219"/>
        <v>1+0.00217643327233685i</v>
      </c>
      <c r="U372" s="17">
        <f t="shared" si="229"/>
        <v>1.0000023684280899</v>
      </c>
      <c r="V372" s="17">
        <f t="shared" si="230"/>
        <v>2.1764298358587487E-3</v>
      </c>
      <c r="W372" s="31" t="str">
        <f t="shared" si="220"/>
        <v>1-3.52935125243813i</v>
      </c>
      <c r="X372" s="17">
        <f t="shared" si="231"/>
        <v>3.6682857390185126</v>
      </c>
      <c r="Y372" s="17">
        <f t="shared" si="232"/>
        <v>-1.2946948105306151</v>
      </c>
      <c r="Z372" s="31" t="str">
        <f t="shared" si="221"/>
        <v>0.519094226153035+21.4883550457016i</v>
      </c>
      <c r="AA372" s="17">
        <f t="shared" si="233"/>
        <v>21.494624011267444</v>
      </c>
      <c r="AB372" s="17">
        <f t="shared" si="234"/>
        <v>1.5466440226257236</v>
      </c>
      <c r="AC372" s="66" t="str">
        <f t="shared" si="235"/>
        <v>-0.256440739567882+0.819092119339123i</v>
      </c>
      <c r="AD372" s="64">
        <f t="shared" si="236"/>
        <v>-1.3272480345207516</v>
      </c>
      <c r="AE372" s="61">
        <f t="shared" si="237"/>
        <v>107.38425507219222</v>
      </c>
      <c r="AF372" s="31" t="str">
        <f t="shared" si="222"/>
        <v>-10.0808080808081</v>
      </c>
      <c r="AG372" s="31" t="str">
        <f t="shared" si="238"/>
        <v>217861.188422107i</v>
      </c>
      <c r="AH372" s="31">
        <f t="shared" si="239"/>
        <v>217861.18842210699</v>
      </c>
      <c r="AI372" s="31">
        <f t="shared" si="240"/>
        <v>1.5707963267948966</v>
      </c>
      <c r="AJ372" s="31" t="str">
        <f t="shared" si="223"/>
        <v>-906.884968210039+292.530278558335i</v>
      </c>
      <c r="AK372" s="31">
        <f t="shared" si="241"/>
        <v>952.89784837554362</v>
      </c>
      <c r="AL372" s="31">
        <f t="shared" si="242"/>
        <v>2.8295637750530513</v>
      </c>
      <c r="AM372" s="31" t="str">
        <f t="shared" si="224"/>
        <v>1+215935.644094358i</v>
      </c>
      <c r="AN372" s="31">
        <f t="shared" si="243"/>
        <v>215935.64409667347</v>
      </c>
      <c r="AO372" s="31">
        <f t="shared" si="244"/>
        <v>1.5707916957854855</v>
      </c>
      <c r="AP372" s="31" t="str">
        <f t="shared" si="225"/>
        <v>1+253.06755647112i</v>
      </c>
      <c r="AQ372" s="31">
        <f t="shared" si="245"/>
        <v>253.06953222042259</v>
      </c>
      <c r="AR372" s="31">
        <f t="shared" si="246"/>
        <v>1.5668448333313643</v>
      </c>
      <c r="AS372" s="58" t="str">
        <f t="shared" si="247"/>
        <v>-0.804627788172242+2.52865539073872i</v>
      </c>
      <c r="AT372" s="49">
        <f t="shared" si="248"/>
        <v>8.4766666154652555</v>
      </c>
      <c r="AU372" s="61">
        <f t="shared" si="249"/>
        <v>107.65126859082739</v>
      </c>
      <c r="AV372" s="58" t="str">
        <f t="shared" si="226"/>
        <v>-1.86486235800272-1.3075145388065i</v>
      </c>
      <c r="AW372" s="64">
        <f t="shared" si="250"/>
        <v>7.1494185809445066</v>
      </c>
      <c r="AX372" s="61">
        <f t="shared" si="251"/>
        <v>-144.96447633698045</v>
      </c>
    </row>
    <row r="373" spans="14:50" x14ac:dyDescent="0.4">
      <c r="N373" s="10">
        <v>55</v>
      </c>
      <c r="O373" s="50">
        <f t="shared" si="216"/>
        <v>35481.33892335758</v>
      </c>
      <c r="P373" s="48" t="str">
        <f t="shared" si="217"/>
        <v>5120.19230769231</v>
      </c>
      <c r="Q373" s="17" t="str">
        <f t="shared" si="218"/>
        <v>1+1041.79627036075i</v>
      </c>
      <c r="R373" s="17">
        <f t="shared" si="227"/>
        <v>1041.7967503009254</v>
      </c>
      <c r="S373" s="17">
        <f t="shared" si="228"/>
        <v>1.5698364465176038</v>
      </c>
      <c r="T373" s="17" t="str">
        <f t="shared" si="219"/>
        <v>1+0.00222712891574898i</v>
      </c>
      <c r="U373" s="17">
        <f t="shared" si="229"/>
        <v>1.0000024800485283</v>
      </c>
      <c r="V373" s="17">
        <f t="shared" si="230"/>
        <v>2.2271252334968459E-3</v>
      </c>
      <c r="W373" s="31" t="str">
        <f t="shared" si="220"/>
        <v>1-3.61156040391726i</v>
      </c>
      <c r="X373" s="17">
        <f t="shared" si="231"/>
        <v>3.7474482719769466</v>
      </c>
      <c r="Y373" s="17">
        <f t="shared" si="232"/>
        <v>-1.3006751240167147</v>
      </c>
      <c r="Z373" s="31" t="str">
        <f t="shared" si="221"/>
        <v>0.496429835282329+21.9888831339073i</v>
      </c>
      <c r="AA373" s="17">
        <f t="shared" si="233"/>
        <v>21.994486219459443</v>
      </c>
      <c r="AB373" s="17">
        <f t="shared" si="234"/>
        <v>1.5482237606654743</v>
      </c>
      <c r="AC373" s="66" t="str">
        <f t="shared" si="235"/>
        <v>-0.244167343673603+0.80099886040443i</v>
      </c>
      <c r="AD373" s="64">
        <f t="shared" si="236"/>
        <v>-1.5414764654300184</v>
      </c>
      <c r="AE373" s="61">
        <f t="shared" si="237"/>
        <v>106.9527196132364</v>
      </c>
      <c r="AF373" s="31" t="str">
        <f t="shared" si="222"/>
        <v>-10.0808080808081</v>
      </c>
      <c r="AG373" s="31" t="str">
        <f t="shared" si="238"/>
        <v>222935.8274023i</v>
      </c>
      <c r="AH373" s="31">
        <f t="shared" si="239"/>
        <v>222935.8274023</v>
      </c>
      <c r="AI373" s="31">
        <f t="shared" si="240"/>
        <v>1.5707963267948966</v>
      </c>
      <c r="AJ373" s="31" t="str">
        <f t="shared" si="223"/>
        <v>-949.672268559023+299.344184078681i</v>
      </c>
      <c r="AK373" s="31">
        <f t="shared" si="241"/>
        <v>995.73307578475669</v>
      </c>
      <c r="AL373" s="31">
        <f t="shared" si="242"/>
        <v>2.8362427236395527</v>
      </c>
      <c r="AM373" s="31" t="str">
        <f t="shared" si="224"/>
        <v>1+220965.431385388i</v>
      </c>
      <c r="AN373" s="31">
        <f t="shared" si="243"/>
        <v>220965.43138765078</v>
      </c>
      <c r="AO373" s="31">
        <f t="shared" si="244"/>
        <v>1.5707918012001294</v>
      </c>
      <c r="AP373" s="31" t="str">
        <f t="shared" si="225"/>
        <v>1+258.962257110512i</v>
      </c>
      <c r="AQ373" s="31">
        <f t="shared" si="245"/>
        <v>258.96418788660895</v>
      </c>
      <c r="AR373" s="31">
        <f t="shared" si="246"/>
        <v>1.5669347793993924</v>
      </c>
      <c r="AS373" s="58" t="str">
        <f t="shared" si="247"/>
        <v>-0.771616641119882+2.48137891186925i</v>
      </c>
      <c r="AT373" s="49">
        <f t="shared" si="248"/>
        <v>8.2947318187634167</v>
      </c>
      <c r="AU373" s="61">
        <f t="shared" si="249"/>
        <v>107.27375259513202</v>
      </c>
      <c r="AV373" s="58" t="str">
        <f t="shared" si="226"/>
        <v>-1.79917809504226-1.22393574776493i</v>
      </c>
      <c r="AW373" s="64">
        <f t="shared" si="250"/>
        <v>6.7532553533333859</v>
      </c>
      <c r="AX373" s="61">
        <f t="shared" si="251"/>
        <v>-145.77352779163147</v>
      </c>
    </row>
    <row r="374" spans="14:50" x14ac:dyDescent="0.4">
      <c r="N374" s="10">
        <v>56</v>
      </c>
      <c r="O374" s="50">
        <f t="shared" si="216"/>
        <v>36307.805477010232</v>
      </c>
      <c r="P374" s="48" t="str">
        <f t="shared" si="217"/>
        <v>5120.19230769231</v>
      </c>
      <c r="Q374" s="17" t="str">
        <f t="shared" si="218"/>
        <v>1+1066.06282284438i</v>
      </c>
      <c r="R374" s="17">
        <f t="shared" si="227"/>
        <v>1066.063291859788</v>
      </c>
      <c r="S374" s="17">
        <f t="shared" si="228"/>
        <v>1.5698582960472984</v>
      </c>
      <c r="T374" s="17" t="str">
        <f t="shared" si="219"/>
        <v>1+0.00227900541239176i</v>
      </c>
      <c r="U374" s="17">
        <f t="shared" si="229"/>
        <v>1.0000025969294628</v>
      </c>
      <c r="V374" s="17">
        <f t="shared" si="230"/>
        <v>2.2790014667880649E-3</v>
      </c>
      <c r="W374" s="31" t="str">
        <f t="shared" si="220"/>
        <v>1-3.69568445252718i</v>
      </c>
      <c r="X374" s="17">
        <f t="shared" si="231"/>
        <v>3.8285876733661359</v>
      </c>
      <c r="Y374" s="17">
        <f t="shared" si="232"/>
        <v>-1.3065385090027832</v>
      </c>
      <c r="Z374" s="31" t="str">
        <f t="shared" si="221"/>
        <v>0.472697304577434+22.5010700190078i</v>
      </c>
      <c r="AA374" s="17">
        <f t="shared" si="233"/>
        <v>22.506034629450973</v>
      </c>
      <c r="AB374" s="17">
        <f t="shared" si="234"/>
        <v>1.5497916463662689</v>
      </c>
      <c r="AC374" s="66" t="str">
        <f t="shared" si="235"/>
        <v>-0.232444102966894+0.783279178820829i</v>
      </c>
      <c r="AD374" s="64">
        <f t="shared" si="236"/>
        <v>-1.7551194955755942</v>
      </c>
      <c r="AE374" s="61">
        <f t="shared" si="237"/>
        <v>106.52865956984854</v>
      </c>
      <c r="AF374" s="31" t="str">
        <f t="shared" si="222"/>
        <v>-10.0808080808081</v>
      </c>
      <c r="AG374" s="31" t="str">
        <f t="shared" si="238"/>
        <v>228128.669909085i</v>
      </c>
      <c r="AH374" s="31">
        <f t="shared" si="239"/>
        <v>228128.669909085</v>
      </c>
      <c r="AI374" s="31">
        <f t="shared" si="240"/>
        <v>1.5707963267948966</v>
      </c>
      <c r="AJ374" s="31" t="str">
        <f t="shared" si="223"/>
        <v>-994.476072248462+306.316805847715i</v>
      </c>
      <c r="AK374" s="31">
        <f t="shared" si="241"/>
        <v>1040.582838518623</v>
      </c>
      <c r="AL374" s="31">
        <f t="shared" si="242"/>
        <v>2.8427959723336045</v>
      </c>
      <c r="AM374" s="31" t="str">
        <f t="shared" si="224"/>
        <v>1+226112.377472961i</v>
      </c>
      <c r="AN374" s="31">
        <f t="shared" si="243"/>
        <v>226112.37747517231</v>
      </c>
      <c r="AO374" s="31">
        <f t="shared" si="244"/>
        <v>1.5707919042152432</v>
      </c>
      <c r="AP374" s="31" t="str">
        <f t="shared" si="225"/>
        <v>1+264.994262966393i</v>
      </c>
      <c r="AQ374" s="31">
        <f t="shared" si="245"/>
        <v>264.99614979297689</v>
      </c>
      <c r="AR374" s="31">
        <f t="shared" si="246"/>
        <v>1.5670226781053243</v>
      </c>
      <c r="AS374" s="58" t="str">
        <f t="shared" si="247"/>
        <v>-0.739833306472844+2.43457076541791i</v>
      </c>
      <c r="AT374" s="49">
        <f t="shared" si="248"/>
        <v>8.1120543920634063</v>
      </c>
      <c r="AU374" s="61">
        <f t="shared" si="249"/>
        <v>106.90332123006901</v>
      </c>
      <c r="AV374" s="58" t="str">
        <f t="shared" si="226"/>
        <v>-1.73497870064963-1.14539764243534i</v>
      </c>
      <c r="AW374" s="64">
        <f t="shared" si="250"/>
        <v>6.3569348964878278</v>
      </c>
      <c r="AX374" s="61">
        <f t="shared" si="251"/>
        <v>-146.56801920008246</v>
      </c>
    </row>
    <row r="375" spans="14:50" x14ac:dyDescent="0.4">
      <c r="N375" s="10">
        <v>57</v>
      </c>
      <c r="O375" s="50">
        <f t="shared" si="216"/>
        <v>37153.522909717351</v>
      </c>
      <c r="P375" s="48" t="str">
        <f t="shared" si="217"/>
        <v>5120.19230769231</v>
      </c>
      <c r="Q375" s="17" t="str">
        <f t="shared" si="218"/>
        <v>1+1090.89461594769i</v>
      </c>
      <c r="R375" s="17">
        <f t="shared" si="227"/>
        <v>1090.8950742870086</v>
      </c>
      <c r="S375" s="17">
        <f t="shared" si="228"/>
        <v>1.5698796482218418</v>
      </c>
      <c r="T375" s="17" t="str">
        <f t="shared" si="219"/>
        <v>1+0.0023320902678704i</v>
      </c>
      <c r="U375" s="17">
        <f t="shared" si="229"/>
        <v>1.0000027193188115</v>
      </c>
      <c r="V375" s="17">
        <f t="shared" si="230"/>
        <v>2.3320860400804912E-3</v>
      </c>
      <c r="W375" s="31" t="str">
        <f t="shared" si="220"/>
        <v>1-3.781768001952i</v>
      </c>
      <c r="X375" s="17">
        <f t="shared" si="231"/>
        <v>3.9117475916255158</v>
      </c>
      <c r="Y375" s="17">
        <f t="shared" si="232"/>
        <v>-1.3122864610523075</v>
      </c>
      <c r="Z375" s="31" t="str">
        <f t="shared" si="221"/>
        <v>0.447846294158843+23.0251872692692i</v>
      </c>
      <c r="AA375" s="17">
        <f t="shared" si="233"/>
        <v>23.029542224892534</v>
      </c>
      <c r="AB375" s="17">
        <f t="shared" si="234"/>
        <v>1.5513485009712693</v>
      </c>
      <c r="AC375" s="66" t="str">
        <f t="shared" si="235"/>
        <v>-0.221246457731004+0.765927078386841i</v>
      </c>
      <c r="AD375" s="64">
        <f t="shared" si="236"/>
        <v>-1.9682001680857595</v>
      </c>
      <c r="AE375" s="61">
        <f t="shared" si="237"/>
        <v>106.11194311090732</v>
      </c>
      <c r="AF375" s="31" t="str">
        <f t="shared" si="222"/>
        <v>-10.0808080808081</v>
      </c>
      <c r="AG375" s="31" t="str">
        <f t="shared" si="238"/>
        <v>233442.469256296i</v>
      </c>
      <c r="AH375" s="31">
        <f t="shared" si="239"/>
        <v>233442.469256296</v>
      </c>
      <c r="AI375" s="31">
        <f t="shared" si="240"/>
        <v>1.5707963267948966</v>
      </c>
      <c r="AJ375" s="31" t="str">
        <f t="shared" si="223"/>
        <v>-1041.39141415294+313.451840841791i</v>
      </c>
      <c r="AK375" s="31">
        <f t="shared" si="241"/>
        <v>1087.5422446960704</v>
      </c>
      <c r="AL375" s="31">
        <f t="shared" si="242"/>
        <v>2.8492248218190572</v>
      </c>
      <c r="AM375" s="31" t="str">
        <f t="shared" si="224"/>
        <v>1+231379.211336022i</v>
      </c>
      <c r="AN375" s="31">
        <f t="shared" si="243"/>
        <v>231379.21133818297</v>
      </c>
      <c r="AO375" s="31">
        <f t="shared" si="244"/>
        <v>1.5707920048854467</v>
      </c>
      <c r="AP375" s="31" t="str">
        <f t="shared" si="225"/>
        <v>1+271.166772288114i</v>
      </c>
      <c r="AQ375" s="31">
        <f t="shared" si="245"/>
        <v>271.16861616557674</v>
      </c>
      <c r="AR375" s="31">
        <f t="shared" si="246"/>
        <v>1.5671085760487806</v>
      </c>
      <c r="AS375" s="58" t="str">
        <f t="shared" si="247"/>
        <v>-0.709242385552969+2.38825316383893i</v>
      </c>
      <c r="AT375" s="49">
        <f t="shared" si="248"/>
        <v>7.928662076259883</v>
      </c>
      <c r="AU375" s="61">
        <f t="shared" si="249"/>
        <v>106.53990264503443</v>
      </c>
      <c r="AV375" s="58" t="str">
        <f t="shared" si="226"/>
        <v>-1.672310402751-1.07162050089893i</v>
      </c>
      <c r="AW375" s="64">
        <f t="shared" si="250"/>
        <v>5.9604619081741337</v>
      </c>
      <c r="AX375" s="61">
        <f t="shared" si="251"/>
        <v>-147.34815424405812</v>
      </c>
    </row>
    <row r="376" spans="14:50" x14ac:dyDescent="0.4">
      <c r="N376" s="10">
        <v>58</v>
      </c>
      <c r="O376" s="50">
        <f t="shared" si="216"/>
        <v>38018.939632056143</v>
      </c>
      <c r="P376" s="48" t="str">
        <f t="shared" si="217"/>
        <v>5120.19230769231</v>
      </c>
      <c r="Q376" s="17" t="str">
        <f t="shared" si="218"/>
        <v>1+1116.30481581608i</v>
      </c>
      <c r="R376" s="17">
        <f t="shared" si="227"/>
        <v>1116.3052637223261</v>
      </c>
      <c r="S376" s="17">
        <f t="shared" si="228"/>
        <v>1.5699005143623617</v>
      </c>
      <c r="T376" s="17" t="str">
        <f t="shared" si="219"/>
        <v>1+0.00238641162847793i</v>
      </c>
      <c r="U376" s="17">
        <f t="shared" si="229"/>
        <v>1.0000028474761762</v>
      </c>
      <c r="V376" s="17">
        <f t="shared" si="230"/>
        <v>2.3864070983201204E-3</v>
      </c>
      <c r="W376" s="31" t="str">
        <f t="shared" si="220"/>
        <v>1-3.86985669482906i</v>
      </c>
      <c r="X376" s="17">
        <f t="shared" si="231"/>
        <v>3.9969727092530034</v>
      </c>
      <c r="Y376" s="17">
        <f t="shared" si="232"/>
        <v>-1.3179205079333653</v>
      </c>
      <c r="Z376" s="31" t="str">
        <f t="shared" si="221"/>
        <v>0.421824091701627+23.5615127785952i</v>
      </c>
      <c r="AA376" s="17">
        <f t="shared" si="233"/>
        <v>23.565288455273464</v>
      </c>
      <c r="AB376" s="17">
        <f t="shared" si="234"/>
        <v>1.5528951403765634</v>
      </c>
      <c r="AC376" s="66" t="str">
        <f t="shared" si="235"/>
        <v>-0.210550936209759+0.748936532383131i</v>
      </c>
      <c r="AD376" s="64">
        <f t="shared" si="236"/>
        <v>-2.1807408068772651</v>
      </c>
      <c r="AE376" s="61">
        <f t="shared" si="237"/>
        <v>105.70243691828126</v>
      </c>
      <c r="AF376" s="31" t="str">
        <f t="shared" si="222"/>
        <v>-10.0808080808081</v>
      </c>
      <c r="AG376" s="31" t="str">
        <f t="shared" si="238"/>
        <v>238880.042890683i</v>
      </c>
      <c r="AH376" s="31">
        <f t="shared" si="239"/>
        <v>238880.04289068299</v>
      </c>
      <c r="AI376" s="31">
        <f t="shared" si="240"/>
        <v>1.5707963267948966</v>
      </c>
      <c r="AJ376" s="31" t="str">
        <f t="shared" si="223"/>
        <v>-1090.51780800269+320.753072150907i</v>
      </c>
      <c r="AK376" s="31">
        <f t="shared" si="241"/>
        <v>1136.7108791883875</v>
      </c>
      <c r="AL376" s="31">
        <f t="shared" si="242"/>
        <v>2.8555306279910684</v>
      </c>
      <c r="AM376" s="31" t="str">
        <f t="shared" si="224"/>
        <v>1+236768.725519599i</v>
      </c>
      <c r="AN376" s="31">
        <f t="shared" si="243"/>
        <v>236768.72552171076</v>
      </c>
      <c r="AO376" s="31">
        <f t="shared" si="244"/>
        <v>1.5707921032641166</v>
      </c>
      <c r="AP376" s="31" t="str">
        <f t="shared" si="225"/>
        <v>1+277.483057821818i</v>
      </c>
      <c r="AQ376" s="31">
        <f t="shared" si="245"/>
        <v>277.48485972778116</v>
      </c>
      <c r="AR376" s="31">
        <f t="shared" si="246"/>
        <v>1.5671925187689151</v>
      </c>
      <c r="AS376" s="58" t="str">
        <f t="shared" si="247"/>
        <v>-0.679808651962389+2.34244634258446i</v>
      </c>
      <c r="AT376" s="49">
        <f t="shared" si="248"/>
        <v>7.7445818025993871</v>
      </c>
      <c r="AU376" s="61">
        <f t="shared" si="249"/>
        <v>106.1834217652178</v>
      </c>
      <c r="AV376" s="58" t="str">
        <f t="shared" si="226"/>
        <v>-1.61120929299458-1.00233780493705i</v>
      </c>
      <c r="AW376" s="64">
        <f t="shared" si="250"/>
        <v>5.5638409957221393</v>
      </c>
      <c r="AX376" s="61">
        <f t="shared" si="251"/>
        <v>-148.11414131650088</v>
      </c>
    </row>
    <row r="377" spans="14:50" x14ac:dyDescent="0.4">
      <c r="N377" s="10">
        <v>59</v>
      </c>
      <c r="O377" s="50">
        <f t="shared" si="216"/>
        <v>38904.514499428085</v>
      </c>
      <c r="P377" s="48" t="str">
        <f t="shared" si="217"/>
        <v>5120.19230769231</v>
      </c>
      <c r="Q377" s="17" t="str">
        <f t="shared" si="218"/>
        <v>1+1142.30689527385i</v>
      </c>
      <c r="R377" s="17">
        <f t="shared" si="227"/>
        <v>1142.307332984509</v>
      </c>
      <c r="S377" s="17">
        <f t="shared" si="228"/>
        <v>1.5699209055322891</v>
      </c>
      <c r="T377" s="17" t="str">
        <f t="shared" si="219"/>
        <v>1+0.00244199829611876i</v>
      </c>
      <c r="U377" s="17">
        <f t="shared" si="229"/>
        <v>1.000002981673394</v>
      </c>
      <c r="V377" s="17">
        <f t="shared" si="230"/>
        <v>2.441993441967993E-3</v>
      </c>
      <c r="W377" s="31" t="str">
        <f t="shared" si="220"/>
        <v>1-3.95999723694934i</v>
      </c>
      <c r="X377" s="17">
        <f t="shared" si="231"/>
        <v>4.0843087685245356</v>
      </c>
      <c r="Y377" s="17">
        <f t="shared" si="232"/>
        <v>-1.3234422055883335</v>
      </c>
      <c r="Z377" s="31" t="str">
        <f t="shared" si="221"/>
        <v>0.394575500625514+24.1103309138699i</v>
      </c>
      <c r="AA377" s="17">
        <f t="shared" si="233"/>
        <v>24.11355939304698</v>
      </c>
      <c r="AB377" s="17">
        <f t="shared" si="234"/>
        <v>1.5544323755185123</v>
      </c>
      <c r="AC377" s="66" t="str">
        <f t="shared" si="235"/>
        <v>-0.200335107174381+0.732301495266497i</v>
      </c>
      <c r="AD377" s="64">
        <f t="shared" si="236"/>
        <v>-2.3927630276856302</v>
      </c>
      <c r="AE377" s="61">
        <f t="shared" si="237"/>
        <v>105.30000639606486</v>
      </c>
      <c r="AF377" s="31" t="str">
        <f t="shared" si="222"/>
        <v>-10.0808080808081</v>
      </c>
      <c r="AG377" s="31" t="str">
        <f t="shared" si="238"/>
        <v>244444.273885762i</v>
      </c>
      <c r="AH377" s="31">
        <f t="shared" si="239"/>
        <v>244444.273885762</v>
      </c>
      <c r="AI377" s="31">
        <f t="shared" si="240"/>
        <v>1.5707963267948966</v>
      </c>
      <c r="AJ377" s="31" t="str">
        <f t="shared" si="223"/>
        <v>-1141.95945746556+328.224370984546i</v>
      </c>
      <c r="AK377" s="31">
        <f t="shared" si="241"/>
        <v>1188.1930147089895</v>
      </c>
      <c r="AL377" s="31">
        <f t="shared" si="242"/>
        <v>2.8617147968607539</v>
      </c>
      <c r="AM377" s="31" t="str">
        <f t="shared" si="224"/>
        <v>1+242283.777615451i</v>
      </c>
      <c r="AN377" s="31">
        <f t="shared" si="243"/>
        <v>242283.77761751469</v>
      </c>
      <c r="AO377" s="31">
        <f t="shared" si="244"/>
        <v>1.5707921994034144</v>
      </c>
      <c r="AP377" s="31" t="str">
        <f t="shared" si="225"/>
        <v>1+283.946468545701i</v>
      </c>
      <c r="AQ377" s="31">
        <f t="shared" si="245"/>
        <v>283.94822943553419</v>
      </c>
      <c r="AR377" s="31">
        <f t="shared" si="246"/>
        <v>1.5672745507685344</v>
      </c>
      <c r="AS377" s="58" t="str">
        <f t="shared" si="247"/>
        <v>-0.651497132615313+2.29716863977351i</v>
      </c>
      <c r="AT377" s="49">
        <f t="shared" si="248"/>
        <v>7.5598396975698368</v>
      </c>
      <c r="AU377" s="61">
        <f t="shared" si="249"/>
        <v>105.83380058492781</v>
      </c>
      <c r="AV377" s="58" t="str">
        <f t="shared" si="226"/>
        <v>-1.55170228189916-0.937295850022682i</v>
      </c>
      <c r="AW377" s="64">
        <f t="shared" si="250"/>
        <v>5.1670766698842225</v>
      </c>
      <c r="AX377" s="61">
        <f t="shared" si="251"/>
        <v>-148.8661930190074</v>
      </c>
    </row>
    <row r="378" spans="14:50" x14ac:dyDescent="0.4">
      <c r="N378" s="10">
        <v>60</v>
      </c>
      <c r="O378" s="50">
        <f t="shared" si="216"/>
        <v>39810.717055349742</v>
      </c>
      <c r="P378" s="48" t="str">
        <f t="shared" si="217"/>
        <v>5120.19230769231</v>
      </c>
      <c r="Q378" s="17" t="str">
        <f t="shared" si="218"/>
        <v>1+1168.91464096771i</v>
      </c>
      <c r="R378" s="17">
        <f t="shared" si="227"/>
        <v>1168.9150687148619</v>
      </c>
      <c r="S378" s="17">
        <f t="shared" si="228"/>
        <v>1.5699408325432245</v>
      </c>
      <c r="T378" s="17" t="str">
        <f t="shared" si="219"/>
        <v>1+0.00249887974357987i</v>
      </c>
      <c r="U378" s="17">
        <f t="shared" si="229"/>
        <v>1.0000031221951124</v>
      </c>
      <c r="V378" s="17">
        <f t="shared" si="230"/>
        <v>2.4988745422644897E-3</v>
      </c>
      <c r="W378" s="31" t="str">
        <f t="shared" si="220"/>
        <v>1-4.0522374220214i</v>
      </c>
      <c r="X378" s="17">
        <f t="shared" si="231"/>
        <v>4.1738025976836326</v>
      </c>
      <c r="Y378" s="17">
        <f t="shared" si="232"/>
        <v>-1.3288531343113981</v>
      </c>
      <c r="Z378" s="31" t="str">
        <f t="shared" si="221"/>
        <v>0.366042723015554+24.6719326657331i</v>
      </c>
      <c r="AA378" s="17">
        <f t="shared" si="233"/>
        <v>24.674647894905018</v>
      </c>
      <c r="AB378" s="17">
        <f t="shared" si="234"/>
        <v>1.5559610127606029</v>
      </c>
      <c r="AC378" s="66" t="str">
        <f t="shared" si="235"/>
        <v>-0.190577534491981+0.716015913376932i</v>
      </c>
      <c r="AD378" s="64">
        <f t="shared" si="236"/>
        <v>-2.6042877501693424</v>
      </c>
      <c r="AE378" s="61">
        <f t="shared" si="237"/>
        <v>104.90451586796495</v>
      </c>
      <c r="AF378" s="31" t="str">
        <f t="shared" si="222"/>
        <v>-10.0808080808081</v>
      </c>
      <c r="AG378" s="31" t="str">
        <f t="shared" si="238"/>
        <v>250138.112470457i</v>
      </c>
      <c r="AH378" s="31">
        <f t="shared" si="239"/>
        <v>250138.11247045701</v>
      </c>
      <c r="AI378" s="31">
        <f t="shared" si="240"/>
        <v>1.5707963267948966</v>
      </c>
      <c r="AJ378" s="31" t="str">
        <f t="shared" si="223"/>
        <v>-1195.82547717695+335.869698724244i</v>
      </c>
      <c r="AK378" s="31">
        <f t="shared" si="241"/>
        <v>1242.0978328564117</v>
      </c>
      <c r="AL378" s="31">
        <f t="shared" si="242"/>
        <v>2.8677787796709704</v>
      </c>
      <c r="AM378" s="31" t="str">
        <f t="shared" si="224"/>
        <v>1+247927.291777199i</v>
      </c>
      <c r="AN378" s="31">
        <f t="shared" si="243"/>
        <v>247927.29177921571</v>
      </c>
      <c r="AO378" s="31">
        <f t="shared" si="244"/>
        <v>1.5707922933543148</v>
      </c>
      <c r="AP378" s="31" t="str">
        <f t="shared" si="225"/>
        <v>1+290.560431445683i</v>
      </c>
      <c r="AQ378" s="31">
        <f t="shared" si="245"/>
        <v>290.56215225301014</v>
      </c>
      <c r="AR378" s="31">
        <f t="shared" si="246"/>
        <v>1.5673547155376719</v>
      </c>
      <c r="AS378" s="58" t="str">
        <f t="shared" si="247"/>
        <v>-0.624273181108589+2.25243657672855i</v>
      </c>
      <c r="AT378" s="49">
        <f t="shared" si="248"/>
        <v>7.3744610895593778</v>
      </c>
      <c r="AU378" s="61">
        <f t="shared" si="249"/>
        <v>105.4909584487898</v>
      </c>
      <c r="AV378" s="58" t="str">
        <f t="shared" si="226"/>
        <v>-1.49380798910476-0.876253341360674i</v>
      </c>
      <c r="AW378" s="64">
        <f t="shared" si="250"/>
        <v>4.7701733393900261</v>
      </c>
      <c r="AX378" s="61">
        <f t="shared" si="251"/>
        <v>-149.60452568324521</v>
      </c>
    </row>
    <row r="379" spans="14:50" x14ac:dyDescent="0.4">
      <c r="N379" s="10">
        <v>61</v>
      </c>
      <c r="O379" s="50">
        <f t="shared" si="216"/>
        <v>40738.027780411358</v>
      </c>
      <c r="P379" s="48" t="str">
        <f t="shared" si="217"/>
        <v>5120.19230769231</v>
      </c>
      <c r="Q379" s="17" t="str">
        <f t="shared" si="218"/>
        <v>1+1196.14216067664i</v>
      </c>
      <c r="R379" s="17">
        <f t="shared" si="227"/>
        <v>1196.1425786870816</v>
      </c>
      <c r="S379" s="17">
        <f t="shared" si="228"/>
        <v>1.5699603059606695</v>
      </c>
      <c r="T379" s="17" t="str">
        <f t="shared" si="219"/>
        <v>1+0.00255708613015761i</v>
      </c>
      <c r="U379" s="17">
        <f t="shared" si="229"/>
        <v>1.0000032693393941</v>
      </c>
      <c r="V379" s="17">
        <f t="shared" si="230"/>
        <v>2.5570805568487518E-3</v>
      </c>
      <c r="W379" s="31" t="str">
        <f t="shared" si="220"/>
        <v>1-4.14662615701234i</v>
      </c>
      <c r="X379" s="17">
        <f t="shared" si="231"/>
        <v>4.265502137617438</v>
      </c>
      <c r="Y379" s="17">
        <f t="shared" si="232"/>
        <v>-1.3341548951303106</v>
      </c>
      <c r="Z379" s="31" t="str">
        <f t="shared" si="221"/>
        <v>0.336165237024974+25.2466158028673i</v>
      </c>
      <c r="AA379" s="17">
        <f t="shared" si="233"/>
        <v>25.248853767333141</v>
      </c>
      <c r="AB379" s="17">
        <f t="shared" si="234"/>
        <v>1.5574818542798157</v>
      </c>
      <c r="AC379" s="66" t="str">
        <f t="shared" si="235"/>
        <v>-0.18125773361724+0.700073734727036i</v>
      </c>
      <c r="AD379" s="64">
        <f t="shared" si="236"/>
        <v>-2.815335210953763</v>
      </c>
      <c r="AE379" s="61">
        <f t="shared" si="237"/>
        <v>104.51582876303988</v>
      </c>
      <c r="AF379" s="31" t="str">
        <f t="shared" si="222"/>
        <v>-10.0808080808081</v>
      </c>
      <c r="AG379" s="31" t="str">
        <f t="shared" si="238"/>
        <v>255964.577593354i</v>
      </c>
      <c r="AH379" s="31">
        <f t="shared" si="239"/>
        <v>255964.57759335401</v>
      </c>
      <c r="AI379" s="31">
        <f t="shared" si="240"/>
        <v>1.5707963267948966</v>
      </c>
      <c r="AJ379" s="31" t="str">
        <f t="shared" si="223"/>
        <v>-1252.23012418663+343.693109023968i</v>
      </c>
      <c r="AK379" s="31">
        <f t="shared" si="241"/>
        <v>1298.5396555789216</v>
      </c>
      <c r="AL379" s="31">
        <f t="shared" si="242"/>
        <v>2.8737240682248637</v>
      </c>
      <c r="AM379" s="31" t="str">
        <f t="shared" si="224"/>
        <v>1+253702.260270754i</v>
      </c>
      <c r="AN379" s="31">
        <f t="shared" si="243"/>
        <v>253702.26027272482</v>
      </c>
      <c r="AO379" s="31">
        <f t="shared" si="244"/>
        <v>1.5707923851666314</v>
      </c>
      <c r="AP379" s="31" t="str">
        <f t="shared" si="225"/>
        <v>1+297.32845333244i</v>
      </c>
      <c r="AQ379" s="31">
        <f t="shared" si="245"/>
        <v>297.33013496963429</v>
      </c>
      <c r="AR379" s="31">
        <f t="shared" si="246"/>
        <v>1.5674330555766256</v>
      </c>
      <c r="AS379" s="58" t="str">
        <f t="shared" si="247"/>
        <v>-0.598102543765043+2.20826493886918i</v>
      </c>
      <c r="AT379" s="49">
        <f t="shared" si="248"/>
        <v>7.1884705171121226</v>
      </c>
      <c r="AU379" s="61">
        <f t="shared" si="249"/>
        <v>105.15481232072153</v>
      </c>
      <c r="AV379" s="58" t="str">
        <f t="shared" si="226"/>
        <v>-1.43753757146736-0.818980979609175i</v>
      </c>
      <c r="AW379" s="64">
        <f t="shared" si="250"/>
        <v>4.3731353061583658</v>
      </c>
      <c r="AX379" s="61">
        <f t="shared" si="251"/>
        <v>-150.32935891623859</v>
      </c>
    </row>
    <row r="380" spans="14:50" x14ac:dyDescent="0.4">
      <c r="N380" s="10">
        <v>62</v>
      </c>
      <c r="O380" s="50">
        <f t="shared" si="216"/>
        <v>41686.938347033625</v>
      </c>
      <c r="P380" s="48" t="str">
        <f t="shared" si="217"/>
        <v>5120.19230769231</v>
      </c>
      <c r="Q380" s="17" t="str">
        <f t="shared" si="218"/>
        <v>1+1224.00389079196i</v>
      </c>
      <c r="R380" s="17">
        <f t="shared" si="227"/>
        <v>1224.0042992873252</v>
      </c>
      <c r="S380" s="17">
        <f t="shared" si="228"/>
        <v>1.5699793361096286</v>
      </c>
      <c r="T380" s="17" t="str">
        <f t="shared" si="219"/>
        <v>1+0.0026166483176486i</v>
      </c>
      <c r="U380" s="17">
        <f t="shared" si="229"/>
        <v>1.0000034234183492</v>
      </c>
      <c r="V380" s="17">
        <f t="shared" si="230"/>
        <v>2.6166423457416686E-3</v>
      </c>
      <c r="W380" s="31" t="str">
        <f t="shared" si="220"/>
        <v>1-4.2432134880788i</v>
      </c>
      <c r="X380" s="17">
        <f t="shared" si="231"/>
        <v>4.3594564690353161</v>
      </c>
      <c r="Y380" s="17">
        <f t="shared" si="232"/>
        <v>-1.3393491063881287</v>
      </c>
      <c r="Z380" s="31" t="str">
        <f t="shared" si="221"/>
        <v>0.304879668500245+25.8346850298787i</v>
      </c>
      <c r="AA380" s="17">
        <f t="shared" si="233"/>
        <v>25.836483936582848</v>
      </c>
      <c r="AB380" s="17">
        <f t="shared" si="234"/>
        <v>1.5589956984525133</v>
      </c>
      <c r="AC380" s="66" t="str">
        <f t="shared" si="235"/>
        <v>-0.172356129931319+0.684468917938211i</v>
      </c>
      <c r="AD380" s="64">
        <f t="shared" si="236"/>
        <v>-3.0259249774925117</v>
      </c>
      <c r="AE380" s="61">
        <f t="shared" si="237"/>
        <v>104.1338077900365</v>
      </c>
      <c r="AF380" s="31" t="str">
        <f t="shared" si="222"/>
        <v>-10.0808080808081</v>
      </c>
      <c r="AG380" s="31" t="str">
        <f t="shared" si="238"/>
        <v>261926.758523383i</v>
      </c>
      <c r="AH380" s="31">
        <f t="shared" si="239"/>
        <v>261926.758523383</v>
      </c>
      <c r="AI380" s="31">
        <f t="shared" si="240"/>
        <v>1.5707963267948966</v>
      </c>
      <c r="AJ380" s="31" t="str">
        <f t="shared" si="223"/>
        <v>-1311.2930403132+351.698749959412i</v>
      </c>
      <c r="AK380" s="31">
        <f t="shared" si="241"/>
        <v>1357.638187551031</v>
      </c>
      <c r="AL380" s="31">
        <f t="shared" si="242"/>
        <v>2.8795521904274834</v>
      </c>
      <c r="AM380" s="31" t="str">
        <f t="shared" si="224"/>
        <v>1+259611.745060851i</v>
      </c>
      <c r="AN380" s="31">
        <f t="shared" si="243"/>
        <v>259611.74506277696</v>
      </c>
      <c r="AO380" s="31">
        <f t="shared" si="244"/>
        <v>1.5707924748890447</v>
      </c>
      <c r="AP380" s="31" t="str">
        <f t="shared" si="225"/>
        <v>1+304.254122700762i</v>
      </c>
      <c r="AQ380" s="31">
        <f t="shared" si="245"/>
        <v>304.25576605942962</v>
      </c>
      <c r="AR380" s="31">
        <f t="shared" si="246"/>
        <v>1.5675096124184724</v>
      </c>
      <c r="AS380" s="58" t="str">
        <f t="shared" si="247"/>
        <v>-0.57295141869944+2.16466685650529i</v>
      </c>
      <c r="AT380" s="49">
        <f t="shared" si="248"/>
        <v>7.0018917386188377</v>
      </c>
      <c r="AU380" s="61">
        <f t="shared" si="249"/>
        <v>104.82527704067125</v>
      </c>
      <c r="AV380" s="58" t="str">
        <f t="shared" si="226"/>
        <v>-1.38289549180319-0.765261039566214i</v>
      </c>
      <c r="AW380" s="64">
        <f t="shared" si="250"/>
        <v>3.9759667611263239</v>
      </c>
      <c r="AX380" s="61">
        <f t="shared" si="251"/>
        <v>-151.04091516929225</v>
      </c>
    </row>
    <row r="381" spans="14:50" x14ac:dyDescent="0.4">
      <c r="N381" s="10">
        <v>63</v>
      </c>
      <c r="O381" s="50">
        <f t="shared" si="216"/>
        <v>42657.951880159271</v>
      </c>
      <c r="P381" s="48" t="str">
        <f t="shared" si="217"/>
        <v>5120.19230769231</v>
      </c>
      <c r="Q381" s="17" t="str">
        <f t="shared" si="218"/>
        <v>1+1252.51460397179i</v>
      </c>
      <c r="R381" s="17">
        <f t="shared" si="227"/>
        <v>1252.5150031686687</v>
      </c>
      <c r="S381" s="17">
        <f t="shared" si="228"/>
        <v>1.5699979330800837</v>
      </c>
      <c r="T381" s="17" t="str">
        <f t="shared" si="219"/>
        <v>1+0.00267759788671303i</v>
      </c>
      <c r="U381" s="17">
        <f t="shared" si="229"/>
        <v>1.0000035847587962</v>
      </c>
      <c r="V381" s="17">
        <f t="shared" si="230"/>
        <v>2.6775914877007027E-3</v>
      </c>
      <c r="W381" s="31" t="str">
        <f t="shared" si="220"/>
        <v>1-4.34205062710221i</v>
      </c>
      <c r="X381" s="17">
        <f t="shared" si="231"/>
        <v>4.455715840167402</v>
      </c>
      <c r="Y381" s="17">
        <f t="shared" si="232"/>
        <v>-1.344437400520172</v>
      </c>
      <c r="Z381" s="31" t="str">
        <f t="shared" si="221"/>
        <v>0.272119656556002+26.4364521488554i</v>
      </c>
      <c r="AA381" s="17">
        <f t="shared" si="233"/>
        <v>26.437852623203067</v>
      </c>
      <c r="AB381" s="17">
        <f t="shared" si="234"/>
        <v>1.5605033402398785</v>
      </c>
      <c r="AC381" s="66" t="str">
        <f t="shared" si="235"/>
        <v>-0.163854018854469+0.669195440383851i</v>
      </c>
      <c r="AD381" s="64">
        <f t="shared" si="236"/>
        <v>-3.2360759626326918</v>
      </c>
      <c r="AE381" s="61">
        <f t="shared" si="237"/>
        <v>103.75831510059604</v>
      </c>
      <c r="AF381" s="31" t="str">
        <f t="shared" si="222"/>
        <v>-10.0808080808081</v>
      </c>
      <c r="AG381" s="31" t="str">
        <f t="shared" si="238"/>
        <v>268027.816487791i</v>
      </c>
      <c r="AH381" s="31">
        <f t="shared" si="239"/>
        <v>268027.81648779102</v>
      </c>
      <c r="AI381" s="31">
        <f t="shared" si="240"/>
        <v>1.5707963267948966</v>
      </c>
      <c r="AJ381" s="31" t="str">
        <f t="shared" si="223"/>
        <v>-1373.13950592046+359.890866227366i</v>
      </c>
      <c r="AK381" s="31">
        <f t="shared" si="241"/>
        <v>1419.5187699757157</v>
      </c>
      <c r="AL381" s="31">
        <f t="shared" si="242"/>
        <v>2.8852647060396976</v>
      </c>
      <c r="AM381" s="31" t="str">
        <f t="shared" si="224"/>
        <v>1+265658.879434546i</v>
      </c>
      <c r="AN381" s="31">
        <f t="shared" si="243"/>
        <v>265658.87943642808</v>
      </c>
      <c r="AO381" s="31">
        <f t="shared" si="244"/>
        <v>1.5707925625691266</v>
      </c>
      <c r="AP381" s="31" t="str">
        <f t="shared" si="225"/>
        <v>1+311.341111632218i</v>
      </c>
      <c r="AQ381" s="31">
        <f t="shared" si="245"/>
        <v>311.34271758367049</v>
      </c>
      <c r="AR381" s="31">
        <f t="shared" si="246"/>
        <v>1.5675844266510717</v>
      </c>
      <c r="AS381" s="58" t="str">
        <f t="shared" si="247"/>
        <v>-0.548786508267004+2.12165388512114i</v>
      </c>
      <c r="AT381" s="49">
        <f t="shared" si="248"/>
        <v>6.814747743284272</v>
      </c>
      <c r="AU381" s="61">
        <f t="shared" si="249"/>
        <v>104.50226556916279</v>
      </c>
      <c r="AV381" s="58" t="str">
        <f t="shared" si="226"/>
        <v>-1.32988023112309-0.71488694477175i</v>
      </c>
      <c r="AW381" s="64">
        <f t="shared" si="250"/>
        <v>3.578671780651578</v>
      </c>
      <c r="AX381" s="61">
        <f t="shared" si="251"/>
        <v>-151.73941933024119</v>
      </c>
    </row>
    <row r="382" spans="14:50" x14ac:dyDescent="0.4">
      <c r="N382" s="10">
        <v>64</v>
      </c>
      <c r="O382" s="50">
        <f t="shared" si="216"/>
        <v>43651.583224016598</v>
      </c>
      <c r="P382" s="48" t="str">
        <f t="shared" si="217"/>
        <v>5120.19230769231</v>
      </c>
      <c r="Q382" s="17" t="str">
        <f t="shared" si="218"/>
        <v>1+1281.68941697364i</v>
      </c>
      <c r="R382" s="17">
        <f t="shared" si="227"/>
        <v>1281.689807083691</v>
      </c>
      <c r="S382" s="17">
        <f t="shared" si="228"/>
        <v>1.570016106732343</v>
      </c>
      <c r="T382" s="17" t="str">
        <f t="shared" si="219"/>
        <v>1+0.0027399671536192i</v>
      </c>
      <c r="U382" s="17">
        <f t="shared" si="229"/>
        <v>1.0000037537029562</v>
      </c>
      <c r="V382" s="17">
        <f t="shared" si="230"/>
        <v>2.7399602969553466E-3</v>
      </c>
      <c r="W382" s="31" t="str">
        <f t="shared" si="220"/>
        <v>1-4.44318997884194i</v>
      </c>
      <c r="X382" s="17">
        <f t="shared" si="231"/>
        <v>4.554331694999985</v>
      </c>
      <c r="Y382" s="17">
        <f t="shared" si="232"/>
        <v>-1.3494214210209168</v>
      </c>
      <c r="Z382" s="31" t="str">
        <f t="shared" si="221"/>
        <v>0.2378157128147+27.0522362246891i</v>
      </c>
      <c r="AA382" s="17">
        <f t="shared" si="233"/>
        <v>27.053281521280233</v>
      </c>
      <c r="AB382" s="17">
        <f t="shared" si="234"/>
        <v>1.562005571572922</v>
      </c>
      <c r="AC382" s="66" t="str">
        <f t="shared" si="235"/>
        <v>-0.155733527661435+0.654247305596029i</v>
      </c>
      <c r="AD382" s="64">
        <f t="shared" si="236"/>
        <v>-3.4458064397750925</v>
      </c>
      <c r="AE382" s="61">
        <f t="shared" si="237"/>
        <v>103.38921244163178</v>
      </c>
      <c r="AF382" s="31" t="str">
        <f t="shared" si="222"/>
        <v>-10.0808080808081</v>
      </c>
      <c r="AG382" s="31" t="str">
        <f t="shared" si="238"/>
        <v>274270.986348268i</v>
      </c>
      <c r="AH382" s="31">
        <f t="shared" si="239"/>
        <v>274270.98634826799</v>
      </c>
      <c r="AI382" s="31">
        <f t="shared" si="240"/>
        <v>1.5707963267948966</v>
      </c>
      <c r="AJ382" s="31" t="str">
        <f t="shared" si="223"/>
        <v>-1437.90070565387+368.273801396314i</v>
      </c>
      <c r="AK382" s="31">
        <f t="shared" si="241"/>
        <v>1484.3126463500839</v>
      </c>
      <c r="AL382" s="31">
        <f t="shared" si="242"/>
        <v>2.8908632026425614</v>
      </c>
      <c r="AM382" s="31" t="str">
        <f t="shared" si="224"/>
        <v>1+271846.869662528i</v>
      </c>
      <c r="AN382" s="31">
        <f t="shared" si="243"/>
        <v>271846.86966436723</v>
      </c>
      <c r="AO382" s="31">
        <f t="shared" si="244"/>
        <v>1.5707926482533661</v>
      </c>
      <c r="AP382" s="31" t="str">
        <f t="shared" si="225"/>
        <v>1+318.593177742148i</v>
      </c>
      <c r="AQ382" s="31">
        <f t="shared" si="245"/>
        <v>318.5947471378646</v>
      </c>
      <c r="AR382" s="31">
        <f t="shared" si="246"/>
        <v>1.567657537938568</v>
      </c>
      <c r="AS382" s="58" t="str">
        <f t="shared" si="247"/>
        <v>-0.52557506526098+2.07923608479048i</v>
      </c>
      <c r="AT382" s="49">
        <f t="shared" si="248"/>
        <v>6.6270607632252876</v>
      </c>
      <c r="AU382" s="61">
        <f t="shared" si="249"/>
        <v>104.18568921975393</v>
      </c>
      <c r="AV382" s="58" t="str">
        <f t="shared" si="226"/>
        <v>-1.27848494720823-0.667662840660825i</v>
      </c>
      <c r="AW382" s="64">
        <f t="shared" si="250"/>
        <v>3.1812543234502138</v>
      </c>
      <c r="AX382" s="61">
        <f t="shared" si="251"/>
        <v>-152.42509833861436</v>
      </c>
    </row>
    <row r="383" spans="14:50" x14ac:dyDescent="0.4">
      <c r="N383" s="10">
        <v>65</v>
      </c>
      <c r="O383" s="50">
        <f t="shared" si="216"/>
        <v>44668.359215096389</v>
      </c>
      <c r="P383" s="48" t="str">
        <f t="shared" si="217"/>
        <v>5120.19230769231</v>
      </c>
      <c r="Q383" s="17" t="str">
        <f t="shared" si="218"/>
        <v>1+1311.54379866953i</v>
      </c>
      <c r="R383" s="17">
        <f t="shared" si="227"/>
        <v>1311.5441798995946</v>
      </c>
      <c r="S383" s="17">
        <f t="shared" si="228"/>
        <v>1.5700338667022695</v>
      </c>
      <c r="T383" s="17" t="str">
        <f t="shared" si="219"/>
        <v>1+0.00280378918737798i</v>
      </c>
      <c r="U383" s="17">
        <f t="shared" si="229"/>
        <v>1.0000039306091788</v>
      </c>
      <c r="V383" s="17">
        <f t="shared" si="230"/>
        <v>2.8037818403318514E-3</v>
      </c>
      <c r="W383" s="31" t="str">
        <f t="shared" si="220"/>
        <v>1-4.54668516872105i</v>
      </c>
      <c r="X383" s="17">
        <f t="shared" si="231"/>
        <v>4.6553567020656921</v>
      </c>
      <c r="Y383" s="17">
        <f t="shared" si="232"/>
        <v>-1.3543028195951985</v>
      </c>
      <c r="Z383" s="31" t="str">
        <f t="shared" si="221"/>
        <v>0.201895074012441+27.6823637542481i</v>
      </c>
      <c r="AA383" s="17">
        <f t="shared" si="233"/>
        <v>27.683099982542043</v>
      </c>
      <c r="AB383" s="17">
        <f t="shared" si="234"/>
        <v>1.563503181737099</v>
      </c>
      <c r="AC383" s="66" t="str">
        <f t="shared" si="235"/>
        <v>-0.147977578931007+0.639618549988108i</v>
      </c>
      <c r="AD383" s="64">
        <f t="shared" si="236"/>
        <v>-3.655134058533021</v>
      </c>
      <c r="AE383" s="61">
        <f t="shared" si="237"/>
        <v>103.02636129719748</v>
      </c>
      <c r="AF383" s="31" t="str">
        <f t="shared" si="222"/>
        <v>-10.0808080808081</v>
      </c>
      <c r="AG383" s="31" t="str">
        <f t="shared" si="238"/>
        <v>280659.578316114i</v>
      </c>
      <c r="AH383" s="31">
        <f t="shared" si="239"/>
        <v>280659.57831611403</v>
      </c>
      <c r="AI383" s="31">
        <f t="shared" si="240"/>
        <v>1.5707963267948966</v>
      </c>
      <c r="AJ383" s="31" t="str">
        <f t="shared" si="223"/>
        <v>-1505.71400670076+376.852000209443i</v>
      </c>
      <c r="AK383" s="31">
        <f t="shared" si="241"/>
        <v>1552.1572407577507</v>
      </c>
      <c r="AL383" s="31">
        <f t="shared" si="242"/>
        <v>2.8963492918094436</v>
      </c>
      <c r="AM383" s="31" t="str">
        <f t="shared" si="224"/>
        <v>1+278178.996699126i</v>
      </c>
      <c r="AN383" s="31">
        <f t="shared" si="243"/>
        <v>278178.99670092337</v>
      </c>
      <c r="AO383" s="31">
        <f t="shared" si="244"/>
        <v>1.5707927319871942</v>
      </c>
      <c r="AP383" s="31" t="str">
        <f t="shared" si="225"/>
        <v>1+326.014166171998i</v>
      </c>
      <c r="AQ383" s="31">
        <f t="shared" si="245"/>
        <v>326.01569984407672</v>
      </c>
      <c r="AR383" s="31">
        <f t="shared" si="246"/>
        <v>1.5677289850424057</v>
      </c>
      <c r="AS383" s="58" t="str">
        <f t="shared" si="247"/>
        <v>-0.503284933227672+2.03742209840727i</v>
      </c>
      <c r="AT383" s="49">
        <f t="shared" si="248"/>
        <v>6.4388522865602758</v>
      </c>
      <c r="AU383" s="61">
        <f t="shared" si="249"/>
        <v>103.87545787956239</v>
      </c>
      <c r="AV383" s="58" t="str">
        <f t="shared" si="226"/>
        <v>-1.2286980823655-0.623403168604785i</v>
      </c>
      <c r="AW383" s="64">
        <f t="shared" si="250"/>
        <v>2.7837182280272419</v>
      </c>
      <c r="AX383" s="61">
        <f t="shared" si="251"/>
        <v>-153.09818082324009</v>
      </c>
    </row>
    <row r="384" spans="14:50" x14ac:dyDescent="0.4">
      <c r="N384" s="10">
        <v>66</v>
      </c>
      <c r="O384" s="50">
        <f t="shared" ref="O384:O418" si="252">10^(4+(N384/100))</f>
        <v>45708.818961487581</v>
      </c>
      <c r="P384" s="48" t="str">
        <f t="shared" si="217"/>
        <v>5120.19230769231</v>
      </c>
      <c r="Q384" s="17" t="str">
        <f t="shared" si="218"/>
        <v>1+1342.09357824781i</v>
      </c>
      <c r="R384" s="17">
        <f t="shared" si="227"/>
        <v>1342.0939508000213</v>
      </c>
      <c r="S384" s="17">
        <f t="shared" si="228"/>
        <v>1.5700512224063894</v>
      </c>
      <c r="T384" s="17" t="str">
        <f t="shared" si="219"/>
        <v>1+0.00286909782727643i</v>
      </c>
      <c r="U384" s="17">
        <f t="shared" si="229"/>
        <v>1.0000041158527011</v>
      </c>
      <c r="V384" s="17">
        <f t="shared" si="230"/>
        <v>2.8690899547764164E-3</v>
      </c>
      <c r="W384" s="31" t="str">
        <f t="shared" si="220"/>
        <v>1-4.65259107125907i</v>
      </c>
      <c r="X384" s="17">
        <f t="shared" si="231"/>
        <v>4.7588447838062145</v>
      </c>
      <c r="Y384" s="17">
        <f t="shared" si="232"/>
        <v>-1.3590832534877657</v>
      </c>
      <c r="Z384" s="31" t="str">
        <f t="shared" si="221"/>
        <v>0.164281547658383+28.3271688394887i</v>
      </c>
      <c r="AA384" s="17">
        <f t="shared" si="233"/>
        <v>28.327645205484352</v>
      </c>
      <c r="AB384" s="17">
        <f t="shared" si="234"/>
        <v>1.5649969577565666</v>
      </c>
      <c r="AC384" s="66" t="str">
        <f t="shared" si="235"/>
        <v>-0.140569855563614+0.625303248942527i</v>
      </c>
      <c r="AD384" s="64">
        <f t="shared" si="236"/>
        <v>-3.8640758607971906</v>
      </c>
      <c r="AE384" s="61">
        <f t="shared" si="237"/>
        <v>102.66962302018777</v>
      </c>
      <c r="AF384" s="31" t="str">
        <f t="shared" si="222"/>
        <v>-10.0808080808081</v>
      </c>
      <c r="AG384" s="31" t="str">
        <f t="shared" si="238"/>
        <v>287196.97970735i</v>
      </c>
      <c r="AH384" s="31">
        <f t="shared" si="239"/>
        <v>287196.97970735002</v>
      </c>
      <c r="AI384" s="31">
        <f t="shared" si="240"/>
        <v>1.5707963267948966</v>
      </c>
      <c r="AJ384" s="31" t="str">
        <f t="shared" si="223"/>
        <v>-1576.72325016451+385.630010941309i</v>
      </c>
      <c r="AK384" s="31">
        <f t="shared" si="241"/>
        <v>1623.1964492777606</v>
      </c>
      <c r="AL384" s="31">
        <f t="shared" si="242"/>
        <v>2.9017246054824009</v>
      </c>
      <c r="AM384" s="31" t="str">
        <f t="shared" si="224"/>
        <v>1+284658.617921906i</v>
      </c>
      <c r="AN384" s="31">
        <f t="shared" si="243"/>
        <v>284658.61792366253</v>
      </c>
      <c r="AO384" s="31">
        <f t="shared" si="244"/>
        <v>1.5707928138150076</v>
      </c>
      <c r="AP384" s="31" t="str">
        <f t="shared" si="225"/>
        <v>1+333.608011628058i</v>
      </c>
      <c r="AQ384" s="31">
        <f t="shared" si="245"/>
        <v>333.6095103896568</v>
      </c>
      <c r="AR384" s="31">
        <f t="shared" si="246"/>
        <v>1.5677988058418653</v>
      </c>
      <c r="AS384" s="58" t="str">
        <f t="shared" si="247"/>
        <v>-0.481884581266348+1.99621922845869i</v>
      </c>
      <c r="AT384" s="49">
        <f t="shared" si="248"/>
        <v>6.2501430713584902</v>
      </c>
      <c r="AU384" s="61">
        <f t="shared" si="249"/>
        <v>103.57148021806265</v>
      </c>
      <c r="AV384" s="58" t="str">
        <f t="shared" si="226"/>
        <v>-1.18050392316982-0.581932242898904i</v>
      </c>
      <c r="AW384" s="64">
        <f t="shared" si="250"/>
        <v>2.3860672105613014</v>
      </c>
      <c r="AX384" s="61">
        <f t="shared" si="251"/>
        <v>-153.75889676174958</v>
      </c>
    </row>
    <row r="385" spans="14:50" x14ac:dyDescent="0.4">
      <c r="N385" s="10">
        <v>67</v>
      </c>
      <c r="O385" s="50">
        <f t="shared" si="252"/>
        <v>46773.514128719893</v>
      </c>
      <c r="P385" s="48" t="str">
        <f t="shared" si="217"/>
        <v>5120.19230769231</v>
      </c>
      <c r="Q385" s="17" t="str">
        <f t="shared" si="218"/>
        <v>1+1373.35495360599i</v>
      </c>
      <c r="R385" s="17">
        <f t="shared" si="227"/>
        <v>1373.3553176778801</v>
      </c>
      <c r="S385" s="17">
        <f t="shared" si="228"/>
        <v>1.570068183046885</v>
      </c>
      <c r="T385" s="17" t="str">
        <f t="shared" si="219"/>
        <v>1+0.00293592770081992i</v>
      </c>
      <c r="U385" s="17">
        <f t="shared" si="229"/>
        <v>1.0000043098264448</v>
      </c>
      <c r="V385" s="17">
        <f t="shared" si="230"/>
        <v>2.9359192652861385E-3</v>
      </c>
      <c r="W385" s="31" t="str">
        <f t="shared" si="220"/>
        <v>1-4.76096383916743i</v>
      </c>
      <c r="X385" s="17">
        <f t="shared" si="231"/>
        <v>4.8648511465264663</v>
      </c>
      <c r="Y385" s="17">
        <f t="shared" si="232"/>
        <v>-1.3637643829850306</v>
      </c>
      <c r="Z385" s="31" t="str">
        <f t="shared" si="221"/>
        <v>0.124895350420173+28.9869933646026i</v>
      </c>
      <c r="AA385" s="17">
        <f t="shared" si="233"/>
        <v>28.987262429696109</v>
      </c>
      <c r="AB385" s="17">
        <f t="shared" si="234"/>
        <v>1.5664876847781355</v>
      </c>
      <c r="AC385" s="66" t="str">
        <f t="shared" si="235"/>
        <v>-0.133494767303061+0.611295522309469i</v>
      </c>
      <c r="AD385" s="64">
        <f t="shared" si="236"/>
        <v>-4.0726482971251547</v>
      </c>
      <c r="AE385" s="61">
        <f t="shared" si="237"/>
        <v>102.31885895422003</v>
      </c>
      <c r="AF385" s="31" t="str">
        <f t="shared" si="222"/>
        <v>-10.0808080808081</v>
      </c>
      <c r="AG385" s="31" t="str">
        <f t="shared" si="238"/>
        <v>293886.65673873i</v>
      </c>
      <c r="AH385" s="31">
        <f t="shared" si="239"/>
        <v>293886.65673872997</v>
      </c>
      <c r="AI385" s="31">
        <f t="shared" si="240"/>
        <v>1.5707963267948966</v>
      </c>
      <c r="AJ385" s="31" t="str">
        <f t="shared" si="223"/>
        <v>-1651.07905617092+394.612487809392i</v>
      </c>
      <c r="AK385" s="31">
        <f t="shared" si="241"/>
        <v>1697.5809451279113</v>
      </c>
      <c r="AL385" s="31">
        <f t="shared" si="242"/>
        <v>2.9069907925486862</v>
      </c>
      <c r="AM385" s="31" t="str">
        <f t="shared" si="224"/>
        <v>1+291289.168911811i</v>
      </c>
      <c r="AN385" s="31">
        <f t="shared" si="243"/>
        <v>291289.16891352757</v>
      </c>
      <c r="AO385" s="31">
        <f t="shared" si="244"/>
        <v>1.5707928937801925</v>
      </c>
      <c r="AP385" s="31" t="str">
        <f t="shared" si="225"/>
        <v>1+341.378740467709i</v>
      </c>
      <c r="AQ385" s="31">
        <f t="shared" si="245"/>
        <v>341.38020511347668</v>
      </c>
      <c r="AR385" s="31">
        <f t="shared" si="246"/>
        <v>1.5678670373541341</v>
      </c>
      <c r="AS385" s="58" t="str">
        <f t="shared" si="247"/>
        <v>-0.461343133677136+1.95563351210688i</v>
      </c>
      <c r="AT385" s="49">
        <f t="shared" si="248"/>
        <v>6.0609531603279896</v>
      </c>
      <c r="AU385" s="61">
        <f t="shared" si="249"/>
        <v>103.27366388438855</v>
      </c>
      <c r="AV385" s="58" t="str">
        <f t="shared" si="226"/>
        <v>-1.13388311495218-0.543083832493828i</v>
      </c>
      <c r="AW385" s="64">
        <f t="shared" si="250"/>
        <v>1.9883048632028206</v>
      </c>
      <c r="AX385" s="61">
        <f t="shared" si="251"/>
        <v>-154.40747716139137</v>
      </c>
    </row>
    <row r="386" spans="14:50" x14ac:dyDescent="0.4">
      <c r="N386" s="10">
        <v>68</v>
      </c>
      <c r="O386" s="50">
        <f t="shared" si="252"/>
        <v>47863.009232263823</v>
      </c>
      <c r="P386" s="48" t="str">
        <f t="shared" si="217"/>
        <v>5120.19230769231</v>
      </c>
      <c r="Q386" s="17" t="str">
        <f t="shared" si="218"/>
        <v>1+1405.34449993906i</v>
      </c>
      <c r="R386" s="17">
        <f t="shared" si="227"/>
        <v>1405.3448557236643</v>
      </c>
      <c r="S386" s="17">
        <f t="shared" si="228"/>
        <v>1.5700847576164736</v>
      </c>
      <c r="T386" s="17" t="str">
        <f t="shared" si="219"/>
        <v>1+0.00300431424209196i</v>
      </c>
      <c r="U386" s="17">
        <f t="shared" si="229"/>
        <v>1.0000045129418493</v>
      </c>
      <c r="V386" s="17">
        <f t="shared" si="230"/>
        <v>3.0043052032568663E-3</v>
      </c>
      <c r="W386" s="31" t="str">
        <f t="shared" si="220"/>
        <v>1-4.87186093312209i</v>
      </c>
      <c r="X386" s="17">
        <f t="shared" si="231"/>
        <v>4.973432310958021</v>
      </c>
      <c r="Y386" s="17">
        <f t="shared" si="232"/>
        <v>-1.3683478690826203</v>
      </c>
      <c r="Z386" s="31" t="str">
        <f t="shared" si="221"/>
        <v>0.08365293889289+29.6621871772865i</v>
      </c>
      <c r="AA386" s="17">
        <f t="shared" si="233"/>
        <v>29.662305135551506</v>
      </c>
      <c r="AB386" s="17">
        <f t="shared" si="234"/>
        <v>1.56797614645495</v>
      </c>
      <c r="AC386" s="66" t="str">
        <f t="shared" si="235"/>
        <v>-0.126737418700937+0.59758953935939i</v>
      </c>
      <c r="AD386" s="64">
        <f t="shared" si="236"/>
        <v>-4.2808672433765311</v>
      </c>
      <c r="AE386" s="61">
        <f t="shared" si="237"/>
        <v>101.97393054606189</v>
      </c>
      <c r="AF386" s="31" t="str">
        <f t="shared" si="222"/>
        <v>-10.0808080808081</v>
      </c>
      <c r="AG386" s="31" t="str">
        <f t="shared" si="238"/>
        <v>300732.156365561i</v>
      </c>
      <c r="AH386" s="31">
        <f t="shared" si="239"/>
        <v>300732.15636556101</v>
      </c>
      <c r="AI386" s="31">
        <f t="shared" si="240"/>
        <v>1.5707963267948966</v>
      </c>
      <c r="AJ386" s="31" t="str">
        <f t="shared" si="223"/>
        <v>-1728.93914335354+403.804193441824i</v>
      </c>
      <c r="AK386" s="31">
        <f t="shared" si="241"/>
        <v>1775.4684981889357</v>
      </c>
      <c r="AL386" s="31">
        <f t="shared" si="242"/>
        <v>2.9121495156126018</v>
      </c>
      <c r="AM386" s="31" t="str">
        <f t="shared" si="224"/>
        <v>1+298074.165274741i</v>
      </c>
      <c r="AN386" s="31">
        <f t="shared" si="243"/>
        <v>298074.16527641844</v>
      </c>
      <c r="AO386" s="31">
        <f t="shared" si="244"/>
        <v>1.5707929719251477</v>
      </c>
      <c r="AP386" s="31" t="str">
        <f t="shared" si="225"/>
        <v>1+349.330472834236i</v>
      </c>
      <c r="AQ386" s="31">
        <f t="shared" si="245"/>
        <v>349.33190414073391</v>
      </c>
      <c r="AR386" s="31">
        <f t="shared" si="246"/>
        <v>1.567933715753921</v>
      </c>
      <c r="AS386" s="58" t="str">
        <f t="shared" si="247"/>
        <v>-0.441630394813642+1.91566979438207i</v>
      </c>
      <c r="AT386" s="49">
        <f t="shared" si="248"/>
        <v>5.8713018961283323</v>
      </c>
      <c r="AU386" s="61">
        <f t="shared" si="249"/>
        <v>102.98191569341802</v>
      </c>
      <c r="AV386" s="58" t="str">
        <f t="shared" si="226"/>
        <v>-1.08881313373092-0.506700749027128i</v>
      </c>
      <c r="AW386" s="64">
        <f t="shared" si="250"/>
        <v>1.5904346527517874</v>
      </c>
      <c r="AX386" s="61">
        <f t="shared" si="251"/>
        <v>-155.04415376052003</v>
      </c>
    </row>
    <row r="387" spans="14:50" x14ac:dyDescent="0.4">
      <c r="N387" s="10">
        <v>69</v>
      </c>
      <c r="O387" s="50">
        <f t="shared" si="252"/>
        <v>48977.881936844598</v>
      </c>
      <c r="P387" s="48" t="str">
        <f t="shared" si="217"/>
        <v>5120.19230769231</v>
      </c>
      <c r="Q387" s="17" t="str">
        <f t="shared" si="218"/>
        <v>1+1438.07917852794i</v>
      </c>
      <c r="R387" s="17">
        <f t="shared" si="227"/>
        <v>1438.0795262138997</v>
      </c>
      <c r="S387" s="17">
        <f t="shared" si="228"/>
        <v>1.5701009549031744</v>
      </c>
      <c r="T387" s="17" t="str">
        <f t="shared" si="219"/>
        <v>1+0.00307429371054196i</v>
      </c>
      <c r="U387" s="17">
        <f t="shared" si="229"/>
        <v>1.0000047256297435</v>
      </c>
      <c r="V387" s="17">
        <f t="shared" si="230"/>
        <v>3.0742840252581324E-3</v>
      </c>
      <c r="W387" s="31" t="str">
        <f t="shared" si="220"/>
        <v>1-4.9853411522302i</v>
      </c>
      <c r="X387" s="17">
        <f t="shared" si="231"/>
        <v>5.0846461434518657</v>
      </c>
      <c r="Y387" s="17">
        <f t="shared" si="232"/>
        <v>-1.3728353713123105</v>
      </c>
      <c r="Z387" s="31" t="str">
        <f t="shared" si="221"/>
        <v>0.0404668323922061+30.3531082742372i</v>
      </c>
      <c r="AA387" s="17">
        <f t="shared" si="233"/>
        <v>30.35313524946131</v>
      </c>
      <c r="AB387" s="17">
        <f t="shared" si="234"/>
        <v>1.5694631253299598</v>
      </c>
      <c r="AC387" s="66" t="str">
        <f t="shared" si="235"/>
        <v>-0.120283578464319+0.584179523229121i</v>
      </c>
      <c r="AD387" s="64">
        <f t="shared" si="236"/>
        <v>-4.4887480175275645</v>
      </c>
      <c r="AE387" s="61">
        <f t="shared" si="237"/>
        <v>101.63469944897039</v>
      </c>
      <c r="AF387" s="31" t="str">
        <f t="shared" si="222"/>
        <v>-10.0808080808081</v>
      </c>
      <c r="AG387" s="31" t="str">
        <f t="shared" si="238"/>
        <v>307737.108162358i</v>
      </c>
      <c r="AH387" s="31">
        <f t="shared" si="239"/>
        <v>307737.108162358</v>
      </c>
      <c r="AI387" s="31">
        <f t="shared" si="240"/>
        <v>1.5707963267948966</v>
      </c>
      <c r="AJ387" s="31" t="str">
        <f t="shared" si="223"/>
        <v>-1810.46866339621+413.210001402601i</v>
      </c>
      <c r="AK387" s="31">
        <f t="shared" si="241"/>
        <v>1857.0243095874637</v>
      </c>
      <c r="AL387" s="31">
        <f t="shared" si="242"/>
        <v>2.9172024479575787</v>
      </c>
      <c r="AM387" s="31" t="str">
        <f t="shared" si="224"/>
        <v>1+305017.204505577i</v>
      </c>
      <c r="AN387" s="31">
        <f t="shared" si="243"/>
        <v>305017.20450721629</v>
      </c>
      <c r="AO387" s="31">
        <f t="shared" si="244"/>
        <v>1.5707930482913066</v>
      </c>
      <c r="AP387" s="31" t="str">
        <f t="shared" si="225"/>
        <v>1+357.467424841395i</v>
      </c>
      <c r="AQ387" s="31">
        <f t="shared" si="245"/>
        <v>357.46882356750831</v>
      </c>
      <c r="AR387" s="31">
        <f t="shared" si="246"/>
        <v>1.5679988763926227</v>
      </c>
      <c r="AS387" s="58" t="str">
        <f t="shared" si="247"/>
        <v>-0.422716869487805+1.87633179932288i</v>
      </c>
      <c r="AT387" s="49">
        <f t="shared" si="248"/>
        <v>5.6812079371998356</v>
      </c>
      <c r="AU387" s="61">
        <f t="shared" si="249"/>
        <v>102.69614180093222</v>
      </c>
      <c r="AV387" s="58" t="str">
        <f t="shared" si="226"/>
        <v>-1.04526871820885-0.472634442487243i</v>
      </c>
      <c r="AW387" s="64">
        <f t="shared" si="250"/>
        <v>1.1924599196722632</v>
      </c>
      <c r="AX387" s="61">
        <f t="shared" si="251"/>
        <v>-155.66915875009735</v>
      </c>
    </row>
    <row r="388" spans="14:50" x14ac:dyDescent="0.4">
      <c r="N388" s="10">
        <v>70</v>
      </c>
      <c r="O388" s="50">
        <f t="shared" si="252"/>
        <v>50118.723362727294</v>
      </c>
      <c r="P388" s="48" t="str">
        <f t="shared" si="217"/>
        <v>5120.19230769231</v>
      </c>
      <c r="Q388" s="17" t="str">
        <f t="shared" si="218"/>
        <v>1+1471.57634573251i</v>
      </c>
      <c r="R388" s="17">
        <f t="shared" si="227"/>
        <v>1471.5766855041729</v>
      </c>
      <c r="S388" s="17">
        <f t="shared" si="228"/>
        <v>1.5701167834949696</v>
      </c>
      <c r="T388" s="17" t="str">
        <f t="shared" si="219"/>
        <v>1+0.00314590321021039i</v>
      </c>
      <c r="U388" s="17">
        <f t="shared" si="229"/>
        <v>1.000004948341261</v>
      </c>
      <c r="V388" s="17">
        <f t="shared" si="230"/>
        <v>3.1458928322445658E-3</v>
      </c>
      <c r="W388" s="31" t="str">
        <f t="shared" si="220"/>
        <v>1-5.10146466520603i</v>
      </c>
      <c r="X388" s="17">
        <f t="shared" si="231"/>
        <v>5.1985518878189207</v>
      </c>
      <c r="Y388" s="17">
        <f t="shared" si="232"/>
        <v>-1.3772285457217659</v>
      </c>
      <c r="Z388" s="31" t="str">
        <f t="shared" si="221"/>
        <v>-0.00475457260383005+31.060122990966i</v>
      </c>
      <c r="AA388" s="17">
        <f t="shared" si="233"/>
        <v>31.060123354872491</v>
      </c>
      <c r="AB388" s="17">
        <f t="shared" si="234"/>
        <v>1.5709494032192259</v>
      </c>
      <c r="AC388" s="66" t="str">
        <f t="shared" si="235"/>
        <v>-0.114119650129706+0.571059754899001i</v>
      </c>
      <c r="AD388" s="64">
        <f t="shared" si="236"/>
        <v>-4.6963053965992332</v>
      </c>
      <c r="AE388" s="61">
        <f t="shared" si="237"/>
        <v>101.3010276173159</v>
      </c>
      <c r="AF388" s="31" t="str">
        <f t="shared" si="222"/>
        <v>-10.0808080808081</v>
      </c>
      <c r="AG388" s="31" t="str">
        <f t="shared" si="238"/>
        <v>314905.226247286i</v>
      </c>
      <c r="AH388" s="31">
        <f t="shared" si="239"/>
        <v>314905.22624728602</v>
      </c>
      <c r="AI388" s="31">
        <f t="shared" si="240"/>
        <v>1.5707963267948966</v>
      </c>
      <c r="AJ388" s="31" t="str">
        <f t="shared" si="223"/>
        <v>-1895.84055134178+422.834898775603i</v>
      </c>
      <c r="AK388" s="31">
        <f t="shared" si="241"/>
        <v>1942.4213620464739</v>
      </c>
      <c r="AL388" s="31">
        <f t="shared" si="242"/>
        <v>2.9221512706928086</v>
      </c>
      <c r="AM388" s="31" t="str">
        <f t="shared" si="224"/>
        <v>1+312121.967895623i</v>
      </c>
      <c r="AN388" s="31">
        <f t="shared" si="243"/>
        <v>312121.96789722494</v>
      </c>
      <c r="AO388" s="31">
        <f t="shared" si="244"/>
        <v>1.5707931229191594</v>
      </c>
      <c r="AP388" s="31" t="str">
        <f t="shared" si="225"/>
        <v>1+365.793910808848i</v>
      </c>
      <c r="AQ388" s="31">
        <f t="shared" si="245"/>
        <v>365.79527769618824</v>
      </c>
      <c r="AR388" s="31">
        <f t="shared" si="246"/>
        <v>1.5680625538170578</v>
      </c>
      <c r="AS388" s="58" t="str">
        <f t="shared" si="247"/>
        <v>-0.404573779264765+1.83762219893166i</v>
      </c>
      <c r="AT388" s="49">
        <f t="shared" si="248"/>
        <v>5.4906892740152475</v>
      </c>
      <c r="AU388" s="61">
        <f t="shared" si="249"/>
        <v>102.41624786817665</v>
      </c>
      <c r="AV388" s="58" t="str">
        <f t="shared" si="226"/>
        <v>-1.00322226437753-0.440744605638161i</v>
      </c>
      <c r="AW388" s="64">
        <f t="shared" si="250"/>
        <v>0.79438387741602012</v>
      </c>
      <c r="AX388" s="61">
        <f t="shared" si="251"/>
        <v>-156.28272451450746</v>
      </c>
    </row>
    <row r="389" spans="14:50" x14ac:dyDescent="0.4">
      <c r="N389" s="10">
        <v>71</v>
      </c>
      <c r="O389" s="50">
        <f t="shared" si="252"/>
        <v>51286.138399136544</v>
      </c>
      <c r="P389" s="48" t="str">
        <f t="shared" si="217"/>
        <v>5120.19230769231</v>
      </c>
      <c r="Q389" s="17" t="str">
        <f t="shared" si="218"/>
        <v>1+1505.8537621942i</v>
      </c>
      <c r="R389" s="17">
        <f t="shared" si="227"/>
        <v>1505.8540942317177</v>
      </c>
      <c r="S389" s="17">
        <f t="shared" si="228"/>
        <v>1.5701322517843561</v>
      </c>
      <c r="T389" s="17" t="str">
        <f t="shared" si="219"/>
        <v>1+0.00321918070940183i</v>
      </c>
      <c r="U389" s="17">
        <f t="shared" si="229"/>
        <v>1.0000051815487956</v>
      </c>
      <c r="V389" s="17">
        <f t="shared" si="230"/>
        <v>3.2191695892142122E-3</v>
      </c>
      <c r="W389" s="31" t="str">
        <f t="shared" si="220"/>
        <v>1-5.22029304227323i</v>
      </c>
      <c r="X389" s="17">
        <f t="shared" si="231"/>
        <v>5.3152101978384918</v>
      </c>
      <c r="Y389" s="17">
        <f t="shared" si="232"/>
        <v>-1.3815290430005567</v>
      </c>
      <c r="Z389" s="31" t="str">
        <f t="shared" si="221"/>
        <v>-0.0521071967581599+31.7836061960339i</v>
      </c>
      <c r="AA389" s="17">
        <f t="shared" si="233"/>
        <v>31.78364890921932</v>
      </c>
      <c r="AB389" s="17">
        <f t="shared" si="234"/>
        <v>1.5724357615951241</v>
      </c>
      <c r="AC389" s="66" t="str">
        <f t="shared" si="235"/>
        <v>-0.108232644008158+0.558224576735643i</v>
      </c>
      <c r="AD389" s="64">
        <f t="shared" si="236"/>
        <v>-4.9035536336439902</v>
      </c>
      <c r="AE389" s="61">
        <f t="shared" si="237"/>
        <v>100.97277739286351</v>
      </c>
      <c r="AF389" s="31" t="str">
        <f t="shared" si="222"/>
        <v>-10.0808080808081</v>
      </c>
      <c r="AG389" s="31" t="str">
        <f t="shared" si="238"/>
        <v>322240.311251434i</v>
      </c>
      <c r="AH389" s="31">
        <f t="shared" si="239"/>
        <v>322240.31125143397</v>
      </c>
      <c r="AI389" s="31">
        <f t="shared" si="240"/>
        <v>1.5707963267948966</v>
      </c>
      <c r="AJ389" s="31" t="str">
        <f t="shared" si="223"/>
        <v>-1985.2358924106+432.683988808816i</v>
      </c>
      <c r="AK389" s="31">
        <f t="shared" si="241"/>
        <v>2031.8407867465451</v>
      </c>
      <c r="AL389" s="31">
        <f t="shared" si="242"/>
        <v>2.9269976700785834</v>
      </c>
      <c r="AM389" s="31" t="str">
        <f t="shared" si="224"/>
        <v>1+319392.22248447i</v>
      </c>
      <c r="AN389" s="31">
        <f t="shared" si="243"/>
        <v>319392.22248603549</v>
      </c>
      <c r="AO389" s="31">
        <f t="shared" si="244"/>
        <v>1.5707931958482748</v>
      </c>
      <c r="AP389" s="31" t="str">
        <f t="shared" si="225"/>
        <v>1+374.314345549666i</v>
      </c>
      <c r="AQ389" s="31">
        <f t="shared" si="245"/>
        <v>374.315681322964</v>
      </c>
      <c r="AR389" s="31">
        <f t="shared" si="246"/>
        <v>1.568124781787773</v>
      </c>
      <c r="AS389" s="58" t="str">
        <f t="shared" si="247"/>
        <v>-0.387173074972886+1.79954267983909i</v>
      </c>
      <c r="AT389" s="49">
        <f t="shared" si="248"/>
        <v>5.2997632456592711</v>
      </c>
      <c r="AU389" s="61">
        <f t="shared" si="249"/>
        <v>102.1421392161571</v>
      </c>
      <c r="AV389" s="58" t="str">
        <f t="shared" si="226"/>
        <v>-0.962644185177816-0.410898788144687i</v>
      </c>
      <c r="AW389" s="64">
        <f t="shared" si="250"/>
        <v>0.39620961201527483</v>
      </c>
      <c r="AX389" s="61">
        <f t="shared" si="251"/>
        <v>-156.88508339097939</v>
      </c>
    </row>
    <row r="390" spans="14:50" x14ac:dyDescent="0.4">
      <c r="N390" s="10">
        <v>72</v>
      </c>
      <c r="O390" s="50">
        <f t="shared" si="252"/>
        <v>52480.746024977314</v>
      </c>
      <c r="P390" s="48" t="str">
        <f t="shared" si="217"/>
        <v>5120.19230769231</v>
      </c>
      <c r="Q390" s="17" t="str">
        <f t="shared" si="218"/>
        <v>1+1540.92960225293i</v>
      </c>
      <c r="R390" s="17">
        <f t="shared" si="227"/>
        <v>1540.9299267323522</v>
      </c>
      <c r="S390" s="17">
        <f t="shared" si="228"/>
        <v>1.5701473679727964</v>
      </c>
      <c r="T390" s="17" t="str">
        <f t="shared" si="219"/>
        <v>1+0.00329416506081627i</v>
      </c>
      <c r="U390" s="17">
        <f t="shared" si="229"/>
        <v>1.0000054257470046</v>
      </c>
      <c r="V390" s="17">
        <f t="shared" si="230"/>
        <v>3.2941531453240512E-3</v>
      </c>
      <c r="W390" s="31" t="str">
        <f t="shared" si="220"/>
        <v>1-5.34188928781017i</v>
      </c>
      <c r="X390" s="17">
        <f t="shared" si="231"/>
        <v>5.4346831704544689</v>
      </c>
      <c r="Y390" s="17">
        <f t="shared" si="232"/>
        <v>-1.3857385067459087</v>
      </c>
      <c r="Z390" s="31" t="str">
        <f t="shared" si="221"/>
        <v>-0.10169148133527+32.5239414898126i</v>
      </c>
      <c r="AA390" s="17">
        <f t="shared" si="233"/>
        <v>32.524100467040277</v>
      </c>
      <c r="AB390" s="17">
        <f t="shared" si="234"/>
        <v>1.5739229819694913</v>
      </c>
      <c r="AC390" s="66" t="str">
        <f t="shared" si="235"/>
        <v>-0.102610150348706+0.545668395632781i</v>
      </c>
      <c r="AD390" s="64">
        <f t="shared" si="236"/>
        <v>-5.1105064747395996</v>
      </c>
      <c r="AE390" s="61">
        <f t="shared" si="237"/>
        <v>100.64981158308237</v>
      </c>
      <c r="AF390" s="31" t="str">
        <f t="shared" si="222"/>
        <v>-10.0808080808081</v>
      </c>
      <c r="AG390" s="31" t="str">
        <f t="shared" si="238"/>
        <v>329746.252333961i</v>
      </c>
      <c r="AH390" s="31">
        <f t="shared" si="239"/>
        <v>329746.25233396102</v>
      </c>
      <c r="AI390" s="31">
        <f t="shared" si="240"/>
        <v>1.5707963267948966</v>
      </c>
      <c r="AJ390" s="31" t="str">
        <f t="shared" si="223"/>
        <v>-2078.84430610648+442.762493620146i</v>
      </c>
      <c r="AK390" s="31">
        <f t="shared" si="241"/>
        <v>2125.4722474753844</v>
      </c>
      <c r="AL390" s="31">
        <f t="shared" si="242"/>
        <v>2.9317433350241555</v>
      </c>
      <c r="AM390" s="31" t="str">
        <f t="shared" si="224"/>
        <v>1+326831.823057334i</v>
      </c>
      <c r="AN390" s="31">
        <f t="shared" si="243"/>
        <v>326831.82305886381</v>
      </c>
      <c r="AO390" s="31">
        <f t="shared" si="244"/>
        <v>1.570793267117321</v>
      </c>
      <c r="AP390" s="31" t="str">
        <f t="shared" si="225"/>
        <v>1+383.033246711129i</v>
      </c>
      <c r="AQ390" s="31">
        <f t="shared" si="245"/>
        <v>383.03455207861936</v>
      </c>
      <c r="AR390" s="31">
        <f t="shared" si="246"/>
        <v>1.5681855932969331</v>
      </c>
      <c r="AS390" s="58" t="str">
        <f t="shared" si="247"/>
        <v>-0.370487445741861+1.7620940075992i</v>
      </c>
      <c r="AT390" s="49">
        <f t="shared" si="248"/>
        <v>5.1084465566559869</v>
      </c>
      <c r="AU390" s="61">
        <f t="shared" si="249"/>
        <v>101.8737209700288</v>
      </c>
      <c r="AV390" s="58" t="str">
        <f t="shared" si="226"/>
        <v>-0.923503237570912-0.382972021168356i</v>
      </c>
      <c r="AW390" s="64">
        <f t="shared" si="250"/>
        <v>-2.059918083618197E-3</v>
      </c>
      <c r="AX390" s="61">
        <f t="shared" si="251"/>
        <v>-157.47646744688882</v>
      </c>
    </row>
    <row r="391" spans="14:50" x14ac:dyDescent="0.4">
      <c r="N391" s="10">
        <v>73</v>
      </c>
      <c r="O391" s="50">
        <f t="shared" si="252"/>
        <v>53703.179637025423</v>
      </c>
      <c r="P391" s="48" t="str">
        <f t="shared" si="217"/>
        <v>5120.19230769231</v>
      </c>
      <c r="Q391" s="17" t="str">
        <f t="shared" si="218"/>
        <v>1+1576.8224635834i</v>
      </c>
      <c r="R391" s="17">
        <f t="shared" si="227"/>
        <v>1576.8227806767704</v>
      </c>
      <c r="S391" s="17">
        <f t="shared" si="228"/>
        <v>1.5701621400750656</v>
      </c>
      <c r="T391" s="17" t="str">
        <f t="shared" si="219"/>
        <v>1+0.0033708960221494i</v>
      </c>
      <c r="U391" s="17">
        <f t="shared" si="229"/>
        <v>1.0000056814538565</v>
      </c>
      <c r="V391" s="17">
        <f t="shared" si="230"/>
        <v>3.3708832544733737E-3</v>
      </c>
      <c r="W391" s="31" t="str">
        <f t="shared" si="220"/>
        <v>1-5.46631787375578i</v>
      </c>
      <c r="X391" s="17">
        <f t="shared" si="231"/>
        <v>5.5570343796796777</v>
      </c>
      <c r="Y391" s="17">
        <f t="shared" si="232"/>
        <v>-1.3898585718617102</v>
      </c>
      <c r="Z391" s="31" t="str">
        <f t="shared" si="221"/>
        <v>-0.15361260125065+33.2815214078746i</v>
      </c>
      <c r="AA391" s="17">
        <f t="shared" si="233"/>
        <v>33.281875909480796</v>
      </c>
      <c r="AB391" s="17">
        <f t="shared" si="234"/>
        <v>1.5754118462767868</v>
      </c>
      <c r="AC391" s="66" t="str">
        <f t="shared" si="235"/>
        <v>-0.0972403136691403+0.533385685780407i</v>
      </c>
      <c r="AD391" s="64">
        <f t="shared" si="236"/>
        <v>-5.3171771759443338</v>
      </c>
      <c r="AE391" s="61">
        <f t="shared" si="237"/>
        <v>100.33199353185344</v>
      </c>
      <c r="AF391" s="31" t="str">
        <f t="shared" si="222"/>
        <v>-10.0808080808081</v>
      </c>
      <c r="AG391" s="31" t="str">
        <f t="shared" si="238"/>
        <v>337427.029244184i</v>
      </c>
      <c r="AH391" s="31">
        <f t="shared" si="239"/>
        <v>337427.02924418403</v>
      </c>
      <c r="AI391" s="31">
        <f t="shared" si="240"/>
        <v>1.5707963267948966</v>
      </c>
      <c r="AJ391" s="31" t="str">
        <f t="shared" si="223"/>
        <v>-2176.86434842521+453.075756966248i</v>
      </c>
      <c r="AK391" s="31">
        <f t="shared" si="241"/>
        <v>2223.514342880489</v>
      </c>
      <c r="AL391" s="31">
        <f t="shared" si="242"/>
        <v>2.9363899547518302</v>
      </c>
      <c r="AM391" s="31" t="str">
        <f t="shared" si="224"/>
        <v>1+334444.714188913i</v>
      </c>
      <c r="AN391" s="31">
        <f t="shared" si="243"/>
        <v>334444.71419040806</v>
      </c>
      <c r="AO391" s="31">
        <f t="shared" si="244"/>
        <v>1.5707933367640856</v>
      </c>
      <c r="AP391" s="31" t="str">
        <f t="shared" si="225"/>
        <v>1+391.955237170044i</v>
      </c>
      <c r="AQ391" s="31">
        <f t="shared" si="245"/>
        <v>391.95651282384051</v>
      </c>
      <c r="AR391" s="31">
        <f t="shared" si="246"/>
        <v>1.5682450205858049</v>
      </c>
      <c r="AS391" s="58" t="str">
        <f t="shared" si="247"/>
        <v>-0.354490324867473+1.72527608855761i</v>
      </c>
      <c r="AT391" s="49">
        <f t="shared" si="248"/>
        <v>4.9167552939650854</v>
      </c>
      <c r="AU391" s="61">
        <f t="shared" si="249"/>
        <v>101.61089819393679</v>
      </c>
      <c r="AV391" s="58" t="str">
        <f t="shared" si="226"/>
        <v>-0.885766819273051-0.356846453049166i</v>
      </c>
      <c r="AW391" s="64">
        <f t="shared" si="250"/>
        <v>-0.40042188197924544</v>
      </c>
      <c r="AX391" s="61">
        <f t="shared" si="251"/>
        <v>-158.05710827420975</v>
      </c>
    </row>
    <row r="392" spans="14:50" x14ac:dyDescent="0.4">
      <c r="N392" s="10">
        <v>74</v>
      </c>
      <c r="O392" s="50">
        <f t="shared" si="252"/>
        <v>54954.087385762505</v>
      </c>
      <c r="P392" s="48" t="str">
        <f t="shared" si="217"/>
        <v>5120.19230769231</v>
      </c>
      <c r="Q392" s="17" t="str">
        <f t="shared" si="218"/>
        <v>1+1613.55137705576i</v>
      </c>
      <c r="R392" s="17">
        <f t="shared" si="227"/>
        <v>1613.5516869312057</v>
      </c>
      <c r="S392" s="17">
        <f t="shared" si="228"/>
        <v>1.5701765759235025</v>
      </c>
      <c r="T392" s="17" t="str">
        <f t="shared" si="219"/>
        <v>1+0.00344941427717255i</v>
      </c>
      <c r="U392" s="17">
        <f t="shared" si="229"/>
        <v>1.0000059492117312</v>
      </c>
      <c r="V392" s="17">
        <f t="shared" si="230"/>
        <v>3.4494005963656006E-3</v>
      </c>
      <c r="W392" s="31" t="str">
        <f t="shared" si="220"/>
        <v>1-5.59364477379331i</v>
      </c>
      <c r="X392" s="17">
        <f t="shared" si="231"/>
        <v>5.6823289112286712</v>
      </c>
      <c r="Y392" s="17">
        <f t="shared" si="232"/>
        <v>-1.3938908630843603</v>
      </c>
      <c r="Z392" s="31" t="str">
        <f t="shared" si="221"/>
        <v>-0.20798068816081+34.0567476291199i</v>
      </c>
      <c r="AA392" s="17">
        <f t="shared" si="233"/>
        <v>34.057382680414705</v>
      </c>
      <c r="AB392" s="17">
        <f t="shared" si="234"/>
        <v>1.5769031372573061</v>
      </c>
      <c r="AC392" s="66" t="str">
        <f t="shared" si="235"/>
        <v>-0.0921118082052014+0.521370991090383i</v>
      </c>
      <c r="AD392" s="64">
        <f t="shared" si="236"/>
        <v>-5.5235785201726575</v>
      </c>
      <c r="AE392" s="61">
        <f t="shared" si="237"/>
        <v>100.01918718293813</v>
      </c>
      <c r="AF392" s="31" t="str">
        <f t="shared" si="222"/>
        <v>-10.0808080808081</v>
      </c>
      <c r="AG392" s="31" t="str">
        <f t="shared" si="238"/>
        <v>345286.714431686i</v>
      </c>
      <c r="AH392" s="31">
        <f t="shared" si="239"/>
        <v>345286.71443168598</v>
      </c>
      <c r="AI392" s="31">
        <f t="shared" si="240"/>
        <v>1.5707963267948966</v>
      </c>
      <c r="AJ392" s="31" t="str">
        <f t="shared" si="223"/>
        <v>-2279.50393301832+463.629247075859i</v>
      </c>
      <c r="AK392" s="31">
        <f t="shared" si="241"/>
        <v>2326.1750276774355</v>
      </c>
      <c r="AL392" s="31">
        <f t="shared" si="242"/>
        <v>2.9409392166207895</v>
      </c>
      <c r="AM392" s="31" t="str">
        <f t="shared" si="224"/>
        <v>1+342234.932334854i</v>
      </c>
      <c r="AN392" s="31">
        <f t="shared" si="243"/>
        <v>342234.93233631499</v>
      </c>
      <c r="AO392" s="31">
        <f t="shared" si="244"/>
        <v>1.5707934048254963</v>
      </c>
      <c r="AP392" s="31" t="str">
        <f t="shared" si="225"/>
        <v>1+401.085047483847i</v>
      </c>
      <c r="AQ392" s="31">
        <f t="shared" si="245"/>
        <v>401.08629410030926</v>
      </c>
      <c r="AR392" s="31">
        <f t="shared" si="246"/>
        <v>1.568303095161844</v>
      </c>
      <c r="AS392" s="58" t="str">
        <f t="shared" si="247"/>
        <v>-0.339155892787833+1.68908802925758i</v>
      </c>
      <c r="AT392" s="49">
        <f t="shared" si="248"/>
        <v>4.7247049440809477</v>
      </c>
      <c r="AU392" s="61">
        <f t="shared" si="249"/>
        <v>101.35357601668127</v>
      </c>
      <c r="AV392" s="58" t="str">
        <f t="shared" si="226"/>
        <v>-0.84940123730479-0.332410996549612i</v>
      </c>
      <c r="AW392" s="64">
        <f t="shared" si="250"/>
        <v>-0.79887357609170717</v>
      </c>
      <c r="AX392" s="61">
        <f t="shared" si="251"/>
        <v>-158.62723680038059</v>
      </c>
    </row>
    <row r="393" spans="14:50" x14ac:dyDescent="0.4">
      <c r="N393" s="10">
        <v>75</v>
      </c>
      <c r="O393" s="50">
        <f t="shared" si="252"/>
        <v>56234.132519034953</v>
      </c>
      <c r="P393" s="48" t="str">
        <f t="shared" si="217"/>
        <v>5120.19230769231</v>
      </c>
      <c r="Q393" s="17" t="str">
        <f t="shared" si="218"/>
        <v>1+1651.13581682612i</v>
      </c>
      <c r="R393" s="17">
        <f t="shared" si="227"/>
        <v>1651.1361196479404</v>
      </c>
      <c r="S393" s="17">
        <f t="shared" si="228"/>
        <v>1.5701906831721606</v>
      </c>
      <c r="T393" s="17" t="str">
        <f t="shared" si="219"/>
        <v>1+0.00352976145730385i</v>
      </c>
      <c r="U393" s="17">
        <f t="shared" si="229"/>
        <v>1.0000062295885688</v>
      </c>
      <c r="V393" s="17">
        <f t="shared" si="230"/>
        <v>3.5297467980600246E-3</v>
      </c>
      <c r="W393" s="31" t="str">
        <f t="shared" si="220"/>
        <v>1-5.72393749833056i</v>
      </c>
      <c r="X393" s="17">
        <f t="shared" si="231"/>
        <v>5.8106333979003271</v>
      </c>
      <c r="Y393" s="17">
        <f t="shared" si="232"/>
        <v>-1.3978369936291899</v>
      </c>
      <c r="Z393" s="31" t="str">
        <f t="shared" si="221"/>
        <v>-0.26491106406736+34.8500311887525i</v>
      </c>
      <c r="AA393" s="17">
        <f t="shared" si="233"/>
        <v>34.851038029431599</v>
      </c>
      <c r="AB393" s="17">
        <f t="shared" si="234"/>
        <v>1.5783976388405219</v>
      </c>
      <c r="AC393" s="66" t="str">
        <f t="shared" si="235"/>
        <v>-0.0872138144310952+0.509618927304673i</v>
      </c>
      <c r="AD393" s="64">
        <f t="shared" si="236"/>
        <v>-5.7297228339571973</v>
      </c>
      <c r="AE393" s="61">
        <f t="shared" si="237"/>
        <v>99.711257136566246</v>
      </c>
      <c r="AF393" s="31" t="str">
        <f t="shared" si="222"/>
        <v>-10.0808080808081</v>
      </c>
      <c r="AG393" s="31" t="str">
        <f t="shared" si="238"/>
        <v>353329.47520559i</v>
      </c>
      <c r="AH393" s="31">
        <f t="shared" si="239"/>
        <v>353329.47520559002</v>
      </c>
      <c r="AI393" s="31">
        <f t="shared" si="240"/>
        <v>1.5707963267948966</v>
      </c>
      <c r="AJ393" s="31" t="str">
        <f t="shared" si="223"/>
        <v>-2386.98077220583+474.428559549129i</v>
      </c>
      <c r="AK393" s="31">
        <f t="shared" si="241"/>
        <v>2433.6720537073602</v>
      </c>
      <c r="AL393" s="31">
        <f t="shared" si="242"/>
        <v>2.9453928041041686</v>
      </c>
      <c r="AM393" s="31" t="str">
        <f t="shared" si="224"/>
        <v>1+350206.607971934i</v>
      </c>
      <c r="AN393" s="31">
        <f t="shared" si="243"/>
        <v>350206.60797336174</v>
      </c>
      <c r="AO393" s="31">
        <f t="shared" si="244"/>
        <v>1.5707934713376401</v>
      </c>
      <c r="AP393" s="31" t="str">
        <f t="shared" si="225"/>
        <v>1+410.427518398814i</v>
      </c>
      <c r="AQ393" s="31">
        <f t="shared" si="245"/>
        <v>410.4287366389064</v>
      </c>
      <c r="AR393" s="31">
        <f t="shared" si="246"/>
        <v>1.5683598478153913</v>
      </c>
      <c r="AS393" s="58" t="str">
        <f t="shared" si="247"/>
        <v>-0.3244590774408+1.65352819336528i</v>
      </c>
      <c r="AT393" s="49">
        <f t="shared" si="248"/>
        <v>4.5323104101679981</v>
      </c>
      <c r="AU393" s="61">
        <f t="shared" si="249"/>
        <v>101.10165974858093</v>
      </c>
      <c r="AV393" s="58" t="str">
        <f t="shared" si="226"/>
        <v>-0.814371950400442-0.309560988012388i</v>
      </c>
      <c r="AW393" s="64">
        <f t="shared" si="250"/>
        <v>-1.1974124237891939</v>
      </c>
      <c r="AX393" s="61">
        <f t="shared" si="251"/>
        <v>-159.18708311485281</v>
      </c>
    </row>
    <row r="394" spans="14:50" x14ac:dyDescent="0.4">
      <c r="N394" s="10">
        <v>76</v>
      </c>
      <c r="O394" s="50">
        <f t="shared" si="252"/>
        <v>57543.993733715732</v>
      </c>
      <c r="P394" s="48" t="str">
        <f t="shared" si="217"/>
        <v>5120.19230769231</v>
      </c>
      <c r="Q394" s="17" t="str">
        <f t="shared" si="218"/>
        <v>1+1689.59571066193i</v>
      </c>
      <c r="R394" s="17">
        <f t="shared" si="227"/>
        <v>1689.5960065906856</v>
      </c>
      <c r="S394" s="17">
        <f t="shared" si="228"/>
        <v>1.5702044693008674</v>
      </c>
      <c r="T394" s="17" t="str">
        <f t="shared" si="219"/>
        <v>1+0.00361198016368173i</v>
      </c>
      <c r="U394" s="17">
        <f t="shared" si="229"/>
        <v>1.0000065231790756</v>
      </c>
      <c r="V394" s="17">
        <f t="shared" si="230"/>
        <v>3.6119644560245047E-3</v>
      </c>
      <c r="W394" s="31" t="str">
        <f t="shared" si="220"/>
        <v>1-5.85726513029469i</v>
      </c>
      <c r="X394" s="17">
        <f t="shared" si="231"/>
        <v>5.9420160557310906</v>
      </c>
      <c r="Y394" s="17">
        <f t="shared" si="232"/>
        <v>-1.4016985639512707</v>
      </c>
      <c r="Z394" s="31" t="str">
        <f t="shared" si="221"/>
        <v>-0.32452448593037+35.6617926962162i</v>
      </c>
      <c r="AA394" s="17">
        <f t="shared" si="233"/>
        <v>35.66326926194327</v>
      </c>
      <c r="AB394" s="17">
        <f t="shared" si="234"/>
        <v>1.5798961365285888</v>
      </c>
      <c r="AC394" s="66" t="str">
        <f t="shared" si="235"/>
        <v>-0.0825359966061188+0.498124183810749i</v>
      </c>
      <c r="AD394" s="64">
        <f t="shared" si="236"/>
        <v>-5.935622004064073</v>
      </c>
      <c r="AE394" s="61">
        <f t="shared" si="237"/>
        <v>99.408068699493782</v>
      </c>
      <c r="AF394" s="31" t="str">
        <f t="shared" si="222"/>
        <v>-10.0808080808081</v>
      </c>
      <c r="AG394" s="31" t="str">
        <f t="shared" si="238"/>
        <v>361559.575944117i</v>
      </c>
      <c r="AH394" s="31">
        <f t="shared" si="239"/>
        <v>361559.57594411698</v>
      </c>
      <c r="AI394" s="31">
        <f t="shared" si="240"/>
        <v>1.5707963267948966</v>
      </c>
      <c r="AJ394" s="31" t="str">
        <f t="shared" si="223"/>
        <v>-2499.52283877336+485.479420324476i</v>
      </c>
      <c r="AK394" s="31">
        <f t="shared" si="241"/>
        <v>2546.2334317788359</v>
      </c>
      <c r="AL394" s="31">
        <f t="shared" si="242"/>
        <v>2.9497523949128341</v>
      </c>
      <c r="AM394" s="31" t="str">
        <f t="shared" si="224"/>
        <v>1+358363.967788094i</v>
      </c>
      <c r="AN394" s="31">
        <f t="shared" si="243"/>
        <v>358363.96778948925</v>
      </c>
      <c r="AO394" s="31">
        <f t="shared" si="244"/>
        <v>1.5707935363357828</v>
      </c>
      <c r="AP394" s="31" t="str">
        <f t="shared" si="225"/>
        <v>1+419.987603416687i</v>
      </c>
      <c r="AQ394" s="31">
        <f t="shared" si="245"/>
        <v>419.98879392632887</v>
      </c>
      <c r="AR394" s="31">
        <f t="shared" si="246"/>
        <v>1.5684153086359915</v>
      </c>
      <c r="AS394" s="58" t="str">
        <f t="shared" si="247"/>
        <v>-0.310375552257667+1.618594256113i</v>
      </c>
      <c r="AT394" s="49">
        <f t="shared" si="248"/>
        <v>4.3395860291775659</v>
      </c>
      <c r="AU394" s="61">
        <f t="shared" si="249"/>
        <v>100.85505498990831</v>
      </c>
      <c r="AV394" s="58" t="str">
        <f t="shared" si="226"/>
        <v>-0.780643787219294-0.288197858672387i</v>
      </c>
      <c r="AW394" s="64">
        <f t="shared" si="250"/>
        <v>-1.5960359748865032</v>
      </c>
      <c r="AX394" s="61">
        <f t="shared" si="251"/>
        <v>-159.73687631059789</v>
      </c>
    </row>
    <row r="395" spans="14:50" x14ac:dyDescent="0.4">
      <c r="N395" s="10">
        <v>77</v>
      </c>
      <c r="O395" s="50">
        <f t="shared" si="252"/>
        <v>58884.365535558936</v>
      </c>
      <c r="P395" s="48" t="str">
        <f t="shared" si="217"/>
        <v>5120.19230769231</v>
      </c>
      <c r="Q395" s="17" t="str">
        <f t="shared" si="218"/>
        <v>1+1728.95145050798i</v>
      </c>
      <c r="R395" s="17">
        <f t="shared" si="227"/>
        <v>1728.9517397005761</v>
      </c>
      <c r="S395" s="17">
        <f t="shared" si="228"/>
        <v>1.5702179416191901</v>
      </c>
      <c r="T395" s="17" t="str">
        <f t="shared" si="219"/>
        <v>1+0.00369611398975261i</v>
      </c>
      <c r="U395" s="17">
        <f t="shared" si="229"/>
        <v>1.0000068306059839</v>
      </c>
      <c r="V395" s="17">
        <f t="shared" si="230"/>
        <v>3.6960971587008625E-3</v>
      </c>
      <c r="W395" s="31" t="str">
        <f t="shared" si="220"/>
        <v>1-5.99369836176098i</v>
      </c>
      <c r="X395" s="17">
        <f t="shared" si="231"/>
        <v>6.0765467209407875</v>
      </c>
      <c r="Y395" s="17">
        <f t="shared" si="232"/>
        <v>-1.4054771606146181</v>
      </c>
      <c r="Z395" s="31" t="str">
        <f t="shared" si="221"/>
        <v>-0.38694740181013+36.492462558207i</v>
      </c>
      <c r="AA395" s="17">
        <f t="shared" si="233"/>
        <v>36.494513996680475</v>
      </c>
      <c r="AB395" s="17">
        <f t="shared" si="234"/>
        <v>1.5813994177800812</v>
      </c>
      <c r="AC395" s="66" t="str">
        <f t="shared" si="235"/>
        <v>-0.078068481303926+0.486881525186869i</v>
      </c>
      <c r="AD395" s="64">
        <f t="shared" si="236"/>
        <v>-6.1412874939356819</v>
      </c>
      <c r="AE395" s="61">
        <f t="shared" si="237"/>
        <v>99.109487928872326</v>
      </c>
      <c r="AF395" s="31" t="str">
        <f t="shared" si="222"/>
        <v>-10.0808080808081</v>
      </c>
      <c r="AG395" s="31" t="str">
        <f t="shared" si="238"/>
        <v>369981.380355616i</v>
      </c>
      <c r="AH395" s="31">
        <f t="shared" si="239"/>
        <v>369981.38035561598</v>
      </c>
      <c r="AI395" s="31">
        <f t="shared" si="240"/>
        <v>1.5707963267948966</v>
      </c>
      <c r="AJ395" s="31" t="str">
        <f t="shared" si="223"/>
        <v>-2617.36884953286+496.787688714559i</v>
      </c>
      <c r="AK395" s="31">
        <f t="shared" si="241"/>
        <v>2664.0979152732584</v>
      </c>
      <c r="AL395" s="31">
        <f t="shared" si="242"/>
        <v>2.9540196592593029</v>
      </c>
      <c r="AM395" s="31" t="str">
        <f t="shared" si="224"/>
        <v>1+366711.336923482i</v>
      </c>
      <c r="AN395" s="31">
        <f t="shared" si="243"/>
        <v>366711.33692484547</v>
      </c>
      <c r="AO395" s="31">
        <f t="shared" si="244"/>
        <v>1.5707935998543869</v>
      </c>
      <c r="AP395" s="31" t="str">
        <f t="shared" si="225"/>
        <v>1+429.770371421084i</v>
      </c>
      <c r="AQ395" s="31">
        <f t="shared" si="245"/>
        <v>429.7715348314922</v>
      </c>
      <c r="AR395" s="31">
        <f t="shared" si="246"/>
        <v>1.5684695070283408</v>
      </c>
      <c r="AS395" s="58" t="str">
        <f t="shared" si="247"/>
        <v>-0.296881732033333+1.5842832562724i</v>
      </c>
      <c r="AT395" s="49">
        <f t="shared" si="248"/>
        <v>4.1465455888935265</v>
      </c>
      <c r="AU395" s="61">
        <f t="shared" si="249"/>
        <v>100.61366773127496</v>
      </c>
      <c r="AV395" s="58" t="str">
        <f t="shared" si="226"/>
        <v>-0.748181142195204-0.268228818264933i</v>
      </c>
      <c r="AW395" s="64">
        <f t="shared" si="250"/>
        <v>-1.9947419050421562</v>
      </c>
      <c r="AX395" s="61">
        <f t="shared" si="251"/>
        <v>-160.27684433985272</v>
      </c>
    </row>
    <row r="396" spans="14:50" x14ac:dyDescent="0.4">
      <c r="N396" s="10">
        <v>78</v>
      </c>
      <c r="O396" s="50">
        <f t="shared" si="252"/>
        <v>60255.95860743591</v>
      </c>
      <c r="P396" s="48" t="str">
        <f t="shared" si="217"/>
        <v>5120.19230769231</v>
      </c>
      <c r="Q396" s="17" t="str">
        <f t="shared" si="218"/>
        <v>1+1769.22390329846i</v>
      </c>
      <c r="R396" s="17">
        <f t="shared" si="227"/>
        <v>1769.2241859082301</v>
      </c>
      <c r="S396" s="17">
        <f t="shared" si="228"/>
        <v>1.5702311072703103</v>
      </c>
      <c r="T396" s="17" t="str">
        <f t="shared" si="219"/>
        <v>1+0.00378220754438471i</v>
      </c>
      <c r="U396" s="17">
        <f t="shared" si="229"/>
        <v>1.0000071525213752</v>
      </c>
      <c r="V396" s="17">
        <f t="shared" si="230"/>
        <v>3.7821895095948017E-3</v>
      </c>
      <c r="W396" s="31" t="str">
        <f t="shared" si="220"/>
        <v>1-6.13330953143466i</v>
      </c>
      <c r="X396" s="17">
        <f t="shared" si="231"/>
        <v>6.2142968876927069</v>
      </c>
      <c r="Y396" s="17">
        <f t="shared" si="232"/>
        <v>-1.4091743552639211</v>
      </c>
      <c r="Z396" s="31" t="str">
        <f t="shared" si="221"/>
        <v>-0.45231221908042+37.3424812068812i</v>
      </c>
      <c r="AA396" s="17">
        <f t="shared" si="233"/>
        <v>37.345220430863776</v>
      </c>
      <c r="AB396" s="17">
        <f t="shared" si="234"/>
        <v>1.5829082723939991</v>
      </c>
      <c r="AC396" s="66" t="str">
        <f t="shared" si="235"/>
        <v>-0.0738018368827018+0.475885792498433i</v>
      </c>
      <c r="AD396" s="64">
        <f t="shared" si="236"/>
        <v>-6.346730359937748</v>
      </c>
      <c r="AE396" s="61">
        <f t="shared" si="237"/>
        <v>98.815381670263449</v>
      </c>
      <c r="AF396" s="31" t="str">
        <f t="shared" si="222"/>
        <v>-10.0808080808081</v>
      </c>
      <c r="AG396" s="31" t="str">
        <f t="shared" si="238"/>
        <v>378599.353792263i</v>
      </c>
      <c r="AH396" s="31">
        <f t="shared" si="239"/>
        <v>378599.35379226302</v>
      </c>
      <c r="AI396" s="31">
        <f t="shared" si="240"/>
        <v>1.5707963267948966</v>
      </c>
      <c r="AJ396" s="31" t="str">
        <f t="shared" si="223"/>
        <v>-2740.76877167306+508.359360512961i</v>
      </c>
      <c r="AK396" s="31">
        <f t="shared" si="241"/>
        <v>2787.5155065397221</v>
      </c>
      <c r="AL396" s="31">
        <f t="shared" si="242"/>
        <v>2.9581962582553536</v>
      </c>
      <c r="AM396" s="31" t="str">
        <f t="shared" si="224"/>
        <v>1+375253.141263707i</v>
      </c>
      <c r="AN396" s="31">
        <f t="shared" si="243"/>
        <v>375253.14126503945</v>
      </c>
      <c r="AO396" s="31">
        <f t="shared" si="244"/>
        <v>1.5707936619271312</v>
      </c>
      <c r="AP396" s="31" t="str">
        <f t="shared" si="225"/>
        <v>1+439.781009365093i</v>
      </c>
      <c r="AQ396" s="31">
        <f t="shared" si="245"/>
        <v>439.78214629311628</v>
      </c>
      <c r="AR396" s="31">
        <f t="shared" si="246"/>
        <v>1.5685224717278694</v>
      </c>
      <c r="AS396" s="58" t="str">
        <f t="shared" si="247"/>
        <v>-0.28395476689833+1.55059164568268i</v>
      </c>
      <c r="AT396" s="49">
        <f t="shared" si="248"/>
        <v>3.9532023448616838</v>
      </c>
      <c r="AU396" s="61">
        <f t="shared" si="249"/>
        <v>100.37740444633502</v>
      </c>
      <c r="AV396" s="58" t="str">
        <f t="shared" si="226"/>
        <v>-0.716948150758455-0.249566550985473i</v>
      </c>
      <c r="AW396" s="64">
        <f t="shared" si="250"/>
        <v>-2.3935280150760687</v>
      </c>
      <c r="AX396" s="61">
        <f t="shared" si="251"/>
        <v>-160.80721388340149</v>
      </c>
    </row>
    <row r="397" spans="14:50" x14ac:dyDescent="0.4">
      <c r="N397" s="10">
        <v>79</v>
      </c>
      <c r="O397" s="50">
        <f t="shared" si="252"/>
        <v>61659.500186148245</v>
      </c>
      <c r="P397" s="48" t="str">
        <f t="shared" si="217"/>
        <v>5120.19230769231</v>
      </c>
      <c r="Q397" s="17" t="str">
        <f t="shared" si="218"/>
        <v>1+1810.43442202091i</v>
      </c>
      <c r="R397" s="17">
        <f t="shared" si="227"/>
        <v>1810.4346981976971</v>
      </c>
      <c r="S397" s="17">
        <f t="shared" si="228"/>
        <v>1.5702439732348126</v>
      </c>
      <c r="T397" s="17" t="str">
        <f t="shared" si="219"/>
        <v>1+0.00387030647552027i</v>
      </c>
      <c r="U397" s="17">
        <f t="shared" si="229"/>
        <v>1.0000074896080602</v>
      </c>
      <c r="V397" s="17">
        <f t="shared" si="230"/>
        <v>3.870287150902534E-3</v>
      </c>
      <c r="W397" s="31" t="str">
        <f t="shared" si="220"/>
        <v>1-6.27617266300583i</v>
      </c>
      <c r="X397" s="17">
        <f t="shared" si="231"/>
        <v>6.355339746690313</v>
      </c>
      <c r="Y397" s="17">
        <f t="shared" si="232"/>
        <v>-1.4127917036931308</v>
      </c>
      <c r="Z397" s="31" t="str">
        <f t="shared" si="221"/>
        <v>-0.52075758528225+38.2122993333772i</v>
      </c>
      <c r="AA397" s="17">
        <f t="shared" si="233"/>
        <v>38.21584761334293</v>
      </c>
      <c r="AB397" s="17">
        <f t="shared" si="234"/>
        <v>1.584423492894099</v>
      </c>
      <c r="AC397" s="66" t="str">
        <f t="shared" si="235"/>
        <v>-0.0697270538561756+0.465131904365198i</v>
      </c>
      <c r="AD397" s="64">
        <f t="shared" si="236"/>
        <v>-6.5519612673903573</v>
      </c>
      <c r="AE397" s="61">
        <f t="shared" si="237"/>
        <v>98.525617590120646</v>
      </c>
      <c r="AF397" s="31" t="str">
        <f t="shared" si="222"/>
        <v>-10.0808080808081</v>
      </c>
      <c r="AG397" s="31" t="str">
        <f t="shared" si="238"/>
        <v>387418.065617644i</v>
      </c>
      <c r="AH397" s="31">
        <f t="shared" si="239"/>
        <v>387418.065617644</v>
      </c>
      <c r="AI397" s="31">
        <f t="shared" si="240"/>
        <v>1.5707963267948966</v>
      </c>
      <c r="AJ397" s="31" t="str">
        <f t="shared" si="223"/>
        <v>-2869.9843529733+520.200571173238i</v>
      </c>
      <c r="AK397" s="31">
        <f t="shared" si="241"/>
        <v>2916.7479871529072</v>
      </c>
      <c r="AL397" s="31">
        <f t="shared" si="242"/>
        <v>2.9622838424369045</v>
      </c>
      <c r="AM397" s="31" t="str">
        <f t="shared" si="224"/>
        <v>1+383993.90978649i</v>
      </c>
      <c r="AN397" s="31">
        <f t="shared" si="243"/>
        <v>383993.90978779219</v>
      </c>
      <c r="AO397" s="31">
        <f t="shared" si="244"/>
        <v>1.5707937225869275</v>
      </c>
      <c r="AP397" s="31" t="str">
        <f t="shared" si="225"/>
        <v>1+450.024825021456i</v>
      </c>
      <c r="AQ397" s="31">
        <f t="shared" si="245"/>
        <v>450.02593606990268</v>
      </c>
      <c r="AR397" s="31">
        <f t="shared" si="246"/>
        <v>1.5685742308159731</v>
      </c>
      <c r="AS397" s="58" t="str">
        <f t="shared" si="247"/>
        <v>-0.271572534603686+1.51751533636883i</v>
      </c>
      <c r="AT397" s="49">
        <f t="shared" si="248"/>
        <v>3.7595690371611772</v>
      </c>
      <c r="AU397" s="61">
        <f t="shared" si="249"/>
        <v>100.14617217717789</v>
      </c>
      <c r="AV397" s="58" t="str">
        <f t="shared" si="226"/>
        <v>-0.686908845562459-0.232128923780058i</v>
      </c>
      <c r="AW397" s="64">
        <f t="shared" si="250"/>
        <v>-2.7923922302291757</v>
      </c>
      <c r="AX397" s="61">
        <f t="shared" si="251"/>
        <v>-161.32821023270148</v>
      </c>
    </row>
    <row r="398" spans="14:50" x14ac:dyDescent="0.4">
      <c r="N398" s="10">
        <v>80</v>
      </c>
      <c r="O398" s="50">
        <f t="shared" si="252"/>
        <v>63095.734448019342</v>
      </c>
      <c r="P398" s="48" t="str">
        <f t="shared" si="217"/>
        <v>5120.19230769231</v>
      </c>
      <c r="Q398" s="17" t="str">
        <f t="shared" si="218"/>
        <v>1+1852.60485703786i</v>
      </c>
      <c r="R398" s="17">
        <f t="shared" si="227"/>
        <v>1852.6051269280968</v>
      </c>
      <c r="S398" s="17">
        <f t="shared" si="228"/>
        <v>1.5702565463343845</v>
      </c>
      <c r="T398" s="17" t="str">
        <f t="shared" si="219"/>
        <v>1+0.00396045749437871i</v>
      </c>
      <c r="U398" s="17">
        <f t="shared" si="229"/>
        <v>1.0000078425810295</v>
      </c>
      <c r="V398" s="17">
        <f t="shared" si="230"/>
        <v>3.960436787686511E-3</v>
      </c>
      <c r="W398" s="31" t="str">
        <f t="shared" si="220"/>
        <v>1-6.4223635043979i</v>
      </c>
      <c r="X398" s="17">
        <f t="shared" si="231"/>
        <v>6.4997502246334111</v>
      </c>
      <c r="Y398" s="17">
        <f t="shared" si="232"/>
        <v>-1.4163307450054154</v>
      </c>
      <c r="Z398" s="31" t="str">
        <f t="shared" si="221"/>
        <v>-0.59242868221399+39.1023781267793i</v>
      </c>
      <c r="AA398" s="17">
        <f t="shared" si="233"/>
        <v>39.106865726022306</v>
      </c>
      <c r="AB398" s="17">
        <f t="shared" si="234"/>
        <v>1.585945874913588</v>
      </c>
      <c r="AC398" s="66" t="str">
        <f t="shared" si="235"/>
        <v>-0.0658355261270028+0.454614857817661i</v>
      </c>
      <c r="AD398" s="64">
        <f t="shared" si="236"/>
        <v>-6.7569905063678011</v>
      </c>
      <c r="AE398" s="61">
        <f t="shared" si="237"/>
        <v>98.240064203052469</v>
      </c>
      <c r="AF398" s="31" t="str">
        <f t="shared" si="222"/>
        <v>-10.0808080808081</v>
      </c>
      <c r="AG398" s="31" t="str">
        <f t="shared" si="238"/>
        <v>396442.1916295i</v>
      </c>
      <c r="AH398" s="31">
        <f t="shared" si="239"/>
        <v>396442.19162950001</v>
      </c>
      <c r="AI398" s="31">
        <f t="shared" si="240"/>
        <v>1.5707963267948966</v>
      </c>
      <c r="AJ398" s="31" t="str">
        <f t="shared" si="223"/>
        <v>-3005.28967700577+532.31759906202i</v>
      </c>
      <c r="AK398" s="31">
        <f t="shared" si="241"/>
        <v>3052.0694731589251</v>
      </c>
      <c r="AL398" s="31">
        <f t="shared" si="242"/>
        <v>2.9662840504098766</v>
      </c>
      <c r="AM398" s="31" t="str">
        <f t="shared" si="224"/>
        <v>1+392938.276963003i</v>
      </c>
      <c r="AN398" s="31">
        <f t="shared" si="243"/>
        <v>392938.27696427546</v>
      </c>
      <c r="AO398" s="31">
        <f t="shared" si="244"/>
        <v>1.5707937818659379</v>
      </c>
      <c r="AP398" s="31" t="str">
        <f t="shared" si="225"/>
        <v>1+460.507249796827i</v>
      </c>
      <c r="AQ398" s="31">
        <f t="shared" si="245"/>
        <v>460.50833555478363</v>
      </c>
      <c r="AR398" s="31">
        <f t="shared" si="246"/>
        <v>1.5686248117348953</v>
      </c>
      <c r="AS398" s="58" t="str">
        <f t="shared" si="247"/>
        <v>-0.259713631315241+1.48504974529427i</v>
      </c>
      <c r="AT398" s="49">
        <f t="shared" si="248"/>
        <v>3.5656579069812477</v>
      </c>
      <c r="AU398" s="61">
        <f t="shared" si="249"/>
        <v>99.919878612767263</v>
      </c>
      <c r="AV398" s="58" t="str">
        <f t="shared" si="226"/>
        <v>-0.658027295249115-0.215838706879906i</v>
      </c>
      <c r="AW398" s="64">
        <f t="shared" si="250"/>
        <v>-3.1913325993865556</v>
      </c>
      <c r="AX398" s="61">
        <f t="shared" si="251"/>
        <v>-161.8400571841803</v>
      </c>
    </row>
    <row r="399" spans="14:50" x14ac:dyDescent="0.4">
      <c r="N399" s="10">
        <v>81</v>
      </c>
      <c r="O399" s="50">
        <f t="shared" si="252"/>
        <v>64565.422903465682</v>
      </c>
      <c r="P399" s="48" t="str">
        <f t="shared" si="217"/>
        <v>5120.19230769231</v>
      </c>
      <c r="Q399" s="17" t="str">
        <f t="shared" si="218"/>
        <v>1+1895.75756767213i</v>
      </c>
      <c r="R399" s="17">
        <f t="shared" si="227"/>
        <v>1895.7578314189159</v>
      </c>
      <c r="S399" s="17">
        <f t="shared" si="228"/>
        <v>1.5702688332354338</v>
      </c>
      <c r="T399" s="17" t="str">
        <f t="shared" si="219"/>
        <v>1+0.00405270840022354i</v>
      </c>
      <c r="U399" s="17">
        <f t="shared" si="229"/>
        <v>1.0000082121889686</v>
      </c>
      <c r="V399" s="17">
        <f t="shared" si="230"/>
        <v>4.0526862126129418E-3</v>
      </c>
      <c r="W399" s="31" t="str">
        <f t="shared" si="220"/>
        <v>1-6.57195956793005i</v>
      </c>
      <c r="X399" s="17">
        <f t="shared" si="231"/>
        <v>6.6476050245563885</v>
      </c>
      <c r="Y399" s="17">
        <f t="shared" si="232"/>
        <v>-1.4197930008591708</v>
      </c>
      <c r="Z399" s="31" t="str">
        <f t="shared" si="221"/>
        <v>-0.66747753388135+40.0131895186456i</v>
      </c>
      <c r="AA399" s="17">
        <f t="shared" si="233"/>
        <v>40.018756373896565</v>
      </c>
      <c r="AB399" s="17">
        <f t="shared" si="234"/>
        <v>1.5874762175802166</v>
      </c>
      <c r="AC399" s="66" t="str">
        <f t="shared" si="235"/>
        <v>-0.0621190330456128+0.444329728959777i</v>
      </c>
      <c r="AD399" s="64">
        <f t="shared" si="236"/>
        <v>-6.9618280072527181</v>
      </c>
      <c r="AE399" s="61">
        <f t="shared" si="237"/>
        <v>97.958590894168594</v>
      </c>
      <c r="AF399" s="31" t="str">
        <f t="shared" si="222"/>
        <v>-10.0808080808081</v>
      </c>
      <c r="AG399" s="31" t="str">
        <f t="shared" si="238"/>
        <v>405676.516538892i</v>
      </c>
      <c r="AH399" s="31">
        <f t="shared" si="239"/>
        <v>405676.516538892</v>
      </c>
      <c r="AI399" s="31">
        <f t="shared" si="240"/>
        <v>1.5707963267948966</v>
      </c>
      <c r="AJ399" s="31" t="str">
        <f t="shared" si="223"/>
        <v>-3146.97174450348+544.716868787882i</v>
      </c>
      <c r="AK399" s="31">
        <f t="shared" si="241"/>
        <v>3193.7669964863358</v>
      </c>
      <c r="AL399" s="31">
        <f t="shared" si="242"/>
        <v>2.9701985076108541</v>
      </c>
      <c r="AM399" s="31" t="str">
        <f t="shared" si="224"/>
        <v>1+402090.985215116i</v>
      </c>
      <c r="AN399" s="31">
        <f t="shared" si="243"/>
        <v>402090.98521635955</v>
      </c>
      <c r="AO399" s="31">
        <f t="shared" si="244"/>
        <v>1.5707938397955936</v>
      </c>
      <c r="AP399" s="31" t="str">
        <f t="shared" si="225"/>
        <v>1+471.233841611577i</v>
      </c>
      <c r="AQ399" s="31">
        <f t="shared" si="245"/>
        <v>471.23490265472151</v>
      </c>
      <c r="AR399" s="31">
        <f t="shared" si="246"/>
        <v>1.568674241302273</v>
      </c>
      <c r="AS399" s="58" t="str">
        <f t="shared" si="247"/>
        <v>-0.248357361100504+1.45318983679999i</v>
      </c>
      <c r="AT399" s="49">
        <f t="shared" si="248"/>
        <v>3.3714807129721356</v>
      </c>
      <c r="AU399" s="61">
        <f t="shared" si="249"/>
        <v>99.698432160785373</v>
      </c>
      <c r="AV399" s="58" t="str">
        <f t="shared" si="226"/>
        <v>-0.630267727191119-0.20062330643668i</v>
      </c>
      <c r="AW399" s="64">
        <f t="shared" si="250"/>
        <v>-3.5903472942805781</v>
      </c>
      <c r="AX399" s="61">
        <f t="shared" si="251"/>
        <v>-162.34297694504599</v>
      </c>
    </row>
    <row r="400" spans="14:50" x14ac:dyDescent="0.4">
      <c r="N400" s="10">
        <v>82</v>
      </c>
      <c r="O400" s="50">
        <f t="shared" si="252"/>
        <v>66069.344800759733</v>
      </c>
      <c r="P400" s="48" t="str">
        <f t="shared" si="217"/>
        <v>5120.19230769231</v>
      </c>
      <c r="Q400" s="17" t="str">
        <f t="shared" si="218"/>
        <v>1+1939.9154340621i</v>
      </c>
      <c r="R400" s="17">
        <f t="shared" si="227"/>
        <v>1939.9156918052768</v>
      </c>
      <c r="S400" s="17">
        <f t="shared" si="228"/>
        <v>1.5702808404526232</v>
      </c>
      <c r="T400" s="17" t="str">
        <f t="shared" si="219"/>
        <v>1+0.00414710810570609i</v>
      </c>
      <c r="U400" s="17">
        <f t="shared" si="229"/>
        <v>1.0000085992158469</v>
      </c>
      <c r="V400" s="17">
        <f t="shared" si="230"/>
        <v>4.1470843312640376E-3</v>
      </c>
      <c r="W400" s="31" t="str">
        <f t="shared" si="220"/>
        <v>1-6.72504017141528i</v>
      </c>
      <c r="X400" s="17">
        <f t="shared" si="231"/>
        <v>6.7989826670722771</v>
      </c>
      <c r="Y400" s="17">
        <f t="shared" si="232"/>
        <v>-1.4231799747949889</v>
      </c>
      <c r="Z400" s="31" t="str">
        <f t="shared" si="221"/>
        <v>-0.74606332896068+40.9452164332318i</v>
      </c>
      <c r="AA400" s="17">
        <f t="shared" si="233"/>
        <v>40.952012884045338</v>
      </c>
      <c r="AB400" s="17">
        <f t="shared" si="234"/>
        <v>1.5890153239018074</v>
      </c>
      <c r="AC400" s="66" t="str">
        <f t="shared" si="235"/>
        <v>-0.0585697222590943+0.434271673453842i</v>
      </c>
      <c r="AD400" s="64">
        <f t="shared" si="236"/>
        <v>-7.1664833560354744</v>
      </c>
      <c r="AE400" s="61">
        <f t="shared" si="237"/>
        <v>97.68106793680036</v>
      </c>
      <c r="AF400" s="31" t="str">
        <f t="shared" si="222"/>
        <v>-10.0808080808081</v>
      </c>
      <c r="AG400" s="31" t="str">
        <f t="shared" si="238"/>
        <v>415125.936507116i</v>
      </c>
      <c r="AH400" s="31">
        <f t="shared" si="239"/>
        <v>415125.93650711601</v>
      </c>
      <c r="AI400" s="31">
        <f t="shared" si="240"/>
        <v>1.5707963267948966</v>
      </c>
      <c r="AJ400" s="31" t="str">
        <f t="shared" si="223"/>
        <v>-3295.33108212719+557.404954607755i</v>
      </c>
      <c r="AK400" s="31">
        <f t="shared" si="241"/>
        <v>3342.1411137554965</v>
      </c>
      <c r="AL400" s="31">
        <f t="shared" si="242"/>
        <v>2.9740288251765237</v>
      </c>
      <c r="AM400" s="31" t="str">
        <f t="shared" si="224"/>
        <v>1+411456.887429893i</v>
      </c>
      <c r="AN400" s="31">
        <f t="shared" si="243"/>
        <v>411456.88743110822</v>
      </c>
      <c r="AO400" s="31">
        <f t="shared" si="244"/>
        <v>1.5707938964066093</v>
      </c>
      <c r="AP400" s="31" t="str">
        <f t="shared" si="225"/>
        <v>1+482.210287846666i</v>
      </c>
      <c r="AQ400" s="31">
        <f t="shared" si="245"/>
        <v>482.2113247375724</v>
      </c>
      <c r="AR400" s="31">
        <f t="shared" si="246"/>
        <v>1.5687225457253502</v>
      </c>
      <c r="AS400" s="58" t="str">
        <f t="shared" si="247"/>
        <v>-0.237483724277559+1.42193016278846i</v>
      </c>
      <c r="AT400" s="49">
        <f t="shared" si="248"/>
        <v>3.1770487473417033</v>
      </c>
      <c r="AU400" s="61">
        <f t="shared" si="249"/>
        <v>99.481742013224036</v>
      </c>
      <c r="AV400" s="58" t="str">
        <f t="shared" si="226"/>
        <v>-0.603594635556646-0.186414509066415i</v>
      </c>
      <c r="AW400" s="64">
        <f t="shared" si="250"/>
        <v>-3.9894346086937778</v>
      </c>
      <c r="AX400" s="61">
        <f t="shared" si="251"/>
        <v>-162.83719004997562</v>
      </c>
    </row>
    <row r="401" spans="14:50" x14ac:dyDescent="0.4">
      <c r="N401" s="10">
        <v>83</v>
      </c>
      <c r="O401" s="50">
        <f t="shared" si="252"/>
        <v>67608.297539198305</v>
      </c>
      <c r="P401" s="48" t="str">
        <f t="shared" si="217"/>
        <v>5120.19230769231</v>
      </c>
      <c r="Q401" s="17" t="str">
        <f t="shared" si="218"/>
        <v>1+1985.10186929302i</v>
      </c>
      <c r="R401" s="17">
        <f t="shared" si="227"/>
        <v>1985.1021211692469</v>
      </c>
      <c r="S401" s="17">
        <f t="shared" si="228"/>
        <v>1.5702925743523244</v>
      </c>
      <c r="T401" s="17" t="str">
        <f t="shared" si="219"/>
        <v>1+0.00424370666279976i</v>
      </c>
      <c r="U401" s="17">
        <f t="shared" si="229"/>
        <v>1.0000090044825796</v>
      </c>
      <c r="V401" s="17">
        <f t="shared" si="230"/>
        <v>4.2436811880385188E-3</v>
      </c>
      <c r="W401" s="31" t="str">
        <f t="shared" si="220"/>
        <v>1-6.88168648021581i</v>
      </c>
      <c r="X401" s="17">
        <f t="shared" si="231"/>
        <v>6.9539635325463909</v>
      </c>
      <c r="Y401" s="17">
        <f t="shared" si="232"/>
        <v>-1.4264931516386765</v>
      </c>
      <c r="Z401" s="31" t="str">
        <f t="shared" si="221"/>
        <v>-0.82835275845952+41.8989530435449i</v>
      </c>
      <c r="AA401" s="17">
        <f t="shared" si="233"/>
        <v>41.90714061395299</v>
      </c>
      <c r="AB401" s="17">
        <f t="shared" si="234"/>
        <v>1.5905640011522422</v>
      </c>
      <c r="AC401" s="66" t="str">
        <f t="shared" si="235"/>
        <v>-0.0551800933161586+0.424435926842382i</v>
      </c>
      <c r="AD401" s="64">
        <f t="shared" si="236"/>
        <v>-7.3709658093499826</v>
      </c>
      <c r="AE401" s="61">
        <f t="shared" si="237"/>
        <v>97.407366505876055</v>
      </c>
      <c r="AF401" s="31" t="str">
        <f t="shared" si="222"/>
        <v>-10.0808080808081</v>
      </c>
      <c r="AG401" s="31" t="str">
        <f t="shared" si="238"/>
        <v>424795.461741717i</v>
      </c>
      <c r="AH401" s="31">
        <f t="shared" si="239"/>
        <v>424795.46174171701</v>
      </c>
      <c r="AI401" s="31">
        <f t="shared" si="240"/>
        <v>1.5707963267948966</v>
      </c>
      <c r="AJ401" s="31" t="str">
        <f t="shared" si="223"/>
        <v>-3450.6823799229+570.388583912687i</v>
      </c>
      <c r="AK401" s="31">
        <f t="shared" si="241"/>
        <v>3497.5065437777653</v>
      </c>
      <c r="AL401" s="31">
        <f t="shared" si="242"/>
        <v>2.9777765989160399</v>
      </c>
      <c r="AM401" s="31" t="str">
        <f t="shared" si="224"/>
        <v>1+421040.94953266i</v>
      </c>
      <c r="AN401" s="31">
        <f t="shared" si="243"/>
        <v>421040.94953384751</v>
      </c>
      <c r="AO401" s="31">
        <f t="shared" si="244"/>
        <v>1.5707939517290008</v>
      </c>
      <c r="AP401" s="31" t="str">
        <f t="shared" si="225"/>
        <v>1+493.442408359179i</v>
      </c>
      <c r="AQ401" s="31">
        <f t="shared" si="245"/>
        <v>493.44342164761582</v>
      </c>
      <c r="AR401" s="31">
        <f t="shared" si="246"/>
        <v>1.5687697506148695</v>
      </c>
      <c r="AS401" s="58" t="str">
        <f t="shared" si="247"/>
        <v>-0.227073404782862+1.39126490071571i</v>
      </c>
      <c r="AT401" s="49">
        <f t="shared" si="248"/>
        <v>2.9823728516729267</v>
      </c>
      <c r="AU401" s="61">
        <f t="shared" si="249"/>
        <v>99.269718206061171</v>
      </c>
      <c r="AV401" s="58" t="str">
        <f t="shared" si="226"/>
        <v>-0.577972875953011-0.173148238069258i</v>
      </c>
      <c r="AW401" s="64">
        <f t="shared" si="250"/>
        <v>-4.388592957677055</v>
      </c>
      <c r="AX401" s="61">
        <f t="shared" si="251"/>
        <v>-163.3229152880628</v>
      </c>
    </row>
    <row r="402" spans="14:50" x14ac:dyDescent="0.4">
      <c r="N402" s="10">
        <v>84</v>
      </c>
      <c r="O402" s="50">
        <f t="shared" si="252"/>
        <v>69183.097091893651</v>
      </c>
      <c r="P402" s="48" t="str">
        <f t="shared" si="217"/>
        <v>5120.19230769231</v>
      </c>
      <c r="Q402" s="17" t="str">
        <f t="shared" si="218"/>
        <v>1+2031.34083181097i</v>
      </c>
      <c r="R402" s="17">
        <f t="shared" si="227"/>
        <v>2031.3410779537944</v>
      </c>
      <c r="S402" s="17">
        <f t="shared" si="228"/>
        <v>1.5703040411559934</v>
      </c>
      <c r="T402" s="17" t="str">
        <f t="shared" si="219"/>
        <v>1+0.00434255528933813i</v>
      </c>
      <c r="U402" s="17">
        <f t="shared" si="229"/>
        <v>1.0000094288487689</v>
      </c>
      <c r="V402" s="17">
        <f t="shared" si="230"/>
        <v>4.3425279926535649E-3</v>
      </c>
      <c r="W402" s="31" t="str">
        <f t="shared" si="220"/>
        <v>1-7.04198155027803i</v>
      </c>
      <c r="X402" s="17">
        <f t="shared" si="231"/>
        <v>7.1126299042236241</v>
      </c>
      <c r="Y402" s="17">
        <f t="shared" si="232"/>
        <v>-1.4297339969756111</v>
      </c>
      <c r="Z402" s="31" t="str">
        <f t="shared" si="221"/>
        <v>-0.91452036929056+42.8749050333597i</v>
      </c>
      <c r="AA402" s="17">
        <f t="shared" si="233"/>
        <v>42.884657269534756</v>
      </c>
      <c r="AB402" s="17">
        <f t="shared" si="234"/>
        <v>1.5921230612579269</v>
      </c>
      <c r="AC402" s="66" t="str">
        <f t="shared" si="235"/>
        <v>-0.0519429819955955+0.414817804720766i</v>
      </c>
      <c r="AD402" s="64">
        <f t="shared" si="236"/>
        <v>-7.5752843092411002</v>
      </c>
      <c r="AE402" s="61">
        <f t="shared" si="237"/>
        <v>97.137358687220171</v>
      </c>
      <c r="AF402" s="31" t="str">
        <f t="shared" si="222"/>
        <v>-10.0808080808081</v>
      </c>
      <c r="AG402" s="31" t="str">
        <f t="shared" si="238"/>
        <v>434690.219152965i</v>
      </c>
      <c r="AH402" s="31">
        <f t="shared" si="239"/>
        <v>434690.219152965</v>
      </c>
      <c r="AI402" s="31">
        <f t="shared" si="240"/>
        <v>1.5707963267948966</v>
      </c>
      <c r="AJ402" s="31" t="str">
        <f t="shared" si="223"/>
        <v>-3613.35515882152+583.674640794795i</v>
      </c>
      <c r="AK402" s="31">
        <f t="shared" si="241"/>
        <v>3660.1928350961271</v>
      </c>
      <c r="AL402" s="31">
        <f t="shared" si="242"/>
        <v>2.9814434083806058</v>
      </c>
      <c r="AM402" s="31" t="str">
        <f t="shared" si="224"/>
        <v>1+430848.253120005i</v>
      </c>
      <c r="AN402" s="31">
        <f t="shared" si="243"/>
        <v>430848.25312116544</v>
      </c>
      <c r="AO402" s="31">
        <f t="shared" si="244"/>
        <v>1.570794005792101</v>
      </c>
      <c r="AP402" s="31" t="str">
        <f t="shared" si="225"/>
        <v>1+504.936158568084i</v>
      </c>
      <c r="AQ402" s="31">
        <f t="shared" si="245"/>
        <v>504.93714879130573</v>
      </c>
      <c r="AR402" s="31">
        <f t="shared" si="246"/>
        <v>1.5688158809986459</v>
      </c>
      <c r="AS402" s="58" t="str">
        <f t="shared" si="247"/>
        <v>-0.217107756702497+1.36118788945944i</v>
      </c>
      <c r="AT402" s="49">
        <f t="shared" si="248"/>
        <v>2.7874634324428067</v>
      </c>
      <c r="AU402" s="61">
        <f t="shared" si="249"/>
        <v>99.062271673348178</v>
      </c>
      <c r="AV402" s="58" t="str">
        <f t="shared" si="226"/>
        <v>-0.553367747820556-0.160764321057994i</v>
      </c>
      <c r="AW402" s="64">
        <f t="shared" si="250"/>
        <v>-4.787820876798289</v>
      </c>
      <c r="AX402" s="61">
        <f t="shared" si="251"/>
        <v>-163.80036963943169</v>
      </c>
    </row>
    <row r="403" spans="14:50" x14ac:dyDescent="0.4">
      <c r="N403" s="10">
        <v>85</v>
      </c>
      <c r="O403" s="50">
        <f t="shared" si="252"/>
        <v>70794.578438413781</v>
      </c>
      <c r="P403" s="48" t="str">
        <f t="shared" ref="P403:P466" si="253">COMPLEX(Adc,0)</f>
        <v>5120.19230769231</v>
      </c>
      <c r="Q403" s="17" t="str">
        <f t="shared" ref="Q403:Q466" si="254">IMSUM(COMPLEX(1,0),IMDIV(COMPLEX(0,2*PI()*O403),COMPLEX(wp_lf,0)))</f>
        <v>1+2078.65683812592i</v>
      </c>
      <c r="R403" s="17">
        <f t="shared" si="227"/>
        <v>2078.6570786658503</v>
      </c>
      <c r="S403" s="17">
        <f t="shared" si="228"/>
        <v>1.5703152469434694</v>
      </c>
      <c r="T403" s="17" t="str">
        <f t="shared" ref="T403:T466" si="255">IMSUM(COMPLEX(1,0),IMDIV(COMPLEX(0,2*PI()*O403),COMPLEX(wz_esr,0)))</f>
        <v>1+0.00444370639617142i</v>
      </c>
      <c r="U403" s="17">
        <f t="shared" si="229"/>
        <v>1.0000098732145275</v>
      </c>
      <c r="V403" s="17">
        <f t="shared" si="230"/>
        <v>4.4436771472625355E-3</v>
      </c>
      <c r="W403" s="31" t="str">
        <f t="shared" ref="W403:W466" si="256">IMSUB(COMPLEX(1,0),IMDIV(COMPLEX(0,2*PI()*O403),COMPLEX(wz_rhp,0)))</f>
        <v>1-7.20601037216987i</v>
      </c>
      <c r="X403" s="17">
        <f t="shared" si="231"/>
        <v>7.2750660123341664</v>
      </c>
      <c r="Y403" s="17">
        <f t="shared" si="232"/>
        <v>-1.4329039566919348</v>
      </c>
      <c r="Z403" s="31" t="str">
        <f t="shared" ref="Z403:Z466" si="257">IMSUM(COMPLEX(1,0),IMDIV(COMPLEX(0,2*PI()*O403),COMPLEX(Q*(wsl/2),0)),IMDIV(IMPOWER(COMPLEX(0,2*PI()*O403),2),IMPOWER(COMPLEX(wsl/2,0),2)))</f>
        <v>-1.00474893450909+43.8735898653398i</v>
      </c>
      <c r="AA403" s="17">
        <f t="shared" si="233"/>
        <v>43.885093233277338</v>
      </c>
      <c r="AB403" s="17">
        <f t="shared" si="234"/>
        <v>1.5936933211847486</v>
      </c>
      <c r="AC403" s="66" t="str">
        <f t="shared" si="235"/>
        <v>-0.0488515453269921+0.405412702773346i</v>
      </c>
      <c r="AD403" s="64">
        <f t="shared" si="236"/>
        <v>-7.7794474976598291</v>
      </c>
      <c r="AE403" s="61">
        <f t="shared" si="237"/>
        <v>96.87091748303483</v>
      </c>
      <c r="AF403" s="31" t="str">
        <f t="shared" ref="AF403:AF466" si="258">COMPLEX(Adc_ea_iso,0)</f>
        <v>-10.0808080808081</v>
      </c>
      <c r="AG403" s="31" t="str">
        <f t="shared" si="238"/>
        <v>444815.455072214i</v>
      </c>
      <c r="AH403" s="31">
        <f t="shared" si="239"/>
        <v>444815.45507221401</v>
      </c>
      <c r="AI403" s="31">
        <f t="shared" si="240"/>
        <v>1.5707963267948966</v>
      </c>
      <c r="AJ403" s="31" t="str">
        <f t="shared" ref="AJ403:AJ466" si="259">IMSUM(IMPRODUCT(COMPLEX(wpA_ea_iso,0),IMPOWER(COMPLEX(0,2*PI()*O403),2)),COMPLEX(0,wpB_ea_iso*2*PI()*O403),COMPLEX(1,0))</f>
        <v>-3783.69446959705+597.270169697301i</v>
      </c>
      <c r="AK403" s="31">
        <f t="shared" si="241"/>
        <v>3830.5450649835134</v>
      </c>
      <c r="AL403" s="31">
        <f t="shared" si="242"/>
        <v>2.9850308160247776</v>
      </c>
      <c r="AM403" s="31" t="str">
        <f t="shared" ref="AM403:AM466" si="260">IMSUM(COMPLEX(1,0),IMDIV(COMPLEX(0,2*PI()*O403),COMPLEX(wz1_ea_iso,0)))</f>
        <v>1+440883.998154105i</v>
      </c>
      <c r="AN403" s="31">
        <f t="shared" si="243"/>
        <v>440883.99815523898</v>
      </c>
      <c r="AO403" s="31">
        <f t="shared" si="244"/>
        <v>1.5707940586245748</v>
      </c>
      <c r="AP403" s="31" t="str">
        <f t="shared" ref="AP403:AP466" si="261">IMSUM(COMPLEX(1,0),IMDIV(COMPLEX(0,2*PI()*O403),COMPLEX(wz2_ea_iso,0)))</f>
        <v>1+516.697632611884i</v>
      </c>
      <c r="AQ403" s="31">
        <f t="shared" si="245"/>
        <v>516.69860029491622</v>
      </c>
      <c r="AR403" s="31">
        <f t="shared" si="246"/>
        <v>1.5688609613348339</v>
      </c>
      <c r="AS403" s="58" t="str">
        <f t="shared" si="247"/>
        <v>-0.207568790099696+1.33169266313368i</v>
      </c>
      <c r="AT403" s="49">
        <f t="shared" si="248"/>
        <v>2.5923304762232586</v>
      </c>
      <c r="AU403" s="61">
        <f t="shared" si="249"/>
        <v>98.859314296024493</v>
      </c>
      <c r="AV403" s="58" t="str">
        <f t="shared" ref="AV403:AV466" si="262">IMPRODUCT(AC403,AS403)</f>
        <v>-0.529745065666436-0.149206268700409i</v>
      </c>
      <c r="AW403" s="64">
        <f t="shared" si="250"/>
        <v>-5.1871170214365687</v>
      </c>
      <c r="AX403" s="61">
        <f t="shared" si="251"/>
        <v>-164.26976822094068</v>
      </c>
    </row>
    <row r="404" spans="14:50" x14ac:dyDescent="0.4">
      <c r="N404" s="10">
        <v>86</v>
      </c>
      <c r="O404" s="50">
        <f t="shared" si="252"/>
        <v>72443.596007499116</v>
      </c>
      <c r="P404" s="48" t="str">
        <f t="shared" si="253"/>
        <v>5120.19230769231</v>
      </c>
      <c r="Q404" s="17" t="str">
        <f t="shared" si="254"/>
        <v>1+2127.07497581073i</v>
      </c>
      <c r="R404" s="17">
        <f t="shared" ref="R404:R467" si="263">IMABS(Q404)</f>
        <v>2127.0752108753036</v>
      </c>
      <c r="S404" s="17">
        <f t="shared" ref="S404:S467" si="264">IMARGUMENT(Q404)</f>
        <v>1.5703261976561975</v>
      </c>
      <c r="T404" s="17" t="str">
        <f t="shared" si="255"/>
        <v>1+0.00454721361495539i</v>
      </c>
      <c r="U404" s="17">
        <f t="shared" ref="U404:U467" si="265">IMABS(T404)</f>
        <v>1.0000103385223875</v>
      </c>
      <c r="V404" s="17">
        <f t="shared" ref="V404:V467" si="266">IMARGUMENT(T404)</f>
        <v>4.5471822742023625E-3</v>
      </c>
      <c r="W404" s="31" t="str">
        <f t="shared" si="256"/>
        <v>1-7.37385991614387i</v>
      </c>
      <c r="X404" s="17">
        <f t="shared" ref="X404:X467" si="267">IMABS(W404)</f>
        <v>7.4413580792025638</v>
      </c>
      <c r="Y404" s="17">
        <f t="shared" ref="Y404:Y467" si="268">IMARGUMENT(W404)</f>
        <v>-1.4360044565782737</v>
      </c>
      <c r="Z404" s="31" t="str">
        <f t="shared" si="257"/>
        <v>-1.0992298409991+44.8955370554022i</v>
      </c>
      <c r="AA404" s="17">
        <f t="shared" ref="AA404:AA467" si="269">IMABS(Z404)</f>
        <v>44.908991902917791</v>
      </c>
      <c r="AB404" s="17">
        <f t="shared" ref="AB404:AB467" si="270">IMARGUMENT(Z404)</f>
        <v>1.5952756033255213</v>
      </c>
      <c r="AC404" s="66" t="str">
        <f t="shared" ref="AC404:AC467" si="271">(IMDIV(IMPRODUCT(P404,T404,W404),IMPRODUCT(Q404,Z404)))</f>
        <v>-0.0458992472737698+0.396216096684972i</v>
      </c>
      <c r="AD404" s="64">
        <f t="shared" ref="AD404:AD467" si="272">20*LOG(IMABS(AC404))</f>
        <v>-7.9834637306854841</v>
      </c>
      <c r="AE404" s="61">
        <f t="shared" ref="AE404:AE467" si="273">(180/PI())*IMARGUMENT(AC404)</f>
        <v>96.607916813811244</v>
      </c>
      <c r="AF404" s="31" t="str">
        <f t="shared" si="258"/>
        <v>-10.0808080808081</v>
      </c>
      <c r="AG404" s="31" t="str">
        <f t="shared" ref="AG404:AG467" si="274">COMPLEX(0,1*2*PI()*O404)</f>
        <v>455176.538033572i</v>
      </c>
      <c r="AH404" s="31">
        <f t="shared" ref="AH404:AH467" si="275">IMABS(AG404)</f>
        <v>455176.53803357203</v>
      </c>
      <c r="AI404" s="31">
        <f t="shared" ref="AI404:AI467" si="276">IMARGUMENT(AG404)</f>
        <v>1.5707963267948966</v>
      </c>
      <c r="AJ404" s="31" t="str">
        <f t="shared" si="259"/>
        <v>-3962.06162476544+611.182379149585i</v>
      </c>
      <c r="AK404" s="31">
        <f t="shared" ref="AK404:AK467" si="277">IMABS(AJ404)</f>
        <v>4008.9245713809464</v>
      </c>
      <c r="AL404" s="31">
        <f t="shared" ref="AL404:AL467" si="278">IMARGUMENT(AJ404)</f>
        <v>2.9885403664541612</v>
      </c>
      <c r="AM404" s="31" t="str">
        <f t="shared" si="260"/>
        <v>1+451153.505719818i</v>
      </c>
      <c r="AN404" s="31">
        <f t="shared" ref="AN404:AN467" si="279">IMABS(AM404)</f>
        <v>451153.50572092627</v>
      </c>
      <c r="AO404" s="31">
        <f t="shared" ref="AO404:AO467" si="280">IMARGUMENT(AM404)</f>
        <v>1.5707941102544347</v>
      </c>
      <c r="AP404" s="31" t="str">
        <f t="shared" si="261"/>
        <v>1+528.733066579798i</v>
      </c>
      <c r="AQ404" s="31">
        <f t="shared" ref="AQ404:AQ467" si="281">IMABS(AP404)</f>
        <v>528.73401223571489</v>
      </c>
      <c r="AR404" s="31">
        <f t="shared" ref="AR404:AR467" si="282">IMARGUMENT(AP404)</f>
        <v>1.5689050155248911</v>
      </c>
      <c r="AS404" s="58" t="str">
        <f t="shared" ref="AS404:AS467" si="283">IMDIV(IMPRODUCT(AF404,AM404,AP404),IMPRODUCT(AG404,AJ404))</f>
        <v>-0.198439156260476+1.3027724829235i</v>
      </c>
      <c r="AT404" s="49">
        <f t="shared" ref="AT404:AT467" si="284">20*LOG(IMABS(AS404))</f>
        <v>2.3969835645514173</v>
      </c>
      <c r="AU404" s="61">
        <f t="shared" ref="AU404:AU467" si="285">(180/PI())*IMARGUMENT(AS404)</f>
        <v>98.660758945765693</v>
      </c>
      <c r="AV404" s="58" t="str">
        <f t="shared" si="262"/>
        <v>-0.507071220150541-0.138421064258154i</v>
      </c>
      <c r="AW404" s="64">
        <f t="shared" ref="AW404:AW467" si="286">20*LOG(IMABS(AV404))</f>
        <v>-5.5864801661340593</v>
      </c>
      <c r="AX404" s="61">
        <f t="shared" ref="AX404:AX467" si="287">(180/PI())*IMARGUMENT(AV404)</f>
        <v>-164.73132424042305</v>
      </c>
    </row>
    <row r="405" spans="14:50" x14ac:dyDescent="0.4">
      <c r="N405" s="10">
        <v>87</v>
      </c>
      <c r="O405" s="50">
        <f t="shared" si="252"/>
        <v>74131.024130091857</v>
      </c>
      <c r="P405" s="48" t="str">
        <f t="shared" si="253"/>
        <v>5120.19230769231</v>
      </c>
      <c r="Q405" s="17" t="str">
        <f t="shared" si="254"/>
        <v>1+2176.62091680288i</v>
      </c>
      <c r="R405" s="17">
        <f t="shared" si="263"/>
        <v>2176.6211465167312</v>
      </c>
      <c r="S405" s="17">
        <f t="shared" si="264"/>
        <v>1.5703368991003805</v>
      </c>
      <c r="T405" s="17" t="str">
        <f t="shared" si="255"/>
        <v>1+0.00465313182658749i</v>
      </c>
      <c r="U405" s="17">
        <f t="shared" si="265"/>
        <v>1.0000108257592992</v>
      </c>
      <c r="V405" s="17">
        <f t="shared" si="266"/>
        <v>4.6530982443852148E-3</v>
      </c>
      <c r="W405" s="31" t="str">
        <f t="shared" si="256"/>
        <v>1-7.54561917824998i</v>
      </c>
      <c r="X405" s="17">
        <f t="shared" si="267"/>
        <v>7.6115943653858693</v>
      </c>
      <c r="Y405" s="17">
        <f t="shared" si="268"/>
        <v>-1.4390369019918798</v>
      </c>
      <c r="Z405" s="31" t="str">
        <f t="shared" si="257"/>
        <v>-1.19816349543051+45.9412884534741i</v>
      </c>
      <c r="AA405" s="17">
        <f t="shared" si="269"/>
        <v>45.956910041114547</v>
      </c>
      <c r="AB405" s="17">
        <f t="shared" si="270"/>
        <v>1.5968707358879175</v>
      </c>
      <c r="AC405" s="66" t="str">
        <f t="shared" si="271"/>
        <v>-0.0430798450498381+0.387223541938943i</v>
      </c>
      <c r="AD405" s="64">
        <f t="shared" si="272"/>
        <v>-8.1873410924746199</v>
      </c>
      <c r="AE405" s="61">
        <f t="shared" si="273"/>
        <v>96.348231516906779</v>
      </c>
      <c r="AF405" s="31" t="str">
        <f t="shared" si="258"/>
        <v>-10.0808080808081</v>
      </c>
      <c r="AG405" s="31" t="str">
        <f t="shared" si="274"/>
        <v>465778.961620369i</v>
      </c>
      <c r="AH405" s="31">
        <f t="shared" si="275"/>
        <v>465778.96162036899</v>
      </c>
      <c r="AI405" s="31">
        <f t="shared" si="276"/>
        <v>1.5707963267948966</v>
      </c>
      <c r="AJ405" s="31" t="str">
        <f t="shared" si="259"/>
        <v>-4148.83496497688+625.418645589249i</v>
      </c>
      <c r="AK405" s="31">
        <f t="shared" si="277"/>
        <v>4195.7097193282325</v>
      </c>
      <c r="AL405" s="31">
        <f t="shared" si="278"/>
        <v>2.9919735857543861</v>
      </c>
      <c r="AM405" s="31" t="str">
        <f t="shared" si="260"/>
        <v>1+461662.220845985i</v>
      </c>
      <c r="AN405" s="31">
        <f t="shared" si="279"/>
        <v>461662.22084706812</v>
      </c>
      <c r="AO405" s="31">
        <f t="shared" si="280"/>
        <v>1.5707941607090554</v>
      </c>
      <c r="AP405" s="31" t="str">
        <f t="shared" si="261"/>
        <v>1+541.048841818221i</v>
      </c>
      <c r="AQ405" s="31">
        <f t="shared" si="281"/>
        <v>541.04976594841844</v>
      </c>
      <c r="AR405" s="31">
        <f t="shared" si="282"/>
        <v>1.5689480669262477</v>
      </c>
      <c r="AS405" s="58" t="str">
        <f t="shared" si="283"/>
        <v>-0.189702132468505+1.27442036701415i</v>
      </c>
      <c r="AT405" s="49">
        <f t="shared" si="284"/>
        <v>2.2014318884548887</v>
      </c>
      <c r="AU405" s="61">
        <f t="shared" si="285"/>
        <v>98.46651952415661</v>
      </c>
      <c r="AV405" s="58" t="str">
        <f t="shared" si="262"/>
        <v>-0.48531322996198-0.128358963587152i</v>
      </c>
      <c r="AW405" s="64">
        <f t="shared" si="286"/>
        <v>-5.9859092040197295</v>
      </c>
      <c r="AX405" s="61">
        <f t="shared" si="287"/>
        <v>-165.18524895893668</v>
      </c>
    </row>
    <row r="406" spans="14:50" x14ac:dyDescent="0.4">
      <c r="N406" s="10">
        <v>88</v>
      </c>
      <c r="O406" s="50">
        <f t="shared" si="252"/>
        <v>75857.757502918481</v>
      </c>
      <c r="P406" s="48" t="str">
        <f t="shared" si="253"/>
        <v>5120.19230769231</v>
      </c>
      <c r="Q406" s="17" t="str">
        <f t="shared" si="254"/>
        <v>1+2227.32093101609i</v>
      </c>
      <c r="R406" s="17">
        <f t="shared" si="263"/>
        <v>2227.3211555010162</v>
      </c>
      <c r="S406" s="17">
        <f t="shared" si="264"/>
        <v>1.5703473569500559</v>
      </c>
      <c r="T406" s="17" t="str">
        <f t="shared" si="255"/>
        <v>1+0.00476151719030552i</v>
      </c>
      <c r="U406" s="17">
        <f t="shared" si="265"/>
        <v>1.0000113359587248</v>
      </c>
      <c r="V406" s="17">
        <f t="shared" si="266"/>
        <v>4.7614812063495014E-3</v>
      </c>
      <c r="W406" s="31" t="str">
        <f t="shared" si="256"/>
        <v>1-7.72137922752245i</v>
      </c>
      <c r="X406" s="17">
        <f t="shared" si="267"/>
        <v>7.7858652168667284</v>
      </c>
      <c r="Y406" s="17">
        <f t="shared" si="268"/>
        <v>-1.4420026775732762</v>
      </c>
      <c r="Z406" s="31" t="str">
        <f t="shared" si="257"/>
        <v>-1.30175974934864+47.0113985307887i</v>
      </c>
      <c r="AA406" s="17">
        <f t="shared" si="269"/>
        <v>47.029418136584113</v>
      </c>
      <c r="AB406" s="17">
        <f t="shared" si="270"/>
        <v>1.5984795532828686</v>
      </c>
      <c r="AC406" s="66" t="str">
        <f t="shared" si="271"/>
        <v>-0.0403873760423659+0.378430673511603i</v>
      </c>
      <c r="AD406" s="64">
        <f t="shared" si="272"/>
        <v>-8.3910874089394376</v>
      </c>
      <c r="AE406" s="61">
        <f t="shared" si="273"/>
        <v>96.091737342014355</v>
      </c>
      <c r="AF406" s="31" t="str">
        <f t="shared" si="258"/>
        <v>-10.0808080808081</v>
      </c>
      <c r="AG406" s="31" t="str">
        <f t="shared" si="274"/>
        <v>476628.347377929i</v>
      </c>
      <c r="AH406" s="31">
        <f t="shared" si="275"/>
        <v>476628.34737792902</v>
      </c>
      <c r="AI406" s="31">
        <f t="shared" si="276"/>
        <v>1.5707963267948966</v>
      </c>
      <c r="AJ406" s="31" t="str">
        <f t="shared" si="259"/>
        <v>-4344.41066152708+639.9865172732i</v>
      </c>
      <c r="AK406" s="31">
        <f t="shared" si="277"/>
        <v>4391.2967035127158</v>
      </c>
      <c r="AL406" s="31">
        <f t="shared" si="278"/>
        <v>2.9953319808964332</v>
      </c>
      <c r="AM406" s="31" t="str">
        <f t="shared" si="260"/>
        <v>1+472415.715392466i</v>
      </c>
      <c r="AN406" s="31">
        <f t="shared" si="279"/>
        <v>472415.71539352438</v>
      </c>
      <c r="AO406" s="31">
        <f t="shared" si="280"/>
        <v>1.5707942100151888</v>
      </c>
      <c r="AP406" s="31" t="str">
        <f t="shared" si="261"/>
        <v>1+553.651488314203i</v>
      </c>
      <c r="AQ406" s="31">
        <f t="shared" si="281"/>
        <v>553.65239140866368</v>
      </c>
      <c r="AR406" s="31">
        <f t="shared" si="282"/>
        <v>1.568990138364688</v>
      </c>
      <c r="AS406" s="58" t="str">
        <f t="shared" si="283"/>
        <v>-0.181341606410653+1.2466291186907i</v>
      </c>
      <c r="AT406" s="49">
        <f t="shared" si="284"/>
        <v>2.0056842626247429</v>
      </c>
      <c r="AU406" s="61">
        <f t="shared" si="285"/>
        <v>98.276510997474148</v>
      </c>
      <c r="AV406" s="58" t="str">
        <f t="shared" si="262"/>
        <v>-0.464438785355064-0.118973305251584i</v>
      </c>
      <c r="AW406" s="64">
        <f t="shared" si="286"/>
        <v>-6.3854031463146921</v>
      </c>
      <c r="AX406" s="61">
        <f t="shared" si="287"/>
        <v>-165.6317516605115</v>
      </c>
    </row>
    <row r="407" spans="14:50" x14ac:dyDescent="0.4">
      <c r="N407" s="10">
        <v>89</v>
      </c>
      <c r="O407" s="50">
        <f t="shared" si="252"/>
        <v>77624.711662869129</v>
      </c>
      <c r="P407" s="48" t="str">
        <f t="shared" si="253"/>
        <v>5120.19230769231</v>
      </c>
      <c r="Q407" s="17" t="str">
        <f t="shared" si="254"/>
        <v>1+2279.20190026901i</v>
      </c>
      <c r="R407" s="17">
        <f t="shared" si="263"/>
        <v>2279.202119644036</v>
      </c>
      <c r="S407" s="17">
        <f t="shared" si="264"/>
        <v>1.5703575767501048</v>
      </c>
      <c r="T407" s="17" t="str">
        <f t="shared" si="255"/>
        <v>1+0.00487242717346397i</v>
      </c>
      <c r="U407" s="17">
        <f t="shared" si="265"/>
        <v>1.0000118702028296</v>
      </c>
      <c r="V407" s="17">
        <f t="shared" si="266"/>
        <v>4.8723886159851354E-3</v>
      </c>
      <c r="W407" s="31" t="str">
        <f t="shared" si="256"/>
        <v>1-7.90123325426589i</v>
      </c>
      <c r="X407" s="17">
        <f t="shared" si="267"/>
        <v>7.9642631133280091</v>
      </c>
      <c r="Y407" s="17">
        <f t="shared" si="268"/>
        <v>-1.4449031470136868</v>
      </c>
      <c r="Z407" s="31" t="str">
        <f t="shared" si="257"/>
        <v>-1.41023834429743+48.1064346738737i</v>
      </c>
      <c r="AA407" s="17">
        <f t="shared" si="269"/>
        <v>48.127100777206643</v>
      </c>
      <c r="AB407" s="17">
        <f t="shared" si="270"/>
        <v>1.6001028965134023</v>
      </c>
      <c r="AC407" s="66" t="str">
        <f t="shared" si="271"/>
        <v>-0.0378161453143195+0.369833205473091i</v>
      </c>
      <c r="AD407" s="64">
        <f t="shared" si="272"/>
        <v>-8.5947102611591699</v>
      </c>
      <c r="AE407" s="61">
        <f t="shared" si="273"/>
        <v>95.838310943740026</v>
      </c>
      <c r="AF407" s="31" t="str">
        <f t="shared" si="258"/>
        <v>-10.0808080808081</v>
      </c>
      <c r="AG407" s="31" t="str">
        <f t="shared" si="274"/>
        <v>487730.447794191i</v>
      </c>
      <c r="AH407" s="31">
        <f t="shared" si="275"/>
        <v>487730.44779419102</v>
      </c>
      <c r="AI407" s="31">
        <f t="shared" si="276"/>
        <v>1.5707963267948966</v>
      </c>
      <c r="AJ407" s="31" t="str">
        <f t="shared" si="259"/>
        <v>-4549.20355668973+654.89371827983i</v>
      </c>
      <c r="AK407" s="31">
        <f t="shared" si="277"/>
        <v>4596.1003886382723</v>
      </c>
      <c r="AL407" s="31">
        <f t="shared" si="278"/>
        <v>2.9986170392135882</v>
      </c>
      <c r="AM407" s="31" t="str">
        <f t="shared" si="260"/>
        <v>1+483419.691004409i</v>
      </c>
      <c r="AN407" s="31">
        <f t="shared" si="279"/>
        <v>483419.69100544334</v>
      </c>
      <c r="AO407" s="31">
        <f t="shared" si="280"/>
        <v>1.5707942581989776</v>
      </c>
      <c r="AP407" s="31" t="str">
        <f t="shared" si="261"/>
        <v>1+566.547688157733i</v>
      </c>
      <c r="AQ407" s="31">
        <f t="shared" si="281"/>
        <v>566.54857069528634</v>
      </c>
      <c r="AR407" s="31">
        <f t="shared" si="282"/>
        <v>1.5690312521464493</v>
      </c>
      <c r="AS407" s="58" t="str">
        <f t="shared" si="283"/>
        <v>-0.173342060305153+1.21939135268395i</v>
      </c>
      <c r="AT407" s="49">
        <f t="shared" si="284"/>
        <v>1.8097491392269247</v>
      </c>
      <c r="AU407" s="61">
        <f t="shared" si="285"/>
        <v>98.090649427349248</v>
      </c>
      <c r="AV407" s="58" t="str">
        <f t="shared" si="262"/>
        <v>-0.44441628414769-0.110220330394085i</v>
      </c>
      <c r="AW407" s="64">
        <f t="shared" si="286"/>
        <v>-6.7849611219322572</v>
      </c>
      <c r="AX407" s="61">
        <f t="shared" si="287"/>
        <v>-166.07103962891077</v>
      </c>
    </row>
    <row r="408" spans="14:50" x14ac:dyDescent="0.4">
      <c r="N408" s="10">
        <v>90</v>
      </c>
      <c r="O408" s="50">
        <f t="shared" si="252"/>
        <v>79432.823472428237</v>
      </c>
      <c r="P408" s="48" t="str">
        <f t="shared" si="253"/>
        <v>5120.19230769231</v>
      </c>
      <c r="Q408" s="17" t="str">
        <f t="shared" si="254"/>
        <v>1+2332.29133253826i</v>
      </c>
      <c r="R408" s="17">
        <f t="shared" si="263"/>
        <v>2332.291546919701</v>
      </c>
      <c r="S408" s="17">
        <f t="shared" si="264"/>
        <v>1.5703675639191916</v>
      </c>
      <c r="T408" s="17" t="str">
        <f t="shared" si="255"/>
        <v>1+0.00498592058200402i</v>
      </c>
      <c r="U408" s="17">
        <f t="shared" si="265"/>
        <v>1.0000124296247772</v>
      </c>
      <c r="V408" s="17">
        <f t="shared" si="266"/>
        <v>4.9858792669488228E-3</v>
      </c>
      <c r="W408" s="31" t="str">
        <f t="shared" si="256"/>
        <v>1-8.08527661946597i</v>
      </c>
      <c r="X408" s="17">
        <f t="shared" si="267"/>
        <v>8.1468827175357745</v>
      </c>
      <c r="Y408" s="17">
        <f t="shared" si="268"/>
        <v>-1.4477396528697062</v>
      </c>
      <c r="Z408" s="31" t="str">
        <f t="shared" si="257"/>
        <v>-1.52382937792078+49.226977485387i</v>
      </c>
      <c r="AA408" s="17">
        <f t="shared" si="269"/>
        <v>49.250557035629697</v>
      </c>
      <c r="AB408" s="17">
        <f t="shared" si="270"/>
        <v>1.6017416135638771</v>
      </c>
      <c r="AC408" s="66" t="str">
        <f t="shared" si="271"/>
        <v>-0.035360713661528+0.361426930503102i</v>
      </c>
      <c r="AD408" s="64">
        <f t="shared" si="272"/>
        <v>-8.7982169985284528</v>
      </c>
      <c r="AE408" s="61">
        <f t="shared" si="273"/>
        <v>95.587829871494094</v>
      </c>
      <c r="AF408" s="31" t="str">
        <f t="shared" si="258"/>
        <v>-10.0808080808081</v>
      </c>
      <c r="AG408" s="31" t="str">
        <f t="shared" si="274"/>
        <v>499091.149349751i</v>
      </c>
      <c r="AH408" s="31">
        <f t="shared" si="275"/>
        <v>499091.14934975101</v>
      </c>
      <c r="AI408" s="31">
        <f t="shared" si="276"/>
        <v>1.5707963267948966</v>
      </c>
      <c r="AJ408" s="31" t="str">
        <f t="shared" si="259"/>
        <v>-4763.64804365257+670.148152604438i</v>
      </c>
      <c r="AK408" s="31">
        <f t="shared" si="277"/>
        <v>4810.5551893969678</v>
      </c>
      <c r="AL408" s="31">
        <f t="shared" si="278"/>
        <v>3.0018302279454954</v>
      </c>
      <c r="AM408" s="31" t="str">
        <f t="shared" si="260"/>
        <v>1+494679.98213534i</v>
      </c>
      <c r="AN408" s="31">
        <f t="shared" si="279"/>
        <v>494679.98213635077</v>
      </c>
      <c r="AO408" s="31">
        <f t="shared" si="280"/>
        <v>1.5707943052859694</v>
      </c>
      <c r="AP408" s="31" t="str">
        <f t="shared" si="261"/>
        <v>1+579.744279084671i</v>
      </c>
      <c r="AQ408" s="31">
        <f t="shared" si="281"/>
        <v>579.74514153324731</v>
      </c>
      <c r="AR408" s="31">
        <f t="shared" si="282"/>
        <v>1.5690714300700468</v>
      </c>
      <c r="AS408" s="58" t="str">
        <f t="shared" si="283"/>
        <v>-0.165688554835707+1.19269951983865i</v>
      </c>
      <c r="AT408" s="49">
        <f t="shared" si="284"/>
        <v>1.6136346213473594</v>
      </c>
      <c r="AU408" s="61">
        <f t="shared" si="285"/>
        <v>97.908851997569599</v>
      </c>
      <c r="AV408" s="58" t="str">
        <f t="shared" si="262"/>
        <v>-0.425214860923269-0.102059011999021i</v>
      </c>
      <c r="AW408" s="64">
        <f t="shared" si="286"/>
        <v>-7.1845823771810959</v>
      </c>
      <c r="AX408" s="61">
        <f t="shared" si="287"/>
        <v>-166.50331813093626</v>
      </c>
    </row>
    <row r="409" spans="14:50" x14ac:dyDescent="0.4">
      <c r="N409" s="10">
        <v>91</v>
      </c>
      <c r="O409" s="50">
        <f t="shared" si="252"/>
        <v>81283.051616410012</v>
      </c>
      <c r="P409" s="48" t="str">
        <f t="shared" si="253"/>
        <v>5120.19230769231</v>
      </c>
      <c r="Q409" s="17" t="str">
        <f t="shared" si="254"/>
        <v>1+2386.61737654354i</v>
      </c>
      <c r="R409" s="17">
        <f t="shared" si="263"/>
        <v>2386.6175860450644</v>
      </c>
      <c r="S409" s="17">
        <f t="shared" si="264"/>
        <v>1.5703773237526382</v>
      </c>
      <c r="T409" s="17" t="str">
        <f t="shared" si="255"/>
        <v>1+0.00510205759163309i</v>
      </c>
      <c r="U409" s="17">
        <f t="shared" si="265"/>
        <v>1.0000130154111337</v>
      </c>
      <c r="V409" s="17">
        <f t="shared" si="266"/>
        <v>5.1020133217849675E-3</v>
      </c>
      <c r="W409" s="31" t="str">
        <f t="shared" si="256"/>
        <v>1-8.27360690535094i</v>
      </c>
      <c r="X409" s="17">
        <f t="shared" si="267"/>
        <v>8.3338209258581237</v>
      </c>
      <c r="Y409" s="17">
        <f t="shared" si="268"/>
        <v>-1.4505135164218581</v>
      </c>
      <c r="Z409" s="31" t="str">
        <f t="shared" si="257"/>
        <v>-1.64277379203039+50.3736210919589i</v>
      </c>
      <c r="AA409" s="17">
        <f t="shared" si="269"/>
        <v>50.400400867929896</v>
      </c>
      <c r="AB409" s="17">
        <f t="shared" si="270"/>
        <v>1.6033965597895559</v>
      </c>
      <c r="AC409" s="66" t="str">
        <f t="shared" si="271"/>
        <v>-0.0330158862000978+0.353207719329798i</v>
      </c>
      <c r="AD409" s="64">
        <f t="shared" si="272"/>
        <v>-9.0016147516496741</v>
      </c>
      <c r="AE409" s="61">
        <f t="shared" si="273"/>
        <v>95.340172556892725</v>
      </c>
      <c r="AF409" s="31" t="str">
        <f t="shared" si="258"/>
        <v>-10.0808080808081</v>
      </c>
      <c r="AG409" s="31" t="str">
        <f t="shared" si="274"/>
        <v>510716.475638947i</v>
      </c>
      <c r="AH409" s="31">
        <f t="shared" si="275"/>
        <v>510716.47563894698</v>
      </c>
      <c r="AI409" s="31">
        <f t="shared" si="276"/>
        <v>1.5707963267948966</v>
      </c>
      <c r="AJ409" s="31" t="str">
        <f t="shared" si="259"/>
        <v>-4988.19898792348+685.757908350014i</v>
      </c>
      <c r="AK409" s="31">
        <f t="shared" si="277"/>
        <v>5035.1159919097609</v>
      </c>
      <c r="AL409" s="31">
        <f t="shared" si="278"/>
        <v>3.0049729938449943</v>
      </c>
      <c r="AM409" s="31" t="str">
        <f t="shared" si="260"/>
        <v>1+506202.559140661i</v>
      </c>
      <c r="AN409" s="31">
        <f t="shared" si="279"/>
        <v>506202.55914164876</v>
      </c>
      <c r="AO409" s="31">
        <f t="shared" si="280"/>
        <v>1.5707943513011304</v>
      </c>
      <c r="AP409" s="31" t="str">
        <f t="shared" si="261"/>
        <v>1+593.248258102201i</v>
      </c>
      <c r="AQ409" s="31">
        <f t="shared" si="281"/>
        <v>593.24910091907918</v>
      </c>
      <c r="AR409" s="31">
        <f t="shared" si="282"/>
        <v>1.5691106934378281</v>
      </c>
      <c r="AS409" s="58" t="str">
        <f t="shared" si="283"/>
        <v>-0.158366712966608+1.16654593017953i</v>
      </c>
      <c r="AT409" s="49">
        <f t="shared" si="284"/>
        <v>1.4173484760681454</v>
      </c>
      <c r="AU409" s="61">
        <f t="shared" si="285"/>
        <v>97.731037037268564</v>
      </c>
      <c r="AV409" s="58" t="str">
        <f t="shared" si="262"/>
        <v>-0.40680441011898-0.094450893182687i</v>
      </c>
      <c r="AW409" s="64">
        <f t="shared" si="286"/>
        <v>-7.5842662755815402</v>
      </c>
      <c r="AX409" s="61">
        <f t="shared" si="287"/>
        <v>-166.92879040583867</v>
      </c>
    </row>
    <row r="410" spans="14:50" x14ac:dyDescent="0.4">
      <c r="N410" s="10">
        <v>92</v>
      </c>
      <c r="O410" s="50">
        <f t="shared" si="252"/>
        <v>83176.377110267174</v>
      </c>
      <c r="P410" s="48" t="str">
        <f t="shared" si="253"/>
        <v>5120.19230769231</v>
      </c>
      <c r="Q410" s="17" t="str">
        <f t="shared" si="254"/>
        <v>1+2442.20883667248i</v>
      </c>
      <c r="R410" s="17">
        <f t="shared" si="263"/>
        <v>2442.2090414051681</v>
      </c>
      <c r="S410" s="17">
        <f t="shared" si="264"/>
        <v>1.5703868614252294</v>
      </c>
      <c r="T410" s="17" t="str">
        <f t="shared" si="255"/>
        <v>1+0.00522089977973096i</v>
      </c>
      <c r="U410" s="17">
        <f t="shared" si="265"/>
        <v>1.0000136288043828</v>
      </c>
      <c r="V410" s="17">
        <f t="shared" si="266"/>
        <v>5.2208523437689723E-3</v>
      </c>
      <c r="W410" s="31" t="str">
        <f t="shared" si="256"/>
        <v>1-8.46632396713128i</v>
      </c>
      <c r="X410" s="17">
        <f t="shared" si="267"/>
        <v>8.5251769199484393</v>
      </c>
      <c r="Y410" s="17">
        <f t="shared" si="268"/>
        <v>-1.4532260375738688</v>
      </c>
      <c r="Z410" s="31" t="str">
        <f t="shared" si="257"/>
        <v>-1.76732388367576+51.5469734592075i</v>
      </c>
      <c r="AA410" s="17">
        <f t="shared" si="269"/>
        <v>51.577261525928783</v>
      </c>
      <c r="AB410" s="17">
        <f t="shared" si="270"/>
        <v>1.6050685983064532</v>
      </c>
      <c r="AC410" s="66" t="str">
        <f t="shared" si="271"/>
        <v>-0.0307767014610165+0.345171520099457i</v>
      </c>
      <c r="AD410" s="64">
        <f t="shared" si="272"/>
        <v>-9.2049104449764165</v>
      </c>
      <c r="AE410" s="61">
        <f t="shared" si="273"/>
        <v>95.095218298856338</v>
      </c>
      <c r="AF410" s="31" t="str">
        <f t="shared" si="258"/>
        <v>-10.0808080808081</v>
      </c>
      <c r="AG410" s="31" t="str">
        <f t="shared" si="274"/>
        <v>522612.590563659i</v>
      </c>
      <c r="AH410" s="31">
        <f t="shared" si="275"/>
        <v>522612.59056365897</v>
      </c>
      <c r="AI410" s="31">
        <f t="shared" si="276"/>
        <v>1.5707963267948966</v>
      </c>
      <c r="AJ410" s="31" t="str">
        <f t="shared" si="259"/>
        <v>-5223.33269216134+701.731262015677i</v>
      </c>
      <c r="AK410" s="31">
        <f t="shared" si="277"/>
        <v>5270.259118590996</v>
      </c>
      <c r="AL410" s="31">
        <f t="shared" si="278"/>
        <v>3.0080467628436058</v>
      </c>
      <c r="AM410" s="31" t="str">
        <f t="shared" si="260"/>
        <v>1+517993.531443223i</v>
      </c>
      <c r="AN410" s="31">
        <f t="shared" si="279"/>
        <v>517993.53144418821</v>
      </c>
      <c r="AO410" s="31">
        <f t="shared" si="280"/>
        <v>1.5707943962688586</v>
      </c>
      <c r="AP410" s="31" t="str">
        <f t="shared" si="261"/>
        <v>1+607.066785198747i</v>
      </c>
      <c r="AQ410" s="31">
        <f t="shared" si="281"/>
        <v>607.0676088307971</v>
      </c>
      <c r="AR410" s="31">
        <f t="shared" si="282"/>
        <v>1.569149063067266</v>
      </c>
      <c r="AS410" s="58" t="str">
        <f t="shared" si="283"/>
        <v>-0.151362703706375+1.14092277444935i</v>
      </c>
      <c r="AT410" s="49">
        <f t="shared" si="284"/>
        <v>1.2208981471713718</v>
      </c>
      <c r="AU410" s="61">
        <f t="shared" si="285"/>
        <v>97.557124040739296</v>
      </c>
      <c r="AV410" s="58" t="str">
        <f t="shared" si="262"/>
        <v>-0.389155603628469-0.0873599341439955i</v>
      </c>
      <c r="AW410" s="64">
        <f t="shared" si="286"/>
        <v>-7.9840122978050365</v>
      </c>
      <c r="AX410" s="61">
        <f t="shared" si="287"/>
        <v>-167.34765766040437</v>
      </c>
    </row>
    <row r="411" spans="14:50" x14ac:dyDescent="0.4">
      <c r="N411" s="10">
        <v>93</v>
      </c>
      <c r="O411" s="50">
        <f t="shared" si="252"/>
        <v>85113.803820237721</v>
      </c>
      <c r="P411" s="48" t="str">
        <f t="shared" si="253"/>
        <v>5120.19230769231</v>
      </c>
      <c r="Q411" s="17" t="str">
        <f t="shared" si="254"/>
        <v>1+2499.09518825309i</v>
      </c>
      <c r="R411" s="17">
        <f t="shared" si="263"/>
        <v>2499.0953883254933</v>
      </c>
      <c r="S411" s="17">
        <f t="shared" si="264"/>
        <v>1.5703961819939589</v>
      </c>
      <c r="T411" s="17" t="str">
        <f t="shared" si="255"/>
        <v>1+0.00534251015799882i</v>
      </c>
      <c r="U411" s="17">
        <f t="shared" si="265"/>
        <v>1.000014271105562</v>
      </c>
      <c r="V411" s="17">
        <f t="shared" si="266"/>
        <v>5.3424593294889647E-3</v>
      </c>
      <c r="W411" s="31" t="str">
        <f t="shared" si="256"/>
        <v>1-8.66352998594402i</v>
      </c>
      <c r="X411" s="17">
        <f t="shared" si="267"/>
        <v>8.7210522196207041</v>
      </c>
      <c r="Y411" s="17">
        <f t="shared" si="268"/>
        <v>-1.4558784947896324</v>
      </c>
      <c r="Z411" s="31" t="str">
        <f t="shared" si="257"/>
        <v>-1.89774384029997+52.7476567140891i</v>
      </c>
      <c r="AA411" s="17">
        <f t="shared" si="269"/>
        <v>52.781783983783512</v>
      </c>
      <c r="AB411" s="17">
        <f t="shared" si="270"/>
        <v>1.6067586003813636</v>
      </c>
      <c r="AC411" s="66" t="str">
        <f t="shared" si="271"/>
        <v>-0.028638420969784+0.337314357683922i</v>
      </c>
      <c r="AD411" s="64">
        <f t="shared" si="272"/>
        <v>-9.4081108092152537</v>
      </c>
      <c r="AE411" s="61">
        <f t="shared" si="273"/>
        <v>94.852847246583522</v>
      </c>
      <c r="AF411" s="31" t="str">
        <f t="shared" si="258"/>
        <v>-10.0808080808081</v>
      </c>
      <c r="AG411" s="31" t="str">
        <f t="shared" si="274"/>
        <v>534785.801601483i</v>
      </c>
      <c r="AH411" s="31">
        <f t="shared" si="275"/>
        <v>534785.80160148302</v>
      </c>
      <c r="AI411" s="31">
        <f t="shared" si="276"/>
        <v>1.5707963267948966</v>
      </c>
      <c r="AJ411" s="31" t="str">
        <f t="shared" si="259"/>
        <v>-5469.54790647774+718.076682884972i</v>
      </c>
      <c r="AK411" s="31">
        <f t="shared" si="277"/>
        <v>5516.4833384827798</v>
      </c>
      <c r="AL411" s="31">
        <f t="shared" si="278"/>
        <v>3.0110529397717447</v>
      </c>
      <c r="AM411" s="31" t="str">
        <f t="shared" si="260"/>
        <v>1+530059.15077261i</v>
      </c>
      <c r="AN411" s="31">
        <f t="shared" si="279"/>
        <v>530059.15077355318</v>
      </c>
      <c r="AO411" s="31">
        <f t="shared" si="280"/>
        <v>1.5707944402129963</v>
      </c>
      <c r="AP411" s="31" t="str">
        <f t="shared" si="261"/>
        <v>1+621.207187140283i</v>
      </c>
      <c r="AQ411" s="31">
        <f t="shared" si="281"/>
        <v>621.20799202420335</v>
      </c>
      <c r="AR411" s="31">
        <f t="shared" si="282"/>
        <v>1.5691865593019938</v>
      </c>
      <c r="AS411" s="58" t="str">
        <f t="shared" si="283"/>
        <v>-0.144663225880284+1.11582214419223i</v>
      </c>
      <c r="AT411" s="49">
        <f t="shared" si="284"/>
        <v>1.0242907674705728</v>
      </c>
      <c r="AU411" s="61">
        <f t="shared" si="285"/>
        <v>97.387033684098498</v>
      </c>
      <c r="AV411" s="58" t="str">
        <f t="shared" si="262"/>
        <v>-0.372239903496092-0.0807523674110762i</v>
      </c>
      <c r="AW411" s="64">
        <f t="shared" si="286"/>
        <v>-8.3838200417446824</v>
      </c>
      <c r="AX411" s="61">
        <f t="shared" si="287"/>
        <v>-167.76011906931799</v>
      </c>
    </row>
    <row r="412" spans="14:50" x14ac:dyDescent="0.4">
      <c r="N412" s="10">
        <v>94</v>
      </c>
      <c r="O412" s="50">
        <f t="shared" si="252"/>
        <v>87096.358995608127</v>
      </c>
      <c r="P412" s="48" t="str">
        <f t="shared" si="253"/>
        <v>5120.19230769231</v>
      </c>
      <c r="Q412" s="17" t="str">
        <f t="shared" si="254"/>
        <v>1+2557.30659318194i</v>
      </c>
      <c r="R412" s="17">
        <f t="shared" si="263"/>
        <v>2557.3067887001398</v>
      </c>
      <c r="S412" s="17">
        <f t="shared" si="264"/>
        <v>1.5704052904007089</v>
      </c>
      <c r="T412" s="17" t="str">
        <f t="shared" si="255"/>
        <v>1+0.00546695320586894i</v>
      </c>
      <c r="U412" s="17">
        <f t="shared" si="265"/>
        <v>1.0000149436770209</v>
      </c>
      <c r="V412" s="17">
        <f t="shared" si="266"/>
        <v>5.46689874218333E-3</v>
      </c>
      <c r="W412" s="31" t="str">
        <f t="shared" si="256"/>
        <v>1-8.86532952303071i</v>
      </c>
      <c r="X412" s="17">
        <f t="shared" si="267"/>
        <v>8.9215507369470188</v>
      </c>
      <c r="Y412" s="17">
        <f t="shared" si="268"/>
        <v>-1.4584721450650395</v>
      </c>
      <c r="Z412" s="31" t="str">
        <f t="shared" si="257"/>
        <v>-2.03431030011675+53.9763074747583i</v>
      </c>
      <c r="AA412" s="17">
        <f t="shared" si="269"/>
        <v>54.014629379519121</v>
      </c>
      <c r="AB412" s="17">
        <f t="shared" si="270"/>
        <v>1.6084674458219763</v>
      </c>
      <c r="AC412" s="66" t="str">
        <f t="shared" si="271"/>
        <v>-0.0265965192898364+0.32963233293233i</v>
      </c>
      <c r="AD412" s="64">
        <f t="shared" si="272"/>
        <v>-9.611222393495682</v>
      </c>
      <c r="AE412" s="61">
        <f t="shared" si="273"/>
        <v>94.61294038057008</v>
      </c>
      <c r="AF412" s="31" t="str">
        <f t="shared" si="258"/>
        <v>-10.0808080808081</v>
      </c>
      <c r="AG412" s="31" t="str">
        <f t="shared" si="274"/>
        <v>547242.563150044i</v>
      </c>
      <c r="AH412" s="31">
        <f t="shared" si="275"/>
        <v>547242.56315004395</v>
      </c>
      <c r="AI412" s="31">
        <f t="shared" si="276"/>
        <v>1.5707963267948966</v>
      </c>
      <c r="AJ412" s="31" t="str">
        <f t="shared" si="259"/>
        <v>-5727.36688635294+734.802837516401i</v>
      </c>
      <c r="AK412" s="31">
        <f t="shared" si="277"/>
        <v>5774.3109252026188</v>
      </c>
      <c r="AL412" s="31">
        <f t="shared" si="278"/>
        <v>3.0139929081299117</v>
      </c>
      <c r="AM412" s="31" t="str">
        <f t="shared" si="260"/>
        <v>1+542405.814479901i</v>
      </c>
      <c r="AN412" s="31">
        <f t="shared" si="279"/>
        <v>542405.81448082277</v>
      </c>
      <c r="AO412" s="31">
        <f t="shared" si="280"/>
        <v>1.5707944831568432</v>
      </c>
      <c r="AP412" s="31" t="str">
        <f t="shared" si="261"/>
        <v>1+635.676961355091i</v>
      </c>
      <c r="AQ412" s="31">
        <f t="shared" si="281"/>
        <v>635.67774791763918</v>
      </c>
      <c r="AR412" s="31">
        <f t="shared" si="282"/>
        <v>1.5692232020225894</v>
      </c>
      <c r="AS412" s="58" t="str">
        <f t="shared" si="283"/>
        <v>-0.138255491965641+1.09123605045398i</v>
      </c>
      <c r="AT412" s="49">
        <f t="shared" si="284"/>
        <v>0.82753317077105482</v>
      </c>
      <c r="AU412" s="61">
        <f t="shared" si="285"/>
        <v>97.220687839014744</v>
      </c>
      <c r="AV412" s="58" t="str">
        <f t="shared" si="262"/>
        <v>-0.356029570232017-0.0745965610230054i</v>
      </c>
      <c r="AW412" s="64">
        <f t="shared" si="286"/>
        <v>-8.7836892227246324</v>
      </c>
      <c r="AX412" s="61">
        <f t="shared" si="287"/>
        <v>-168.16637178041518</v>
      </c>
    </row>
    <row r="413" spans="14:50" x14ac:dyDescent="0.4">
      <c r="N413" s="10">
        <v>95</v>
      </c>
      <c r="O413" s="50">
        <f t="shared" si="252"/>
        <v>89125.093813374609</v>
      </c>
      <c r="P413" s="48" t="str">
        <f t="shared" si="253"/>
        <v>5120.19230769231</v>
      </c>
      <c r="Q413" s="17" t="str">
        <f t="shared" si="254"/>
        <v>1+2616.87391591645i</v>
      </c>
      <c r="R413" s="17">
        <f t="shared" si="263"/>
        <v>2616.8741069841121</v>
      </c>
      <c r="S413" s="17">
        <f t="shared" si="264"/>
        <v>1.5704141914748715</v>
      </c>
      <c r="T413" s="17" t="str">
        <f t="shared" si="255"/>
        <v>1+0.00559429490469249i</v>
      </c>
      <c r="U413" s="17">
        <f t="shared" si="265"/>
        <v>1.0000156479453113</v>
      </c>
      <c r="V413" s="17">
        <f t="shared" si="266"/>
        <v>5.5942365458512442E-3</v>
      </c>
      <c r="W413" s="31" t="str">
        <f t="shared" si="256"/>
        <v>1-9.07182957517701i</v>
      </c>
      <c r="X413" s="17">
        <f t="shared" si="267"/>
        <v>9.1267788316062699</v>
      </c>
      <c r="Y413" s="17">
        <f t="shared" si="268"/>
        <v>-1.4610082239319719</v>
      </c>
      <c r="Z413" s="31" t="str">
        <f t="shared" si="257"/>
        <v>-2.17731293889714+55.2335771881114i</v>
      </c>
      <c r="AA413" s="17">
        <f t="shared" si="269"/>
        <v>55.276475472202002</v>
      </c>
      <c r="AB413" s="17">
        <f t="shared" si="270"/>
        <v>1.610196023366941</v>
      </c>
      <c r="AC413" s="66" t="str">
        <f t="shared" si="271"/>
        <v>-0.0246466745094426+0.32212162187316i</v>
      </c>
      <c r="AD413" s="64">
        <f t="shared" si="272"/>
        <v>-9.8142515773176715</v>
      </c>
      <c r="AE413" s="61">
        <f t="shared" si="273"/>
        <v>94.375379491834963</v>
      </c>
      <c r="AF413" s="31" t="str">
        <f t="shared" si="258"/>
        <v>-10.0808080808081</v>
      </c>
      <c r="AG413" s="31" t="str">
        <f t="shared" si="274"/>
        <v>559989.479949198i</v>
      </c>
      <c r="AH413" s="31">
        <f t="shared" si="275"/>
        <v>559989.47994919796</v>
      </c>
      <c r="AI413" s="31">
        <f t="shared" si="276"/>
        <v>1.5707963267948966</v>
      </c>
      <c r="AJ413" s="31" t="str">
        <f t="shared" si="259"/>
        <v>-5997.3365004096+751.918594338547i</v>
      </c>
      <c r="AK413" s="31">
        <f t="shared" si="277"/>
        <v>6044.2887647478692</v>
      </c>
      <c r="AL413" s="31">
        <f t="shared" si="278"/>
        <v>3.0168680299073083</v>
      </c>
      <c r="AM413" s="31" t="str">
        <f t="shared" si="260"/>
        <v>1+555040.068929617i</v>
      </c>
      <c r="AN413" s="31">
        <f t="shared" si="279"/>
        <v>555040.06893051788</v>
      </c>
      <c r="AO413" s="31">
        <f t="shared" si="280"/>
        <v>1.5707945251231688</v>
      </c>
      <c r="AP413" s="31" t="str">
        <f t="shared" si="261"/>
        <v>1+650.483779908989i</v>
      </c>
      <c r="AQ413" s="31">
        <f t="shared" si="281"/>
        <v>650.48454856720934</v>
      </c>
      <c r="AR413" s="31">
        <f t="shared" si="282"/>
        <v>1.5692590106571145</v>
      </c>
      <c r="AS413" s="58" t="str">
        <f t="shared" si="283"/>
        <v>-0.132127212037537+1.06715644116939i</v>
      </c>
      <c r="AT413" s="49">
        <f t="shared" si="284"/>
        <v>0.63063190346136078</v>
      </c>
      <c r="AU413" s="61">
        <f t="shared" si="285"/>
        <v>97.058009583705456</v>
      </c>
      <c r="AV413" s="58" t="str">
        <f t="shared" si="262"/>
        <v>-0.340497667232944-0.0688628892912674i</v>
      </c>
      <c r="AW413" s="64">
        <f t="shared" si="286"/>
        <v>-9.1836196738563096</v>
      </c>
      <c r="AX413" s="61">
        <f t="shared" si="287"/>
        <v>-168.56661092445958</v>
      </c>
    </row>
    <row r="414" spans="14:50" x14ac:dyDescent="0.4">
      <c r="N414" s="10">
        <v>96</v>
      </c>
      <c r="O414" s="50">
        <f t="shared" si="252"/>
        <v>91201.083935591028</v>
      </c>
      <c r="P414" s="48" t="str">
        <f t="shared" si="253"/>
        <v>5120.19230769231</v>
      </c>
      <c r="Q414" s="17" t="str">
        <f t="shared" si="254"/>
        <v>1+2677.82873983959i</v>
      </c>
      <c r="R414" s="17">
        <f t="shared" si="263"/>
        <v>2677.828926558022</v>
      </c>
      <c r="S414" s="17">
        <f t="shared" si="264"/>
        <v>1.5704228899359081</v>
      </c>
      <c r="T414" s="17" t="str">
        <f t="shared" si="255"/>
        <v>1+0.00572460277272376i</v>
      </c>
      <c r="U414" s="17">
        <f t="shared" si="265"/>
        <v>1.0000163854042119</v>
      </c>
      <c r="V414" s="17">
        <f t="shared" si="266"/>
        <v>5.7245402401540713E-3</v>
      </c>
      <c r="W414" s="31" t="str">
        <f t="shared" si="256"/>
        <v>1-9.28313963144392i</v>
      </c>
      <c r="X414" s="17">
        <f t="shared" si="267"/>
        <v>9.3368453675149166</v>
      </c>
      <c r="Y414" s="17">
        <f t="shared" si="268"/>
        <v>-1.4634879454919403</v>
      </c>
      <c r="Z414" s="31" t="str">
        <f t="shared" si="257"/>
        <v>-2.3270550844107+56.5201324751926i</v>
      </c>
      <c r="AA414" s="17">
        <f t="shared" si="269"/>
        <v>56.568017115497362</v>
      </c>
      <c r="AB414" s="17">
        <f t="shared" si="270"/>
        <v>1.6119452310757554</v>
      </c>
      <c r="AC414" s="66" t="str">
        <f t="shared" si="271"/>
        <v>-0.0227847591526235+0.314778474872177i</v>
      </c>
      <c r="AD414" s="64">
        <f t="shared" si="272"/>
        <v>-10.017204582287345</v>
      </c>
      <c r="AE414" s="61">
        <f t="shared" si="273"/>
        <v>94.140047159507219</v>
      </c>
      <c r="AF414" s="31" t="str">
        <f t="shared" si="258"/>
        <v>-10.0808080808081</v>
      </c>
      <c r="AG414" s="31" t="str">
        <f t="shared" si="274"/>
        <v>573033.310582958i</v>
      </c>
      <c r="AH414" s="31">
        <f t="shared" si="275"/>
        <v>573033.31058295805</v>
      </c>
      <c r="AI414" s="31">
        <f t="shared" si="276"/>
        <v>1.5707963267948966</v>
      </c>
      <c r="AJ414" s="31" t="str">
        <f t="shared" si="259"/>
        <v>-6280.02939039462+769.43302835223i</v>
      </c>
      <c r="AK414" s="31">
        <f t="shared" si="277"/>
        <v>6326.9895155073164</v>
      </c>
      <c r="AL414" s="31">
        <f t="shared" si="278"/>
        <v>3.0196796454445178</v>
      </c>
      <c r="AM414" s="31" t="str">
        <f t="shared" si="260"/>
        <v>1+567968.612970704i</v>
      </c>
      <c r="AN414" s="31">
        <f t="shared" si="279"/>
        <v>567968.61297158431</v>
      </c>
      <c r="AO414" s="31">
        <f t="shared" si="280"/>
        <v>1.5707945661342242</v>
      </c>
      <c r="AP414" s="31" t="str">
        <f t="shared" si="261"/>
        <v>1+665.635493573164i</v>
      </c>
      <c r="AQ414" s="31">
        <f t="shared" si="281"/>
        <v>665.63624473460709</v>
      </c>
      <c r="AR414" s="31">
        <f t="shared" si="282"/>
        <v>1.5692940041914136</v>
      </c>
      <c r="AS414" s="58" t="str">
        <f t="shared" si="283"/>
        <v>-0.126266577867182+1.04357521730431i</v>
      </c>
      <c r="AT414" s="49">
        <f t="shared" si="284"/>
        <v>0.43359323573723935</v>
      </c>
      <c r="AU414" s="61">
        <f t="shared" si="285"/>
        <v>96.89892321139591</v>
      </c>
      <c r="AV414" s="58" t="str">
        <f t="shared" si="262"/>
        <v>-0.325618061751722-0.063523610792286i</v>
      </c>
      <c r="AW414" s="64">
        <f t="shared" si="286"/>
        <v>-9.5836113465501001</v>
      </c>
      <c r="AX414" s="61">
        <f t="shared" si="287"/>
        <v>-168.96102962909686</v>
      </c>
    </row>
    <row r="415" spans="14:50" x14ac:dyDescent="0.4">
      <c r="N415" s="10">
        <v>97</v>
      </c>
      <c r="O415" s="50">
        <f t="shared" si="252"/>
        <v>93325.430079699145</v>
      </c>
      <c r="P415" s="48" t="str">
        <f t="shared" si="253"/>
        <v>5120.19230769231</v>
      </c>
      <c r="Q415" s="17" t="str">
        <f t="shared" si="254"/>
        <v>1+2740.20338400586i</v>
      </c>
      <c r="R415" s="17">
        <f t="shared" si="263"/>
        <v>2740.2035664740615</v>
      </c>
      <c r="S415" s="17">
        <f t="shared" si="264"/>
        <v>1.5704313903958527</v>
      </c>
      <c r="T415" s="17" t="str">
        <f t="shared" si="255"/>
        <v>1+0.0058579459009192i</v>
      </c>
      <c r="U415" s="17">
        <f t="shared" si="265"/>
        <v>1.0000171576178971</v>
      </c>
      <c r="V415" s="17">
        <f t="shared" si="266"/>
        <v>5.8578788961256628E-3</v>
      </c>
      <c r="W415" s="31" t="str">
        <f t="shared" si="256"/>
        <v>1-9.49937173122031i</v>
      </c>
      <c r="X415" s="17">
        <f t="shared" si="267"/>
        <v>9.5518617707705307</v>
      </c>
      <c r="Y415" s="17">
        <f t="shared" si="268"/>
        <v>-1.465912502476973</v>
      </c>
      <c r="Z415" s="31" t="str">
        <f t="shared" si="257"/>
        <v>-2.48385435982434+57.8366554846444i</v>
      </c>
      <c r="AA415" s="17">
        <f t="shared" si="269"/>
        <v>57.88996674839489</v>
      </c>
      <c r="AB415" s="17">
        <f t="shared" si="270"/>
        <v>1.6137159767183025</v>
      </c>
      <c r="AC415" s="66" t="str">
        <f t="shared" si="271"/>
        <v>-0.021006831495475+0.307599215751453i</v>
      </c>
      <c r="AD415" s="64">
        <f t="shared" si="272"/>
        <v>-10.220087483651339</v>
      </c>
      <c r="AE415" s="61">
        <f t="shared" si="273"/>
        <v>93.906826726921153</v>
      </c>
      <c r="AF415" s="31" t="str">
        <f t="shared" si="258"/>
        <v>-10.0808080808081</v>
      </c>
      <c r="AG415" s="31" t="str">
        <f t="shared" si="274"/>
        <v>586380.971062982i</v>
      </c>
      <c r="AH415" s="31">
        <f t="shared" si="275"/>
        <v>586380.97106298199</v>
      </c>
      <c r="AI415" s="31">
        <f t="shared" si="276"/>
        <v>1.5707963267948966</v>
      </c>
      <c r="AJ415" s="31" t="str">
        <f t="shared" si="259"/>
        <v>-6576.04518582895+787.355425942196i</v>
      </c>
      <c r="AK415" s="31">
        <f t="shared" si="277"/>
        <v>6623.0128229397778</v>
      </c>
      <c r="AL415" s="31">
        <f t="shared" si="278"/>
        <v>3.022429073337038</v>
      </c>
      <c r="AM415" s="31" t="str">
        <f t="shared" si="260"/>
        <v>1+581198.301488341i</v>
      </c>
      <c r="AN415" s="31">
        <f t="shared" si="279"/>
        <v>581198.30148920126</v>
      </c>
      <c r="AO415" s="31">
        <f t="shared" si="280"/>
        <v>1.5707946062117542</v>
      </c>
      <c r="AP415" s="31" t="str">
        <f t="shared" si="261"/>
        <v>1+681.14013598676i</v>
      </c>
      <c r="AQ415" s="31">
        <f t="shared" si="281"/>
        <v>681.14087004969963</v>
      </c>
      <c r="AR415" s="31">
        <f t="shared" si="282"/>
        <v>1.5693282011791789</v>
      </c>
      <c r="AS415" s="58" t="str">
        <f t="shared" si="283"/>
        <v>-0.120662247209804+1.02048424781879i</v>
      </c>
      <c r="AT415" s="49">
        <f t="shared" si="284"/>
        <v>0.23642317246440284</v>
      </c>
      <c r="AU415" s="61">
        <f t="shared" si="285"/>
        <v>96.743354236423329</v>
      </c>
      <c r="AV415" s="58" t="str">
        <f t="shared" si="262"/>
        <v>-0.31136542282077-0.0585527532502595i</v>
      </c>
      <c r="AW415" s="64">
        <f t="shared" si="286"/>
        <v>-9.9836643111869243</v>
      </c>
      <c r="AX415" s="61">
        <f t="shared" si="287"/>
        <v>-169.3498190366555</v>
      </c>
    </row>
    <row r="416" spans="14:50" x14ac:dyDescent="0.4">
      <c r="N416" s="10">
        <v>98</v>
      </c>
      <c r="O416" s="50">
        <f t="shared" si="252"/>
        <v>95499.258602143804</v>
      </c>
      <c r="P416" s="48" t="str">
        <f t="shared" si="253"/>
        <v>5120.19230769231</v>
      </c>
      <c r="Q416" s="17" t="str">
        <f t="shared" si="254"/>
        <v>1+2804.03092027721i</v>
      </c>
      <c r="R416" s="17">
        <f t="shared" si="263"/>
        <v>2804.0310985919286</v>
      </c>
      <c r="S416" s="17">
        <f t="shared" si="264"/>
        <v>1.5704396973617567</v>
      </c>
      <c r="T416" s="17" t="str">
        <f t="shared" si="255"/>
        <v>1+0.00599439498957039i</v>
      </c>
      <c r="U416" s="17">
        <f t="shared" si="265"/>
        <v>1.0000179662242528</v>
      </c>
      <c r="V416" s="17">
        <f t="shared" si="266"/>
        <v>5.9943231927102368E-3</v>
      </c>
      <c r="W416" s="31" t="str">
        <f t="shared" si="256"/>
        <v>1-9.72064052362765i</v>
      </c>
      <c r="X416" s="17">
        <f t="shared" si="267"/>
        <v>9.7719420889397419</v>
      </c>
      <c r="Y416" s="17">
        <f t="shared" si="268"/>
        <v>-1.4682830663355135</v>
      </c>
      <c r="Z416" s="31" t="str">
        <f t="shared" si="257"/>
        <v>-2.64804335742366+59.183844254393i</v>
      </c>
      <c r="AA416" s="17">
        <f t="shared" si="269"/>
        <v>59.243054903938258</v>
      </c>
      <c r="AB416" s="17">
        <f t="shared" si="270"/>
        <v>1.6155091781638491</v>
      </c>
      <c r="AC416" s="66" t="str">
        <f t="shared" si="271"/>
        <v>-0.0193091272700793+0.300580240874213i</v>
      </c>
      <c r="AD416" s="64">
        <f t="shared" si="272"/>
        <v>-10.422906221642048</v>
      </c>
      <c r="AE416" s="61">
        <f t="shared" si="273"/>
        <v>93.67560227636001</v>
      </c>
      <c r="AF416" s="31" t="str">
        <f t="shared" si="258"/>
        <v>-10.0808080808081</v>
      </c>
      <c r="AG416" s="31" t="str">
        <f t="shared" si="274"/>
        <v>600039.538495534i</v>
      </c>
      <c r="AH416" s="31">
        <f t="shared" si="275"/>
        <v>600039.53849553398</v>
      </c>
      <c r="AI416" s="31">
        <f t="shared" si="276"/>
        <v>1.5707963267948966</v>
      </c>
      <c r="AJ416" s="31" t="str">
        <f t="shared" si="259"/>
        <v>-6886.01177590223+805.695289800878i</v>
      </c>
      <c r="AK416" s="31">
        <f t="shared" si="277"/>
        <v>6932.9865914965894</v>
      </c>
      <c r="AL416" s="31">
        <f t="shared" si="278"/>
        <v>3.0251176103766584</v>
      </c>
      <c r="AM416" s="31" t="str">
        <f t="shared" si="260"/>
        <v>1+594736.149038497i</v>
      </c>
      <c r="AN416" s="31">
        <f t="shared" si="279"/>
        <v>594736.14903933764</v>
      </c>
      <c r="AO416" s="31">
        <f t="shared" si="280"/>
        <v>1.5707946453770081</v>
      </c>
      <c r="AP416" s="31" t="str">
        <f t="shared" si="261"/>
        <v>1+697.005927916413i</v>
      </c>
      <c r="AQ416" s="31">
        <f t="shared" si="281"/>
        <v>697.00664527005756</v>
      </c>
      <c r="AR416" s="31">
        <f t="shared" si="282"/>
        <v>1.5693616197517857</v>
      </c>
      <c r="AS416" s="58" t="str">
        <f t="shared" si="283"/>
        <v>-0.115303328314276+0.997875383514848i</v>
      </c>
      <c r="AT416" s="49">
        <f t="shared" si="284"/>
        <v>3.9127463682694728E-2</v>
      </c>
      <c r="AU416" s="61">
        <f t="shared" si="285"/>
        <v>96.591229398159953</v>
      </c>
      <c r="AV416" s="58" t="str">
        <f t="shared" si="262"/>
        <v>-0.297715216498257-0.0539260049782709i</v>
      </c>
      <c r="AW416" s="64">
        <f t="shared" si="286"/>
        <v>-10.383778757959341</v>
      </c>
      <c r="AX416" s="61">
        <f t="shared" si="287"/>
        <v>-169.73316832548005</v>
      </c>
    </row>
    <row r="417" spans="14:50" x14ac:dyDescent="0.4">
      <c r="N417" s="10">
        <v>99</v>
      </c>
      <c r="O417" s="50">
        <f t="shared" si="252"/>
        <v>97723.722095581266</v>
      </c>
      <c r="P417" s="48" t="str">
        <f t="shared" si="253"/>
        <v>5120.19230769231</v>
      </c>
      <c r="Q417" s="17" t="str">
        <f t="shared" si="254"/>
        <v>1+2869.34519085822i</v>
      </c>
      <c r="R417" s="17">
        <f t="shared" si="263"/>
        <v>2869.3453651140007</v>
      </c>
      <c r="S417" s="17">
        <f t="shared" si="264"/>
        <v>1.570447815238079</v>
      </c>
      <c r="T417" s="17" t="str">
        <f t="shared" si="255"/>
        <v>1+0.00613402238579024i</v>
      </c>
      <c r="U417" s="17">
        <f t="shared" si="265"/>
        <v>1.0000188129383514</v>
      </c>
      <c r="V417" s="17">
        <f t="shared" si="266"/>
        <v>6.1339454541466968E-3</v>
      </c>
      <c r="W417" s="31" t="str">
        <f t="shared" si="256"/>
        <v>1-9.94706332830848i</v>
      </c>
      <c r="X417" s="17">
        <f t="shared" si="267"/>
        <v>9.9972030517229875</v>
      </c>
      <c r="Y417" s="17">
        <f t="shared" si="268"/>
        <v>-1.470600787341215</v>
      </c>
      <c r="Z417" s="31" t="str">
        <f t="shared" si="257"/>
        <v>-2.81997034408576+60.5624130817558i</v>
      </c>
      <c r="AA417" s="17">
        <f t="shared" si="269"/>
        <v>60.628030736836145</v>
      </c>
      <c r="AB417" s="17">
        <f t="shared" si="270"/>
        <v>1.6173257637693002</v>
      </c>
      <c r="AC417" s="66" t="str">
        <f t="shared" si="271"/>
        <v>-0.0176880517389554+0.293718018199916i</v>
      </c>
      <c r="AD417" s="64">
        <f t="shared" si="272"/>
        <v>-10.625666612645833</v>
      </c>
      <c r="AE417" s="61">
        <f t="shared" si="273"/>
        <v>93.446258602582432</v>
      </c>
      <c r="AF417" s="31" t="str">
        <f t="shared" si="258"/>
        <v>-10.0808080808081</v>
      </c>
      <c r="AG417" s="31" t="str">
        <f t="shared" si="274"/>
        <v>614016.254833857i</v>
      </c>
      <c r="AH417" s="31">
        <f t="shared" si="275"/>
        <v>614016.25483385695</v>
      </c>
      <c r="AI417" s="31">
        <f t="shared" si="276"/>
        <v>1.5707963267948966</v>
      </c>
      <c r="AJ417" s="31" t="str">
        <f t="shared" si="259"/>
        <v>-7210.58664130994+824.46234396685i</v>
      </c>
      <c r="AK417" s="31">
        <f t="shared" si="277"/>
        <v>7257.5683164856719</v>
      </c>
      <c r="AL417" s="31">
        <f t="shared" si="278"/>
        <v>3.0277465315278151</v>
      </c>
      <c r="AM417" s="31" t="str">
        <f t="shared" si="260"/>
        <v>1+608589.333567136i</v>
      </c>
      <c r="AN417" s="31">
        <f t="shared" si="279"/>
        <v>608589.33356795763</v>
      </c>
      <c r="AO417" s="31">
        <f t="shared" si="280"/>
        <v>1.5707946836507518</v>
      </c>
      <c r="AP417" s="31" t="str">
        <f t="shared" si="261"/>
        <v>1+713.241281615009i</v>
      </c>
      <c r="AQ417" s="31">
        <f t="shared" si="281"/>
        <v>713.24198263970743</v>
      </c>
      <c r="AR417" s="31">
        <f t="shared" si="282"/>
        <v>1.5693942776279046</v>
      </c>
      <c r="AS417" s="58" t="str">
        <f t="shared" si="283"/>
        <v>-0.110179364682344+0.975740469830612i</v>
      </c>
      <c r="AT417" s="49">
        <f t="shared" si="284"/>
        <v>-0.15828838524163608</v>
      </c>
      <c r="AU417" s="61">
        <f t="shared" si="285"/>
        <v>96.442476662919418</v>
      </c>
      <c r="AV417" s="58" t="str">
        <f t="shared" si="262"/>
        <v>-0.284643698773036-0.0496206125551804i</v>
      </c>
      <c r="AW417" s="64">
        <f t="shared" si="286"/>
        <v>-10.783954997887463</v>
      </c>
      <c r="AX417" s="61">
        <f t="shared" si="287"/>
        <v>-170.11126473449812</v>
      </c>
    </row>
    <row r="418" spans="14:50" x14ac:dyDescent="0.4">
      <c r="N418" s="10">
        <v>100</v>
      </c>
      <c r="O418" s="50">
        <f t="shared" si="252"/>
        <v>100000</v>
      </c>
      <c r="P418" s="48" t="str">
        <f t="shared" si="253"/>
        <v>5120.19230769231</v>
      </c>
      <c r="Q418" s="17" t="str">
        <f t="shared" si="254"/>
        <v>1+2936.18082623969i</v>
      </c>
      <c r="R418" s="17">
        <f t="shared" si="263"/>
        <v>2936.1809965289244</v>
      </c>
      <c r="S418" s="17">
        <f t="shared" si="264"/>
        <v>1.5704557483290205</v>
      </c>
      <c r="T418" s="17" t="str">
        <f t="shared" si="255"/>
        <v>1+0.00627690212187242i</v>
      </c>
      <c r="U418" s="17">
        <f t="shared" si="265"/>
        <v>1.0000196995560875</v>
      </c>
      <c r="V418" s="17">
        <f t="shared" si="266"/>
        <v>6.2768196882188832E-3</v>
      </c>
      <c r="W418" s="31" t="str">
        <f t="shared" si="256"/>
        <v>1-10.1787601976309i</v>
      </c>
      <c r="X418" s="17">
        <f t="shared" si="267"/>
        <v>10.227764133029028</v>
      </c>
      <c r="Y418" s="17">
        <f t="shared" si="268"/>
        <v>-1.4728667947226506</v>
      </c>
      <c r="Z418" s="31" t="str">
        <f t="shared" si="257"/>
        <v>-3.00000000000001+61.973092902173i</v>
      </c>
      <c r="AA418" s="17">
        <f t="shared" si="269"/>
        <v>62.045662570895033</v>
      </c>
      <c r="AB418" s="17">
        <f t="shared" si="270"/>
        <v>1.6191666727664584</v>
      </c>
      <c r="AC418" s="66" t="str">
        <f t="shared" si="271"/>
        <v>-0.0161401721237371+0.28700908631367i</v>
      </c>
      <c r="AD418" s="64">
        <f t="shared" si="272"/>
        <v>-10.828374360205981</v>
      </c>
      <c r="AE418" s="61">
        <f t="shared" si="273"/>
        <v>93.218681185259882</v>
      </c>
      <c r="AF418" s="31" t="str">
        <f t="shared" si="258"/>
        <v>-10.0808080808081</v>
      </c>
      <c r="AG418" s="31" t="str">
        <f t="shared" si="274"/>
        <v>628318.530717959i</v>
      </c>
      <c r="AH418" s="31">
        <f t="shared" si="275"/>
        <v>628318.53071795905</v>
      </c>
      <c r="AI418" s="31">
        <f t="shared" si="276"/>
        <v>1.5707963267948966</v>
      </c>
      <c r="AJ418" s="31" t="str">
        <f t="shared" si="259"/>
        <v>-7550.45824885813+843.666538980641i</v>
      </c>
      <c r="AK418" s="31">
        <f t="shared" si="277"/>
        <v>7597.4464787022589</v>
      </c>
      <c r="AL418" s="31">
        <f t="shared" si="278"/>
        <v>3.0303170899362279</v>
      </c>
      <c r="AM418" s="31" t="str">
        <f t="shared" si="260"/>
        <v>1+622765.200216064i</v>
      </c>
      <c r="AN418" s="31">
        <f t="shared" si="279"/>
        <v>622765.20021686691</v>
      </c>
      <c r="AO418" s="31">
        <f t="shared" si="280"/>
        <v>1.5707947210532789</v>
      </c>
      <c r="AP418" s="31" t="str">
        <f t="shared" si="261"/>
        <v>1+729.854805281982i</v>
      </c>
      <c r="AQ418" s="31">
        <f t="shared" si="281"/>
        <v>729.85549034942517</v>
      </c>
      <c r="AR418" s="31">
        <f t="shared" si="282"/>
        <v>1.5694261921228954</v>
      </c>
      <c r="AS418" s="58" t="str">
        <f t="shared" si="283"/>
        <v>-0.105280320101277+0.954071358640095i</v>
      </c>
      <c r="AT418" s="49">
        <f t="shared" si="284"/>
        <v>-0.35581910380990095</v>
      </c>
      <c r="AU418" s="61">
        <f t="shared" si="285"/>
        <v>96.297025224000691</v>
      </c>
      <c r="AV418" s="58" t="str">
        <f t="shared" si="262"/>
        <v>-0.272127906433659-0.0456152844258571i</v>
      </c>
      <c r="AW418" s="64">
        <f t="shared" si="286"/>
        <v>-11.184193464015873</v>
      </c>
      <c r="AX418" s="61">
        <f t="shared" si="287"/>
        <v>-170.48429359073941</v>
      </c>
    </row>
    <row r="419" spans="14:50" x14ac:dyDescent="0.4">
      <c r="N419" s="10">
        <v>1</v>
      </c>
      <c r="O419" s="50">
        <f>10^(5+(N419/100))</f>
        <v>102329.29922807543</v>
      </c>
      <c r="P419" s="48" t="str">
        <f t="shared" si="253"/>
        <v>5120.19230769231</v>
      </c>
      <c r="Q419" s="17" t="str">
        <f t="shared" si="254"/>
        <v>1+3004.57326356019i</v>
      </c>
      <c r="R419" s="17">
        <f t="shared" si="263"/>
        <v>3004.5734299731685</v>
      </c>
      <c r="S419" s="17">
        <f t="shared" si="264"/>
        <v>1.5704635008408072</v>
      </c>
      <c r="T419" s="17" t="str">
        <f t="shared" si="255"/>
        <v>1+0.00642310995454424i</v>
      </c>
      <c r="U419" s="17">
        <f t="shared" si="265"/>
        <v>1.0000206279579877</v>
      </c>
      <c r="V419" s="17">
        <f t="shared" si="266"/>
        <v>6.4230216253914792E-3</v>
      </c>
      <c r="W419" s="31" t="str">
        <f t="shared" si="256"/>
        <v>1-10.415853980342i</v>
      </c>
      <c r="X419" s="17">
        <f t="shared" si="267"/>
        <v>10.46374761449292</v>
      </c>
      <c r="Y419" s="17">
        <f t="shared" si="268"/>
        <v>-1.475082196812078</v>
      </c>
      <c r="Z419" s="31" t="str">
        <f t="shared" si="257"/>
        <v>-3.18851419220361+63.4166316767577i</v>
      </c>
      <c r="AA419" s="17">
        <f t="shared" si="269"/>
        <v>63.49673846725856</v>
      </c>
      <c r="AB419" s="17">
        <f t="shared" si="270"/>
        <v>1.621032855648032</v>
      </c>
      <c r="AC419" s="66" t="str">
        <f t="shared" si="271"/>
        <v>-0.0146622103724725+0.280450053433712i</v>
      </c>
      <c r="AD419" s="64">
        <f t="shared" si="272"/>
        <v>-11.031035065873915</v>
      </c>
      <c r="AE419" s="61">
        <f t="shared" si="273"/>
        <v>92.992756160448138</v>
      </c>
      <c r="AF419" s="31" t="str">
        <f t="shared" si="258"/>
        <v>-10.0808080808081</v>
      </c>
      <c r="AG419" s="31" t="str">
        <f t="shared" si="274"/>
        <v>642953.949403827i</v>
      </c>
      <c r="AH419" s="31">
        <f t="shared" si="275"/>
        <v>642953.94940382696</v>
      </c>
      <c r="AI419" s="31">
        <f t="shared" si="276"/>
        <v>1.5707963267948966</v>
      </c>
      <c r="AJ419" s="31" t="str">
        <f t="shared" si="259"/>
        <v>-7906.3475117938+863.318057160647i</v>
      </c>
      <c r="AK419" s="31">
        <f t="shared" si="277"/>
        <v>7953.342004784382</v>
      </c>
      <c r="AL419" s="31">
        <f t="shared" si="278"/>
        <v>3.0328305169672727</v>
      </c>
      <c r="AM419" s="31" t="str">
        <f t="shared" si="260"/>
        <v>1+637271.265217418i</v>
      </c>
      <c r="AN419" s="31">
        <f t="shared" si="279"/>
        <v>637271.26521820249</v>
      </c>
      <c r="AO419" s="31">
        <f t="shared" si="280"/>
        <v>1.5707947576044206</v>
      </c>
      <c r="AP419" s="31" t="str">
        <f t="shared" si="261"/>
        <v>1+746.855307627486i</v>
      </c>
      <c r="AQ419" s="31">
        <f t="shared" si="281"/>
        <v>746.8559771009044</v>
      </c>
      <c r="AR419" s="31">
        <f t="shared" si="282"/>
        <v>1.5694573801579852</v>
      </c>
      <c r="AS419" s="58" t="str">
        <f t="shared" si="283"/>
        <v>-0.100596563970167+0.93285991911554i</v>
      </c>
      <c r="AT419" s="49">
        <f t="shared" si="284"/>
        <v>-0.55345964692503102</v>
      </c>
      <c r="AU419" s="61">
        <f t="shared" si="285"/>
        <v>96.154805500015911</v>
      </c>
      <c r="AV419" s="58" t="str">
        <f t="shared" si="262"/>
        <v>-0.260145646178443-0.0418901001228009i</v>
      </c>
      <c r="AW419" s="64">
        <f t="shared" si="286"/>
        <v>-11.584494712798946</v>
      </c>
      <c r="AX419" s="61">
        <f t="shared" si="287"/>
        <v>-170.85243833953595</v>
      </c>
    </row>
    <row r="420" spans="14:50" x14ac:dyDescent="0.4">
      <c r="N420" s="10">
        <v>2</v>
      </c>
      <c r="O420" s="50">
        <f t="shared" ref="O420:O483" si="288">10^(5+(N420/100))</f>
        <v>104712.85480508996</v>
      </c>
      <c r="P420" s="48" t="str">
        <f t="shared" si="253"/>
        <v>5120.19230769231</v>
      </c>
      <c r="Q420" s="17" t="str">
        <f t="shared" si="254"/>
        <v>1+3074.55876539526i</v>
      </c>
      <c r="R420" s="17">
        <f t="shared" si="263"/>
        <v>3074.5589280202171</v>
      </c>
      <c r="S420" s="17">
        <f t="shared" si="264"/>
        <v>1.5704710768839198</v>
      </c>
      <c r="T420" s="17" t="str">
        <f t="shared" si="255"/>
        <v>1+0.00657272340513387i</v>
      </c>
      <c r="U420" s="17">
        <f t="shared" si="265"/>
        <v>1.0000216001131979</v>
      </c>
      <c r="V420" s="17">
        <f t="shared" si="266"/>
        <v>6.5726287588518829E-3</v>
      </c>
      <c r="W420" s="31" t="str">
        <f t="shared" si="256"/>
        <v>1-10.6584703867036i</v>
      </c>
      <c r="X420" s="17">
        <f t="shared" si="267"/>
        <v>10.705278650471344</v>
      </c>
      <c r="Y420" s="17">
        <f t="shared" si="268"/>
        <v>-1.4772480812115099</v>
      </c>
      <c r="Z420" s="31" t="str">
        <f t="shared" si="257"/>
        <v>-3.38591278457276+64.8937947888759i</v>
      </c>
      <c r="AA420" s="17">
        <f t="shared" si="269"/>
        <v>64.982066814510219</v>
      </c>
      <c r="AB420" s="17">
        <f t="shared" si="270"/>
        <v>1.6229252745520788</v>
      </c>
      <c r="AC420" s="66" t="str">
        <f t="shared" si="271"/>
        <v>-0.0132510362506168+0.274037596400435i</v>
      </c>
      <c r="AD420" s="64">
        <f t="shared" si="272"/>
        <v>-11.233654239921549</v>
      </c>
      <c r="AE420" s="61">
        <f t="shared" si="273"/>
        <v>92.768370291211383</v>
      </c>
      <c r="AF420" s="31" t="str">
        <f t="shared" si="258"/>
        <v>-10.0808080808081</v>
      </c>
      <c r="AG420" s="31" t="str">
        <f t="shared" si="274"/>
        <v>657930.270784171i</v>
      </c>
      <c r="AH420" s="31">
        <f t="shared" si="275"/>
        <v>657930.27078417095</v>
      </c>
      <c r="AI420" s="31">
        <f t="shared" si="276"/>
        <v>1.5707963267948966</v>
      </c>
      <c r="AJ420" s="31" t="str">
        <f t="shared" si="259"/>
        <v>-8279.00931895855+883.427318001926i</v>
      </c>
      <c r="AK420" s="31">
        <f t="shared" si="277"/>
        <v>8326.0097963907392</v>
      </c>
      <c r="AL420" s="31">
        <f t="shared" si="278"/>
        <v>3.0352880222716911</v>
      </c>
      <c r="AM420" s="31" t="str">
        <f t="shared" si="260"/>
        <v>1+652115.219878874i</v>
      </c>
      <c r="AN420" s="31">
        <f t="shared" si="279"/>
        <v>652115.21987964073</v>
      </c>
      <c r="AO420" s="31">
        <f t="shared" si="280"/>
        <v>1.5707947933235566</v>
      </c>
      <c r="AP420" s="31" t="str">
        <f t="shared" si="261"/>
        <v>1+764.251802542893i</v>
      </c>
      <c r="AQ420" s="31">
        <f t="shared" si="281"/>
        <v>764.25245677724911</v>
      </c>
      <c r="AR420" s="31">
        <f t="shared" si="282"/>
        <v>1.5694878582692404</v>
      </c>
      <c r="AS420" s="58" t="str">
        <f t="shared" si="283"/>
        <v>-0.0961188569367866+0.912098047707051i</v>
      </c>
      <c r="AT420" s="49">
        <f t="shared" si="284"/>
        <v>-0.75120518575812034</v>
      </c>
      <c r="AU420" s="61">
        <f t="shared" si="285"/>
        <v>96.015749131639879</v>
      </c>
      <c r="AV420" s="58" t="str">
        <f t="shared" si="262"/>
        <v>-0.248675482217532-0.0384264248179972i</v>
      </c>
      <c r="AW420" s="64">
        <f t="shared" si="286"/>
        <v>-11.984859425679682</v>
      </c>
      <c r="AX420" s="61">
        <f t="shared" si="287"/>
        <v>-171.21588057714874</v>
      </c>
    </row>
    <row r="421" spans="14:50" x14ac:dyDescent="0.4">
      <c r="N421" s="10">
        <v>3</v>
      </c>
      <c r="O421" s="50">
        <f t="shared" si="288"/>
        <v>107151.93052376082</v>
      </c>
      <c r="P421" s="48" t="str">
        <f t="shared" si="253"/>
        <v>5120.19230769231</v>
      </c>
      <c r="Q421" s="17" t="str">
        <f t="shared" si="254"/>
        <v>1+3146.17443898434i</v>
      </c>
      <c r="R421" s="17">
        <f t="shared" si="263"/>
        <v>3146.1745979075017</v>
      </c>
      <c r="S421" s="17">
        <f t="shared" si="264"/>
        <v>1.5704784804752732</v>
      </c>
      <c r="T421" s="17" t="str">
        <f t="shared" si="255"/>
        <v>1+0.0067258218006732i</v>
      </c>
      <c r="U421" s="17">
        <f t="shared" si="265"/>
        <v>1.0000226180836582</v>
      </c>
      <c r="V421" s="17">
        <f t="shared" si="266"/>
        <v>6.7257203854787654E-3</v>
      </c>
      <c r="W421" s="31" t="str">
        <f t="shared" si="256"/>
        <v>1-10.9067380551457i</v>
      </c>
      <c r="X421" s="17">
        <f t="shared" si="267"/>
        <v>10.952485334551396</v>
      </c>
      <c r="Y421" s="17">
        <f t="shared" si="268"/>
        <v>-1.479365514974468</v>
      </c>
      <c r="Z421" s="31" t="str">
        <f t="shared" si="257"/>
        <v>-3.59261448598756+66.4053654499621i</v>
      </c>
      <c r="AA421" s="17">
        <f t="shared" si="269"/>
        <v>66.502476941749677</v>
      </c>
      <c r="AB421" s="17">
        <f t="shared" si="270"/>
        <v>1.6248449036445656</v>
      </c>
      <c r="AC421" s="66" t="str">
        <f t="shared" si="271"/>
        <v>-0.0119036607414357+0.267768459650141i</v>
      </c>
      <c r="AD421" s="64">
        <f t="shared" si="272"/>
        <v>-11.436237311928622</v>
      </c>
      <c r="AE421" s="61">
        <f t="shared" si="273"/>
        <v>92.545410937512088</v>
      </c>
      <c r="AF421" s="31" t="str">
        <f t="shared" si="258"/>
        <v>-10.0808080808081</v>
      </c>
      <c r="AG421" s="31" t="str">
        <f t="shared" si="274"/>
        <v>673255.435502822i</v>
      </c>
      <c r="AH421" s="31">
        <f t="shared" si="275"/>
        <v>673255.43550282205</v>
      </c>
      <c r="AI421" s="31">
        <f t="shared" si="276"/>
        <v>1.5707963267948966</v>
      </c>
      <c r="AJ421" s="31" t="str">
        <f t="shared" si="259"/>
        <v>-8669.234136009+904.004983700754i</v>
      </c>
      <c r="AK421" s="31">
        <f t="shared" si="277"/>
        <v>8716.2403314444873</v>
      </c>
      <c r="AL421" s="31">
        <f t="shared" si="278"/>
        <v>3.0376907938763869</v>
      </c>
      <c r="AM421" s="31" t="str">
        <f t="shared" si="260"/>
        <v>1+667304.934661676i</v>
      </c>
      <c r="AN421" s="31">
        <f t="shared" si="279"/>
        <v>667304.93466242519</v>
      </c>
      <c r="AO421" s="31">
        <f t="shared" si="280"/>
        <v>1.570794828229626</v>
      </c>
      <c r="AP421" s="31" t="str">
        <f t="shared" si="261"/>
        <v>1+782.053513880079i</v>
      </c>
      <c r="AQ421" s="31">
        <f t="shared" si="281"/>
        <v>782.05415322225542</v>
      </c>
      <c r="AR421" s="31">
        <f t="shared" si="282"/>
        <v>1.5695176426163326</v>
      </c>
      <c r="AS421" s="58" t="str">
        <f t="shared" si="283"/>
        <v>-0.091838336858903+0.891777677291754i</v>
      </c>
      <c r="AT421" s="49">
        <f t="shared" si="284"/>
        <v>-0.94905109894073747</v>
      </c>
      <c r="AU421" s="61">
        <f t="shared" si="285"/>
        <v>95.879788976911328</v>
      </c>
      <c r="AV421" s="58" t="str">
        <f t="shared" si="262"/>
        <v>-0.237696722593767-0.0352068289248058i</v>
      </c>
      <c r="AW421" s="64">
        <f t="shared" si="286"/>
        <v>-12.385288410869375</v>
      </c>
      <c r="AX421" s="61">
        <f t="shared" si="287"/>
        <v>-171.57480008557656</v>
      </c>
    </row>
    <row r="422" spans="14:50" x14ac:dyDescent="0.4">
      <c r="N422" s="10">
        <v>4</v>
      </c>
      <c r="O422" s="50">
        <f t="shared" si="288"/>
        <v>109647.81961431868</v>
      </c>
      <c r="P422" s="48" t="str">
        <f t="shared" si="253"/>
        <v>5120.19230769231</v>
      </c>
      <c r="Q422" s="17" t="str">
        <f t="shared" si="254"/>
        <v>1+3219.45825590551i</v>
      </c>
      <c r="R422" s="17">
        <f t="shared" si="263"/>
        <v>3219.4584112111384</v>
      </c>
      <c r="S422" s="17">
        <f t="shared" si="264"/>
        <v>1.570485715540346</v>
      </c>
      <c r="T422" s="17" t="str">
        <f t="shared" si="255"/>
        <v>1+0.00688248631595801i</v>
      </c>
      <c r="U422" s="17">
        <f t="shared" si="265"/>
        <v>1.0000236840284782</v>
      </c>
      <c r="V422" s="17">
        <f t="shared" si="266"/>
        <v>6.8823776477583273E-3</v>
      </c>
      <c r="W422" s="31" t="str">
        <f t="shared" si="256"/>
        <v>1-11.1607886204724i</v>
      </c>
      <c r="X422" s="17">
        <f t="shared" si="267"/>
        <v>11.205498767608082</v>
      </c>
      <c r="Y422" s="17">
        <f t="shared" si="268"/>
        <v>-1.481435544801883</v>
      </c>
      <c r="Z422" s="31" t="str">
        <f t="shared" si="257"/>
        <v>-3.80905773846968+67.9521451147887i</v>
      </c>
      <c r="AA422" s="17">
        <f t="shared" si="269"/>
        <v>68.058819755828111</v>
      </c>
      <c r="AB422" s="17">
        <f t="shared" si="270"/>
        <v>1.6267927294996649</v>
      </c>
      <c r="AC422" s="66" t="str">
        <f t="shared" si="271"/>
        <v>-0.0106172297421627+0.261639454176499i</v>
      </c>
      <c r="AD422" s="64">
        <f t="shared" si="272"/>
        <v>-11.638789641257627</v>
      </c>
      <c r="AE422" s="61">
        <f t="shared" si="273"/>
        <v>92.323766025476885</v>
      </c>
      <c r="AF422" s="31" t="str">
        <f t="shared" si="258"/>
        <v>-10.0808080808081</v>
      </c>
      <c r="AG422" s="31" t="str">
        <f t="shared" si="274"/>
        <v>688937.569164965i</v>
      </c>
      <c r="AH422" s="31">
        <f t="shared" si="275"/>
        <v>688937.56916496495</v>
      </c>
      <c r="AI422" s="31">
        <f t="shared" si="276"/>
        <v>1.5707963267948966</v>
      </c>
      <c r="AJ422" s="31" t="str">
        <f t="shared" si="259"/>
        <v>-9077.84968210044+925.061964807858i</v>
      </c>
      <c r="AK422" s="31">
        <f t="shared" si="277"/>
        <v>9124.8613408393885</v>
      </c>
      <c r="AL422" s="31">
        <f t="shared" si="278"/>
        <v>3.0400399982981741</v>
      </c>
      <c r="AM422" s="31" t="str">
        <f t="shared" si="260"/>
        <v>1+682848.46335366i</v>
      </c>
      <c r="AN422" s="31">
        <f t="shared" si="279"/>
        <v>682848.46335439233</v>
      </c>
      <c r="AO422" s="31">
        <f t="shared" si="280"/>
        <v>1.5707948623411361</v>
      </c>
      <c r="AP422" s="31" t="str">
        <f t="shared" si="261"/>
        <v>1+800.269880342024i</v>
      </c>
      <c r="AQ422" s="31">
        <f t="shared" si="281"/>
        <v>800.2705051310071</v>
      </c>
      <c r="AR422" s="31">
        <f t="shared" si="282"/>
        <v>1.569546748991105</v>
      </c>
      <c r="AS422" s="58" t="str">
        <f t="shared" si="283"/>
        <v>-0.0877465051012133+0.871890785542495i</v>
      </c>
      <c r="AT422" s="49">
        <f t="shared" si="284"/>
        <v>-1.1469929640753251</v>
      </c>
      <c r="AU422" s="61">
        <f t="shared" si="285"/>
        <v>95.746859105206411</v>
      </c>
      <c r="AV422" s="58" t="str">
        <f t="shared" si="262"/>
        <v>-0.227189404427126-0.0322150124807562i</v>
      </c>
      <c r="AW422" s="64">
        <f t="shared" si="286"/>
        <v>-12.785782605332949</v>
      </c>
      <c r="AX422" s="61">
        <f t="shared" si="287"/>
        <v>-171.92937486931669</v>
      </c>
    </row>
    <row r="423" spans="14:50" x14ac:dyDescent="0.4">
      <c r="N423" s="10">
        <v>5</v>
      </c>
      <c r="O423" s="50">
        <f t="shared" si="288"/>
        <v>112201.84543019651</v>
      </c>
      <c r="P423" s="48" t="str">
        <f t="shared" si="253"/>
        <v>5120.19230769231</v>
      </c>
      <c r="Q423" s="17" t="str">
        <f t="shared" si="254"/>
        <v>1+3294.44907220853i</v>
      </c>
      <c r="R423" s="17">
        <f t="shared" si="263"/>
        <v>3294.4492239789711</v>
      </c>
      <c r="S423" s="17">
        <f t="shared" si="264"/>
        <v>1.5704927859152626</v>
      </c>
      <c r="T423" s="17" t="str">
        <f t="shared" si="255"/>
        <v>1+0.00704280001658801i</v>
      </c>
      <c r="U423" s="17">
        <f t="shared" si="265"/>
        <v>1.0000248002085117</v>
      </c>
      <c r="V423" s="17">
        <f t="shared" si="266"/>
        <v>7.042683576670144E-3</v>
      </c>
      <c r="W423" s="31" t="str">
        <f t="shared" si="256"/>
        <v>1-11.4207567836562i</v>
      </c>
      <c r="X423" s="17">
        <f t="shared" si="267"/>
        <v>11.464453127446992</v>
      </c>
      <c r="Y423" s="17">
        <f t="shared" si="268"/>
        <v>-1.4834591972507125</v>
      </c>
      <c r="Z423" s="31" t="str">
        <f t="shared" si="257"/>
        <v>-4.0357016471767+69.5349539064082i</v>
      </c>
      <c r="AA423" s="17">
        <f t="shared" si="269"/>
        <v>69.651968403996577</v>
      </c>
      <c r="AB423" s="17">
        <f t="shared" si="270"/>
        <v>1.6287697514773898</v>
      </c>
      <c r="AC423" s="66" t="str">
        <f t="shared" si="271"/>
        <v>-0.0093890180428447+0.255647456482354i</v>
      </c>
      <c r="AD423" s="64">
        <f t="shared" si="272"/>
        <v>-11.84131652743222</v>
      </c>
      <c r="AE423" s="61">
        <f t="shared" si="273"/>
        <v>92.103324016144668</v>
      </c>
      <c r="AF423" s="31" t="str">
        <f t="shared" si="258"/>
        <v>-10.0808080808081</v>
      </c>
      <c r="AG423" s="31" t="str">
        <f t="shared" si="274"/>
        <v>704984.986645446i</v>
      </c>
      <c r="AH423" s="31">
        <f t="shared" si="275"/>
        <v>704984.98664544604</v>
      </c>
      <c r="AI423" s="31">
        <f t="shared" si="276"/>
        <v>1.5707963267948966</v>
      </c>
      <c r="AJ423" s="31" t="str">
        <f t="shared" si="259"/>
        <v>-9505.72268559021+946.609426013347i</v>
      </c>
      <c r="AK423" s="31">
        <f t="shared" si="277"/>
        <v>9552.7395641649146</v>
      </c>
      <c r="AL423" s="31">
        <f t="shared" si="278"/>
        <v>3.0423367806784976</v>
      </c>
      <c r="AM423" s="31" t="str">
        <f t="shared" si="260"/>
        <v>1+698754.047339481i</v>
      </c>
      <c r="AN423" s="31">
        <f t="shared" si="279"/>
        <v>698754.04734019656</v>
      </c>
      <c r="AO423" s="31">
        <f t="shared" si="280"/>
        <v>1.5707948956761735</v>
      </c>
      <c r="AP423" s="31" t="str">
        <f t="shared" si="261"/>
        <v>1+818.910560487351i</v>
      </c>
      <c r="AQ423" s="31">
        <f t="shared" si="281"/>
        <v>818.91117105441128</v>
      </c>
      <c r="AR423" s="31">
        <f t="shared" si="282"/>
        <v>1.5695751928259456</v>
      </c>
      <c r="AS423" s="58" t="str">
        <f t="shared" si="283"/>
        <v>-0.0838352131766411+0.852429402563803i</v>
      </c>
      <c r="AT423" s="49">
        <f t="shared" si="284"/>
        <v>-1.3450265495556319</v>
      </c>
      <c r="AU423" s="61">
        <f t="shared" si="285"/>
        <v>95.61689479000033</v>
      </c>
      <c r="AV423" s="58" t="str">
        <f t="shared" si="262"/>
        <v>-0.217134278267068-0.0294357340531871i</v>
      </c>
      <c r="AW423" s="64">
        <f t="shared" si="286"/>
        <v>-13.186343076987834</v>
      </c>
      <c r="AX423" s="61">
        <f t="shared" si="287"/>
        <v>-172.279781193855</v>
      </c>
    </row>
    <row r="424" spans="14:50" x14ac:dyDescent="0.4">
      <c r="N424" s="10">
        <v>6</v>
      </c>
      <c r="O424" s="50">
        <f t="shared" si="288"/>
        <v>114815.36214968823</v>
      </c>
      <c r="P424" s="48" t="str">
        <f t="shared" si="253"/>
        <v>5120.19230769231</v>
      </c>
      <c r="Q424" s="17" t="str">
        <f t="shared" si="254"/>
        <v>1+3371.18664901681i</v>
      </c>
      <c r="R424" s="17">
        <f t="shared" si="263"/>
        <v>3371.1867973325343</v>
      </c>
      <c r="S424" s="17">
        <f t="shared" si="264"/>
        <v>1.5704996953488266</v>
      </c>
      <c r="T424" s="17" t="str">
        <f t="shared" si="255"/>
        <v>1+0.00720684790300927i</v>
      </c>
      <c r="U424" s="17">
        <f t="shared" si="265"/>
        <v>1.0000259689911544</v>
      </c>
      <c r="V424" s="17">
        <f t="shared" si="266"/>
        <v>7.2067231355643652E-3</v>
      </c>
      <c r="W424" s="31" t="str">
        <f t="shared" si="256"/>
        <v>1-11.6867803832583i</v>
      </c>
      <c r="X424" s="17">
        <f t="shared" si="267"/>
        <v>11.729485740070237</v>
      </c>
      <c r="Y424" s="17">
        <f t="shared" si="268"/>
        <v>-1.4854374789539477</v>
      </c>
      <c r="Z424" s="31" t="str">
        <f t="shared" si="257"/>
        <v>-4.27302695422563+71.1546310509925i</v>
      </c>
      <c r="AA424" s="17">
        <f t="shared" si="269"/>
        <v>71.282818963298624</v>
      </c>
      <c r="AB424" s="17">
        <f t="shared" si="270"/>
        <v>1.6307769820981148</v>
      </c>
      <c r="AC424" s="66" t="str">
        <f t="shared" si="271"/>
        <v>-0.00821642357538474+0.249789407524454i</v>
      </c>
      <c r="AD424" s="64">
        <f t="shared" si="272"/>
        <v>-12.043823220430754</v>
      </c>
      <c r="AE424" s="61">
        <f t="shared" si="273"/>
        <v>91.883973873800173</v>
      </c>
      <c r="AF424" s="31" t="str">
        <f t="shared" si="258"/>
        <v>-10.0808080808081</v>
      </c>
      <c r="AG424" s="31" t="str">
        <f t="shared" si="274"/>
        <v>721406.196497424i</v>
      </c>
      <c r="AH424" s="31">
        <f t="shared" si="275"/>
        <v>721406.19649742404</v>
      </c>
      <c r="AI424" s="31">
        <f t="shared" si="276"/>
        <v>1.5707963267948966</v>
      </c>
      <c r="AJ424" s="31" t="str">
        <f t="shared" si="259"/>
        <v>-9953.76072248457+968.658792066363i</v>
      </c>
      <c r="AK424" s="31">
        <f t="shared" si="277"/>
        <v>10000.78258817399</v>
      </c>
      <c r="AL424" s="31">
        <f t="shared" si="278"/>
        <v>3.044582264937246</v>
      </c>
      <c r="AM424" s="31" t="str">
        <f t="shared" si="260"/>
        <v>1+715030.119970304i</v>
      </c>
      <c r="AN424" s="31">
        <f t="shared" si="279"/>
        <v>715030.11997100315</v>
      </c>
      <c r="AO424" s="31">
        <f t="shared" si="280"/>
        <v>1.5707949282524127</v>
      </c>
      <c r="AP424" s="31" t="str">
        <f t="shared" si="261"/>
        <v>1+837.985437851408i</v>
      </c>
      <c r="AQ424" s="31">
        <f t="shared" si="281"/>
        <v>837.98603452027533</v>
      </c>
      <c r="AR424" s="31">
        <f t="shared" si="282"/>
        <v>1.5696029892019676</v>
      </c>
      <c r="AS424" s="58" t="str">
        <f t="shared" si="283"/>
        <v>-0.0800966497384892+0.833385617840556i</v>
      </c>
      <c r="AT424" s="49">
        <f t="shared" si="284"/>
        <v>-1.543147806689328</v>
      </c>
      <c r="AU424" s="61">
        <f t="shared" si="285"/>
        <v>95.489832500523818</v>
      </c>
      <c r="AV424" s="58" t="str">
        <f t="shared" si="262"/>
        <v>-0.207512791718573-0.0268547439206827i</v>
      </c>
      <c r="AW424" s="64">
        <f t="shared" si="286"/>
        <v>-13.586971027120073</v>
      </c>
      <c r="AX424" s="61">
        <f t="shared" si="287"/>
        <v>-172.626193625676</v>
      </c>
    </row>
    <row r="425" spans="14:50" x14ac:dyDescent="0.4">
      <c r="N425" s="10">
        <v>7</v>
      </c>
      <c r="O425" s="50">
        <f t="shared" si="288"/>
        <v>117489.75549395311</v>
      </c>
      <c r="P425" s="48" t="str">
        <f t="shared" si="253"/>
        <v>5120.19230769231</v>
      </c>
      <c r="Q425" s="17" t="str">
        <f t="shared" si="254"/>
        <v>1+3449.71167360935i</v>
      </c>
      <c r="R425" s="17">
        <f t="shared" si="263"/>
        <v>3449.7118185489962</v>
      </c>
      <c r="S425" s="17">
        <f t="shared" si="264"/>
        <v>1.5705064475045083</v>
      </c>
      <c r="T425" s="17" t="str">
        <f t="shared" si="255"/>
        <v>1+0.00737471695558265i</v>
      </c>
      <c r="U425" s="17">
        <f t="shared" si="265"/>
        <v>1.0000271928553619</v>
      </c>
      <c r="V425" s="17">
        <f t="shared" si="266"/>
        <v>7.3745832650531085E-3</v>
      </c>
      <c r="W425" s="31" t="str">
        <f t="shared" si="256"/>
        <v>1-11.9590004685124i</v>
      </c>
      <c r="X425" s="17">
        <f t="shared" si="267"/>
        <v>12.000737152603577</v>
      </c>
      <c r="Y425" s="17">
        <f t="shared" si="268"/>
        <v>-1.4873713768507602</v>
      </c>
      <c r="Z425" s="31" t="str">
        <f t="shared" si="257"/>
        <v>-4.52153705841156+72.8120353228033i</v>
      </c>
      <c r="AA425" s="17">
        <f t="shared" si="269"/>
        <v>72.952291158124311</v>
      </c>
      <c r="AB425" s="17">
        <f t="shared" si="270"/>
        <v>1.6328154474134977</v>
      </c>
      <c r="AC425" s="66" t="str">
        <f t="shared" si="271"/>
        <v>-0.00709696192083147+0.24406231165331i</v>
      </c>
      <c r="AD425" s="64">
        <f t="shared" si="272"/>
        <v>-12.246314930911566</v>
      </c>
      <c r="AE425" s="61">
        <f t="shared" si="273"/>
        <v>91.665605033993387</v>
      </c>
      <c r="AF425" s="31" t="str">
        <f t="shared" si="258"/>
        <v>-10.0808080808081</v>
      </c>
      <c r="AG425" s="31" t="str">
        <f t="shared" si="274"/>
        <v>738209.905463728i</v>
      </c>
      <c r="AH425" s="31">
        <f t="shared" si="275"/>
        <v>738209.90546372801</v>
      </c>
      <c r="AI425" s="31">
        <f t="shared" si="276"/>
        <v>1.5707963267948966</v>
      </c>
      <c r="AJ425" s="31" t="str">
        <f t="shared" si="259"/>
        <v>-10422.9141415294+991.221753832651i</v>
      </c>
      <c r="AK425" s="31">
        <f t="shared" si="277"/>
        <v>10469.940771893824</v>
      </c>
      <c r="AL425" s="31">
        <f t="shared" si="278"/>
        <v>3.0467775539439104</v>
      </c>
      <c r="AM425" s="31" t="str">
        <f t="shared" si="260"/>
        <v>1+731685.31103528i</v>
      </c>
      <c r="AN425" s="31">
        <f t="shared" si="279"/>
        <v>731685.31103596336</v>
      </c>
      <c r="AO425" s="31">
        <f t="shared" si="280"/>
        <v>1.5707949600871263</v>
      </c>
      <c r="AP425" s="31" t="str">
        <f t="shared" si="261"/>
        <v>1+857.504626186667i</v>
      </c>
      <c r="AQ425" s="31">
        <f t="shared" si="281"/>
        <v>857.50520927370201</v>
      </c>
      <c r="AR425" s="31">
        <f t="shared" si="282"/>
        <v>1.5696301528570062</v>
      </c>
      <c r="AS425" s="58" t="str">
        <f t="shared" si="283"/>
        <v>-0.0765233279279698+0.81475158654257i</v>
      </c>
      <c r="AT425" s="49">
        <f t="shared" si="284"/>
        <v>-1.7413528621150651</v>
      </c>
      <c r="AU425" s="61">
        <f t="shared" si="285"/>
        <v>95.365609892415065</v>
      </c>
      <c r="AV425" s="58" t="str">
        <f t="shared" si="262"/>
        <v>-0.198307072490421-0.0244587212941343i</v>
      </c>
      <c r="AW425" s="64">
        <f t="shared" si="286"/>
        <v>-13.987667793026649</v>
      </c>
      <c r="AX425" s="61">
        <f t="shared" si="287"/>
        <v>-172.9687850735915</v>
      </c>
    </row>
    <row r="426" spans="14:50" x14ac:dyDescent="0.4">
      <c r="N426" s="10">
        <v>8</v>
      </c>
      <c r="O426" s="50">
        <f t="shared" si="288"/>
        <v>120226.44346174144</v>
      </c>
      <c r="P426" s="48" t="str">
        <f t="shared" si="253"/>
        <v>5120.19230769231</v>
      </c>
      <c r="Q426" s="17" t="str">
        <f t="shared" si="254"/>
        <v>1+3530.06578099356i</v>
      </c>
      <c r="R426" s="17">
        <f t="shared" si="263"/>
        <v>3530.0659226339772</v>
      </c>
      <c r="S426" s="17">
        <f t="shared" si="264"/>
        <v>1.5705130459623877</v>
      </c>
      <c r="T426" s="17" t="str">
        <f t="shared" si="255"/>
        <v>1+0.00754649618070178i</v>
      </c>
      <c r="U426" s="17">
        <f t="shared" si="265"/>
        <v>1.000028474396907</v>
      </c>
      <c r="V426" s="17">
        <f t="shared" si="266"/>
        <v>7.5463529289387446E-3</v>
      </c>
      <c r="W426" s="31" t="str">
        <f t="shared" si="256"/>
        <v>1-12.237561374111i</v>
      </c>
      <c r="X426" s="17">
        <f t="shared" si="267"/>
        <v>12.278351207924194</v>
      </c>
      <c r="Y426" s="17">
        <f t="shared" si="268"/>
        <v>-1.4892618584256319</v>
      </c>
      <c r="Z426" s="31" t="str">
        <f t="shared" si="257"/>
        <v>-4.78175908298373+74.5080454995234i</v>
      </c>
      <c r="AA426" s="17">
        <f t="shared" si="269"/>
        <v>74.661329107421778</v>
      </c>
      <c r="AB426" s="17">
        <f t="shared" si="270"/>
        <v>1.6348861873732607</v>
      </c>
      <c r="AC426" s="66" t="str">
        <f t="shared" si="271"/>
        <v>-0.00602826106349516+0.238463235550359i</v>
      </c>
      <c r="AD426" s="64">
        <f t="shared" si="272"/>
        <v>-12.448796840382084</v>
      </c>
      <c r="AE426" s="61">
        <f t="shared" si="273"/>
        <v>91.44810737134371</v>
      </c>
      <c r="AF426" s="31" t="str">
        <f t="shared" si="258"/>
        <v>-10.0808080808081</v>
      </c>
      <c r="AG426" s="31" t="str">
        <f t="shared" si="274"/>
        <v>755405.023093271i</v>
      </c>
      <c r="AH426" s="31">
        <f t="shared" si="275"/>
        <v>755405.02309327095</v>
      </c>
      <c r="AI426" s="31">
        <f t="shared" si="276"/>
        <v>1.5707963267948966</v>
      </c>
      <c r="AJ426" s="31" t="str">
        <f t="shared" si="259"/>
        <v>-10914.1780800269+1014.31027449319i</v>
      </c>
      <c r="AK426" s="31">
        <f t="shared" si="277"/>
        <v>10961.209262461973</v>
      </c>
      <c r="AL426" s="31">
        <f t="shared" si="278"/>
        <v>3.0489237297044385</v>
      </c>
      <c r="AM426" s="31" t="str">
        <f t="shared" si="260"/>
        <v>1+748728.451337166i</v>
      </c>
      <c r="AN426" s="31">
        <f t="shared" si="279"/>
        <v>748728.45133783389</v>
      </c>
      <c r="AO426" s="31">
        <f t="shared" si="280"/>
        <v>1.5707949911971932</v>
      </c>
      <c r="AP426" s="31" t="str">
        <f t="shared" si="261"/>
        <v>1+877.478474825144i</v>
      </c>
      <c r="AQ426" s="31">
        <f t="shared" si="281"/>
        <v>877.47904463950624</v>
      </c>
      <c r="AR426" s="31">
        <f t="shared" si="282"/>
        <v>1.5696566981934299</v>
      </c>
      <c r="AS426" s="58" t="str">
        <f t="shared" si="283"/>
        <v>-0.0731080730798607+0.796519535226278i</v>
      </c>
      <c r="AT426" s="49">
        <f t="shared" si="284"/>
        <v>-1.9396380105051052</v>
      </c>
      <c r="AU426" s="61">
        <f t="shared" si="285"/>
        <v>95.244165797461918</v>
      </c>
      <c r="AV426" s="58" t="str">
        <f t="shared" si="262"/>
        <v>-0.189499910998752-0.0222352153519935i</v>
      </c>
      <c r="AW426" s="64">
        <f t="shared" si="286"/>
        <v>-14.388434850887188</v>
      </c>
      <c r="AX426" s="61">
        <f t="shared" si="287"/>
        <v>-173.30772683119437</v>
      </c>
    </row>
    <row r="427" spans="14:50" x14ac:dyDescent="0.4">
      <c r="N427" s="10">
        <v>9</v>
      </c>
      <c r="O427" s="50">
        <f t="shared" si="288"/>
        <v>123026.87708123829</v>
      </c>
      <c r="P427" s="48" t="str">
        <f t="shared" si="253"/>
        <v>5120.19230769231</v>
      </c>
      <c r="Q427" s="17" t="str">
        <f t="shared" si="254"/>
        <v>1+3612.29157598079i</v>
      </c>
      <c r="R427" s="17">
        <f t="shared" si="263"/>
        <v>3612.2917143970781</v>
      </c>
      <c r="S427" s="17">
        <f t="shared" si="264"/>
        <v>1.5705194942210523</v>
      </c>
      <c r="T427" s="17" t="str">
        <f t="shared" si="255"/>
        <v>1+0.00772227665798561i</v>
      </c>
      <c r="U427" s="17">
        <f t="shared" si="265"/>
        <v>1.0000298163338843</v>
      </c>
      <c r="V427" s="17">
        <f t="shared" si="266"/>
        <v>7.7221231612031828E-3</v>
      </c>
      <c r="W427" s="31" t="str">
        <f t="shared" si="256"/>
        <v>1-12.5226107967334i</v>
      </c>
      <c r="X427" s="17">
        <f t="shared" si="267"/>
        <v>12.562475121028655</v>
      </c>
      <c r="Y427" s="17">
        <f t="shared" si="268"/>
        <v>-1.4911098719553828</v>
      </c>
      <c r="Z427" s="31" t="str">
        <f t="shared" si="257"/>
        <v>-5.05424499374485+76.2435608281978i</v>
      </c>
      <c r="AA427" s="17">
        <f t="shared" si="269"/>
        <v>76.4109021031678</v>
      </c>
      <c r="AB427" s="17">
        <f t="shared" si="270"/>
        <v>1.636990256187254</v>
      </c>
      <c r="AC427" s="66" t="str">
        <f t="shared" si="271"/>
        <v>-0.0050080563809623+0.232989307164295i</v>
      </c>
      <c r="AD427" s="64">
        <f t="shared" si="272"/>
        <v>-12.651274111328256</v>
      </c>
      <c r="AE427" s="61">
        <f t="shared" si="273"/>
        <v>91.231371167225106</v>
      </c>
      <c r="AF427" s="31" t="str">
        <f t="shared" si="258"/>
        <v>-10.0808080808081</v>
      </c>
      <c r="AG427" s="31" t="str">
        <f t="shared" si="274"/>
        <v>773000.666465025i</v>
      </c>
      <c r="AH427" s="31">
        <f t="shared" si="275"/>
        <v>773000.66646502505</v>
      </c>
      <c r="AI427" s="31">
        <f t="shared" si="276"/>
        <v>1.5707963267948966</v>
      </c>
      <c r="AJ427" s="31" t="str">
        <f t="shared" si="259"/>
        <v>-11428.5945746556+1037.93659588725i</v>
      </c>
      <c r="AK427" s="31">
        <f t="shared" si="277"/>
        <v>11475.630105964965</v>
      </c>
      <c r="AL427" s="31">
        <f t="shared" si="278"/>
        <v>3.0510218535622586</v>
      </c>
      <c r="AM427" s="31" t="str">
        <f t="shared" si="260"/>
        <v>1+766168.577374543i</v>
      </c>
      <c r="AN427" s="31">
        <f t="shared" si="279"/>
        <v>766168.57737519557</v>
      </c>
      <c r="AO427" s="31">
        <f t="shared" si="280"/>
        <v>1.5707950215991087</v>
      </c>
      <c r="AP427" s="31" t="str">
        <f t="shared" si="261"/>
        <v>1+897.917574165774i</v>
      </c>
      <c r="AQ427" s="31">
        <f t="shared" si="281"/>
        <v>897.91813100958609</v>
      </c>
      <c r="AR427" s="31">
        <f t="shared" si="282"/>
        <v>1.5696826392857779</v>
      </c>
      <c r="AS427" s="58" t="str">
        <f t="shared" si="283"/>
        <v>-0.0698440107874402+0.778681766972455i</v>
      </c>
      <c r="AT427" s="49">
        <f t="shared" si="284"/>
        <v>-2.1379997075459425</v>
      </c>
      <c r="AU427" s="61">
        <f t="shared" si="285"/>
        <v>95.125440212522065</v>
      </c>
      <c r="AV427" s="58" t="str">
        <f t="shared" si="262"/>
        <v>-0.181074742644485-0.0201725898747666i</v>
      </c>
      <c r="AW427" s="64">
        <f t="shared" si="286"/>
        <v>-14.789273818874214</v>
      </c>
      <c r="AX427" s="61">
        <f t="shared" si="287"/>
        <v>-173.64318862025283</v>
      </c>
    </row>
    <row r="428" spans="14:50" x14ac:dyDescent="0.4">
      <c r="N428" s="10">
        <v>10</v>
      </c>
      <c r="O428" s="50">
        <f t="shared" si="288"/>
        <v>125892.54117941685</v>
      </c>
      <c r="P428" s="48" t="str">
        <f t="shared" si="253"/>
        <v>5120.19230769231</v>
      </c>
      <c r="Q428" s="17" t="str">
        <f t="shared" si="254"/>
        <v>1+3696.43265577595i</v>
      </c>
      <c r="R428" s="17">
        <f t="shared" si="263"/>
        <v>3696.4327910414981</v>
      </c>
      <c r="S428" s="17">
        <f t="shared" si="264"/>
        <v>1.5705257956994521</v>
      </c>
      <c r="T428" s="17" t="str">
        <f t="shared" si="255"/>
        <v>1+0.00790215158856992i</v>
      </c>
      <c r="U428" s="17">
        <f t="shared" si="265"/>
        <v>1.0000312215124729</v>
      </c>
      <c r="V428" s="17">
        <f t="shared" si="266"/>
        <v>7.9019871140815923E-3</v>
      </c>
      <c r="W428" s="31" t="str">
        <f t="shared" si="256"/>
        <v>1-12.8142998733566i</v>
      </c>
      <c r="X428" s="17">
        <f t="shared" si="267"/>
        <v>12.853259557182644</v>
      </c>
      <c r="Y428" s="17">
        <f t="shared" si="268"/>
        <v>-1.4929163467630981</v>
      </c>
      <c r="Z428" s="31" t="str">
        <f t="shared" si="257"/>
        <v>-5.33957276984448+78.0195015020263i</v>
      </c>
      <c r="AA428" s="17">
        <f t="shared" si="269"/>
        <v>78.202005421786652</v>
      </c>
      <c r="AB428" s="17">
        <f t="shared" si="270"/>
        <v>1.6391287226821547</v>
      </c>
      <c r="AC428" s="66" t="str">
        <f t="shared" si="271"/>
        <v>-0.00403418585956725+0.227637714648372i</v>
      </c>
      <c r="AD428" s="64">
        <f t="shared" si="272"/>
        <v>-12.85375189731765</v>
      </c>
      <c r="AE428" s="61">
        <f t="shared" si="273"/>
        <v>91.015287077427828</v>
      </c>
      <c r="AF428" s="31" t="str">
        <f t="shared" si="258"/>
        <v>-10.0808080808081</v>
      </c>
      <c r="AG428" s="31" t="str">
        <f t="shared" si="274"/>
        <v>791006.165022013i</v>
      </c>
      <c r="AH428" s="31">
        <f t="shared" si="275"/>
        <v>791006.16502201301</v>
      </c>
      <c r="AI428" s="31">
        <f t="shared" si="276"/>
        <v>1.5707963267948966</v>
      </c>
      <c r="AJ428" s="31" t="str">
        <f t="shared" si="259"/>
        <v>-11967.2547717696+1062.11324500316i</v>
      </c>
      <c r="AK428" s="31">
        <f t="shared" si="277"/>
        <v>12014.294457755454</v>
      </c>
      <c r="AL428" s="31">
        <f t="shared" si="278"/>
        <v>3.0530729664120275</v>
      </c>
      <c r="AM428" s="31" t="str">
        <f t="shared" si="260"/>
        <v>1+784014.936133085i</v>
      </c>
      <c r="AN428" s="31">
        <f t="shared" si="279"/>
        <v>784014.93613372289</v>
      </c>
      <c r="AO428" s="31">
        <f t="shared" si="280"/>
        <v>1.5707950513089921</v>
      </c>
      <c r="AP428" s="31" t="str">
        <f t="shared" si="261"/>
        <v>1+918.832761289571i</v>
      </c>
      <c r="AQ428" s="31">
        <f t="shared" si="281"/>
        <v>918.83330545807803</v>
      </c>
      <c r="AR428" s="31">
        <f t="shared" si="282"/>
        <v>1.5697079898882209</v>
      </c>
      <c r="AS428" s="58" t="str">
        <f t="shared" si="283"/>
        <v>-0.0667245553264511+0.761230665997019i</v>
      </c>
      <c r="AT428" s="49">
        <f t="shared" si="284"/>
        <v>-2.3364345631881527</v>
      </c>
      <c r="AU428" s="61">
        <f t="shared" si="285"/>
        <v>95.009374287704276</v>
      </c>
      <c r="AV428" s="58" t="str">
        <f t="shared" si="262"/>
        <v>-0.173015629870236-0.0182599712740763i</v>
      </c>
      <c r="AW428" s="64">
        <f t="shared" si="286"/>
        <v>-15.190186460505789</v>
      </c>
      <c r="AX428" s="61">
        <f t="shared" si="287"/>
        <v>-173.97533863486791</v>
      </c>
    </row>
    <row r="429" spans="14:50" x14ac:dyDescent="0.4">
      <c r="N429" s="10">
        <v>11</v>
      </c>
      <c r="O429" s="50">
        <f t="shared" si="288"/>
        <v>128824.95516931375</v>
      </c>
      <c r="P429" s="48" t="str">
        <f t="shared" si="253"/>
        <v>5120.19230769231</v>
      </c>
      <c r="Q429" s="17" t="str">
        <f t="shared" si="254"/>
        <v>1+3782.53363309327i</v>
      </c>
      <c r="R429" s="17">
        <f t="shared" si="263"/>
        <v>3782.5337652797989</v>
      </c>
      <c r="S429" s="17">
        <f t="shared" si="264"/>
        <v>1.5705319537387119</v>
      </c>
      <c r="T429" s="17" t="str">
        <f t="shared" si="255"/>
        <v>1+0.00808621634452384i</v>
      </c>
      <c r="U429" s="17">
        <f t="shared" si="265"/>
        <v>1.0000326929129719</v>
      </c>
      <c r="V429" s="17">
        <f t="shared" si="266"/>
        <v>8.0860401072455502E-3</v>
      </c>
      <c r="W429" s="31" t="str">
        <f t="shared" si="256"/>
        <v>1-13.11278326139i</v>
      </c>
      <c r="X429" s="17">
        <f t="shared" si="267"/>
        <v>13.150858711893674</v>
      </c>
      <c r="Y429" s="17">
        <f t="shared" si="268"/>
        <v>-1.4946821934780139</v>
      </c>
      <c r="Z429" s="31" t="str">
        <f t="shared" si="257"/>
        <v>-5.63834762975028+79.8368091482614i</v>
      </c>
      <c r="AA429" s="17">
        <f t="shared" si="269"/>
        <v>80.035661170317226</v>
      </c>
      <c r="AB429" s="17">
        <f t="shared" si="270"/>
        <v>1.6413026706521174</v>
      </c>
      <c r="AC429" s="66" t="str">
        <f t="shared" si="271"/>
        <v>-0.00310458552533467+0.222405705300292i</v>
      </c>
      <c r="AD429" s="64">
        <f t="shared" si="272"/>
        <v>-13.056235353090727</v>
      </c>
      <c r="AE429" s="61">
        <f t="shared" si="273"/>
        <v>90.799746099891607</v>
      </c>
      <c r="AF429" s="31" t="str">
        <f t="shared" si="258"/>
        <v>-10.0808080808081</v>
      </c>
      <c r="AG429" s="31" t="str">
        <f t="shared" si="274"/>
        <v>809431.065517901i</v>
      </c>
      <c r="AH429" s="31">
        <f t="shared" si="275"/>
        <v>809431.06551790098</v>
      </c>
      <c r="AI429" s="31">
        <f t="shared" si="276"/>
        <v>1.5707963267948966</v>
      </c>
      <c r="AJ429" s="31" t="str">
        <f t="shared" si="259"/>
        <v>-12531.3012418664+1086.85304062031i</v>
      </c>
      <c r="AK429" s="31">
        <f t="shared" si="277"/>
        <v>12578.344896937275</v>
      </c>
      <c r="AL429" s="31">
        <f t="shared" si="278"/>
        <v>3.0550780889247662</v>
      </c>
      <c r="AM429" s="31" t="str">
        <f t="shared" si="260"/>
        <v>1+802276.98998843i</v>
      </c>
      <c r="AN429" s="31">
        <f t="shared" si="279"/>
        <v>802276.98998905323</v>
      </c>
      <c r="AO429" s="31">
        <f t="shared" si="280"/>
        <v>1.5707950803425959</v>
      </c>
      <c r="AP429" s="31" t="str">
        <f t="shared" si="261"/>
        <v>1+940.235125705594i</v>
      </c>
      <c r="AQ429" s="31">
        <f t="shared" si="281"/>
        <v>940.23565748732074</v>
      </c>
      <c r="AR429" s="31">
        <f t="shared" si="282"/>
        <v>1.5697327634418536</v>
      </c>
      <c r="AS429" s="58" t="str">
        <f t="shared" si="283"/>
        <v>-0.063743398436599+0.744158701769892i</v>
      </c>
      <c r="AT429" s="49">
        <f t="shared" si="284"/>
        <v>-2.5349393351578833</v>
      </c>
      <c r="AU429" s="61">
        <f t="shared" si="285"/>
        <v>94.895910313887356</v>
      </c>
      <c r="AV429" s="58" t="str">
        <f t="shared" si="262"/>
        <v>-0.165307244090361-0.016487199821596i</v>
      </c>
      <c r="AW429" s="64">
        <f t="shared" si="286"/>
        <v>-15.591174688248589</v>
      </c>
      <c r="AX429" s="61">
        <f t="shared" si="287"/>
        <v>-174.30434358622102</v>
      </c>
    </row>
    <row r="430" spans="14:50" x14ac:dyDescent="0.4">
      <c r="N430" s="10">
        <v>12</v>
      </c>
      <c r="O430" s="50">
        <f t="shared" si="288"/>
        <v>131825.67385564081</v>
      </c>
      <c r="P430" s="48" t="str">
        <f t="shared" si="253"/>
        <v>5120.19230769231</v>
      </c>
      <c r="Q430" s="17" t="str">
        <f t="shared" si="254"/>
        <v>1+3870.64015981059i</v>
      </c>
      <c r="R430" s="17">
        <f t="shared" si="263"/>
        <v>3870.6402889881856</v>
      </c>
      <c r="S430" s="17">
        <f t="shared" si="264"/>
        <v>1.5705379716039041</v>
      </c>
      <c r="T430" s="17" t="str">
        <f t="shared" si="255"/>
        <v>1+0.00827456851941732i</v>
      </c>
      <c r="U430" s="17">
        <f t="shared" si="265"/>
        <v>1.0000342336561197</v>
      </c>
      <c r="V430" s="17">
        <f t="shared" si="266"/>
        <v>8.2743796781204696E-3</v>
      </c>
      <c r="W430" s="31" t="str">
        <f t="shared" si="256"/>
        <v>1-13.4182192206767i</v>
      </c>
      <c r="X430" s="17">
        <f t="shared" si="267"/>
        <v>13.455430392749896</v>
      </c>
      <c r="Y430" s="17">
        <f t="shared" si="268"/>
        <v>-1.4964083043004996</v>
      </c>
      <c r="Z430" s="31" t="str">
        <f t="shared" si="257"/>
        <v>-5.95120331499752+81.6964473274717i</v>
      </c>
      <c r="AA430" s="17">
        <f t="shared" si="269"/>
        <v>81.91291916924213</v>
      </c>
      <c r="AB430" s="17">
        <f t="shared" si="270"/>
        <v>1.6435131992026162</v>
      </c>
      <c r="AC430" s="66" t="str">
        <f t="shared" si="271"/>
        <v>-0.00221728508084451+0.217290584506131i</v>
      </c>
      <c r="AD430" s="64">
        <f t="shared" si="272"/>
        <v>-13.258729644655972</v>
      </c>
      <c r="AE430" s="61">
        <f t="shared" si="273"/>
        <v>90.584639542603824</v>
      </c>
      <c r="AF430" s="31" t="str">
        <f t="shared" si="258"/>
        <v>-10.0808080808081</v>
      </c>
      <c r="AG430" s="31" t="str">
        <f t="shared" si="274"/>
        <v>828285.13707881i</v>
      </c>
      <c r="AH430" s="31">
        <f t="shared" si="275"/>
        <v>828285.13707881002</v>
      </c>
      <c r="AI430" s="31">
        <f t="shared" si="276"/>
        <v>1.5707963267948966</v>
      </c>
      <c r="AJ430" s="31" t="str">
        <f t="shared" si="259"/>
        <v>-13121.930403132+1112.16910010579i</v>
      </c>
      <c r="AK430" s="31">
        <f t="shared" si="277"/>
        <v>13168.97784992708</v>
      </c>
      <c r="AL430" s="31">
        <f t="shared" si="278"/>
        <v>3.0570382217831327</v>
      </c>
      <c r="AM430" s="31" t="str">
        <f t="shared" si="260"/>
        <v>1+820964.421723256i</v>
      </c>
      <c r="AN430" s="31">
        <f t="shared" si="279"/>
        <v>820964.42172386509</v>
      </c>
      <c r="AO430" s="31">
        <f t="shared" si="280"/>
        <v>1.5707951087153142</v>
      </c>
      <c r="AP430" s="31" t="str">
        <f t="shared" si="261"/>
        <v>1+962.136015230746i</v>
      </c>
      <c r="AQ430" s="31">
        <f t="shared" si="281"/>
        <v>962.13653490764943</v>
      </c>
      <c r="AR430" s="31">
        <f t="shared" si="282"/>
        <v>1.5697569730818202</v>
      </c>
      <c r="AS430" s="58" t="str">
        <f t="shared" si="283"/>
        <v>-0.0608944984579856+0.727458432675114i</v>
      </c>
      <c r="AT430" s="49">
        <f t="shared" si="284"/>
        <v>-2.7335109227211336</v>
      </c>
      <c r="AU430" s="61">
        <f t="shared" si="285"/>
        <v>94.784991709648665</v>
      </c>
      <c r="AV430" s="58" t="str">
        <f t="shared" si="262"/>
        <v>-0.157934847576953-0.0148447838928484i</v>
      </c>
      <c r="AW430" s="64">
        <f t="shared" si="286"/>
        <v>-15.99224056737711</v>
      </c>
      <c r="AX430" s="61">
        <f t="shared" si="287"/>
        <v>-174.63036874774753</v>
      </c>
    </row>
    <row r="431" spans="14:50" x14ac:dyDescent="0.4">
      <c r="N431" s="10">
        <v>13</v>
      </c>
      <c r="O431" s="50">
        <f t="shared" si="288"/>
        <v>134896.28825916545</v>
      </c>
      <c r="P431" s="48" t="str">
        <f t="shared" si="253"/>
        <v>5120.19230769231</v>
      </c>
      <c r="Q431" s="17" t="str">
        <f t="shared" si="254"/>
        <v>1+3960.79895117464i</v>
      </c>
      <c r="R431" s="17">
        <f t="shared" si="263"/>
        <v>3960.7990774117957</v>
      </c>
      <c r="S431" s="17">
        <f t="shared" si="264"/>
        <v>1.5705438524857789</v>
      </c>
      <c r="T431" s="17" t="str">
        <f t="shared" si="255"/>
        <v>1+0.00846730798006668i</v>
      </c>
      <c r="U431" s="17">
        <f t="shared" si="265"/>
        <v>1.0000358470097106</v>
      </c>
      <c r="V431" s="17">
        <f t="shared" si="266"/>
        <v>8.4671056333632169E-3</v>
      </c>
      <c r="W431" s="31" t="str">
        <f t="shared" si="256"/>
        <v>1-13.7307696974054i</v>
      </c>
      <c r="X431" s="17">
        <f t="shared" si="267"/>
        <v>13.767136103169257</v>
      </c>
      <c r="Y431" s="17">
        <f t="shared" si="268"/>
        <v>-1.4980955532713331</v>
      </c>
      <c r="Z431" s="31" t="str">
        <f t="shared" si="257"/>
        <v>-6.27880343443995+83.5994020444355i</v>
      </c>
      <c r="AA431" s="17">
        <f t="shared" si="269"/>
        <v>83.834857874010254</v>
      </c>
      <c r="AB431" s="17">
        <f t="shared" si="270"/>
        <v>1.6457614230866706</v>
      </c>
      <c r="AC431" s="66" t="str">
        <f t="shared" si="271"/>
        <v>-0.00137040373889298+0.212289714689691i</v>
      </c>
      <c r="AD431" s="64">
        <f t="shared" si="272"/>
        <v>-13.461239959401954</v>
      </c>
      <c r="AE431" s="61">
        <f t="shared" si="273"/>
        <v>90.369858991757241</v>
      </c>
      <c r="AF431" s="31" t="str">
        <f t="shared" si="258"/>
        <v>-10.0808080808081</v>
      </c>
      <c r="AG431" s="31" t="str">
        <f t="shared" si="274"/>
        <v>847578.37638305i</v>
      </c>
      <c r="AH431" s="31">
        <f t="shared" si="275"/>
        <v>847578.37638305</v>
      </c>
      <c r="AI431" s="31">
        <f t="shared" si="276"/>
        <v>1.5707963267948966</v>
      </c>
      <c r="AJ431" s="31" t="str">
        <f t="shared" si="259"/>
        <v>-13740.3950592046+1138.07484636945i</v>
      </c>
      <c r="AK431" s="31">
        <f t="shared" si="277"/>
        <v>13787.446128233938</v>
      </c>
      <c r="AL431" s="31">
        <f t="shared" si="278"/>
        <v>3.058954345925661</v>
      </c>
      <c r="AM431" s="31" t="str">
        <f t="shared" si="260"/>
        <v>1+840087.139661229i</v>
      </c>
      <c r="AN431" s="31">
        <f t="shared" si="279"/>
        <v>840087.13966182398</v>
      </c>
      <c r="AO431" s="31">
        <f t="shared" si="280"/>
        <v>1.5707951364421906</v>
      </c>
      <c r="AP431" s="31" t="str">
        <f t="shared" si="261"/>
        <v>1+984.547042006551i</v>
      </c>
      <c r="AQ431" s="31">
        <f t="shared" si="281"/>
        <v>984.54754985417003</v>
      </c>
      <c r="AR431" s="31">
        <f t="shared" si="282"/>
        <v>1.5697806316442788</v>
      </c>
      <c r="AS431" s="58" t="str">
        <f t="shared" si="283"/>
        <v>-0.0581720698189366+0.7111225092435i</v>
      </c>
      <c r="AT431" s="49">
        <f t="shared" si="284"/>
        <v>-2.9321463606931841</v>
      </c>
      <c r="AU431" s="61">
        <f t="shared" si="285"/>
        <v>94.676563007669898</v>
      </c>
      <c r="AV431" s="58" t="str">
        <f t="shared" si="262"/>
        <v>-0.150884275374741-0.0133238570502491i</v>
      </c>
      <c r="AW431" s="64">
        <f t="shared" si="286"/>
        <v>-16.393386320095122</v>
      </c>
      <c r="AX431" s="61">
        <f t="shared" si="287"/>
        <v>-174.95357800057283</v>
      </c>
    </row>
    <row r="432" spans="14:50" x14ac:dyDescent="0.4">
      <c r="N432" s="10">
        <v>14</v>
      </c>
      <c r="O432" s="50">
        <f t="shared" si="288"/>
        <v>138038.42646028858</v>
      </c>
      <c r="P432" s="48" t="str">
        <f t="shared" si="253"/>
        <v>5120.19230769231</v>
      </c>
      <c r="Q432" s="17" t="str">
        <f t="shared" si="254"/>
        <v>1+4053.05781056997i</v>
      </c>
      <c r="R432" s="17">
        <f t="shared" si="263"/>
        <v>4053.0579339336173</v>
      </c>
      <c r="S432" s="17">
        <f t="shared" si="264"/>
        <v>1.5705495995024557</v>
      </c>
      <c r="T432" s="17" t="str">
        <f t="shared" si="255"/>
        <v>1+0.00866453691948514i</v>
      </c>
      <c r="U432" s="17">
        <f t="shared" si="265"/>
        <v>1.0000375363955241</v>
      </c>
      <c r="V432" s="17">
        <f t="shared" si="266"/>
        <v>8.6643201015255654E-3</v>
      </c>
      <c r="W432" s="31" t="str">
        <f t="shared" si="256"/>
        <v>1-14.0506004099759i</v>
      </c>
      <c r="X432" s="17">
        <f t="shared" si="267"/>
        <v>14.086141128102293</v>
      </c>
      <c r="Y432" s="17">
        <f t="shared" si="268"/>
        <v>-1.4997447965445179</v>
      </c>
      <c r="Z432" s="31" t="str">
        <f t="shared" si="257"/>
        <v>-6.62184287185301+85.5466822709323i</v>
      </c>
      <c r="AA432" s="17">
        <f t="shared" si="269"/>
        <v>85.802585337408999</v>
      </c>
      <c r="AB432" s="17">
        <f t="shared" si="270"/>
        <v>1.6480484730325662</v>
      </c>
      <c r="AC432" s="66" t="str">
        <f t="shared" si="271"/>
        <v>-0.000562146244225542+0.207400514268472i</v>
      </c>
      <c r="AD432" s="64">
        <f t="shared" si="272"/>
        <v>-13.663771516242404</v>
      </c>
      <c r="AE432" s="61">
        <f t="shared" si="273"/>
        <v>90.155296280262206</v>
      </c>
      <c r="AF432" s="31" t="str">
        <f t="shared" si="258"/>
        <v>-10.0808080808081</v>
      </c>
      <c r="AG432" s="31" t="str">
        <f t="shared" si="274"/>
        <v>867321.012961475i</v>
      </c>
      <c r="AH432" s="31">
        <f t="shared" si="275"/>
        <v>867321.01296147495</v>
      </c>
      <c r="AI432" s="31">
        <f t="shared" si="276"/>
        <v>1.5707963267948966</v>
      </c>
      <c r="AJ432" s="31" t="str">
        <f t="shared" si="259"/>
        <v>-14388.0070565387+1164.58401498085i</v>
      </c>
      <c r="AK432" s="31">
        <f t="shared" si="277"/>
        <v>14435.061585838708</v>
      </c>
      <c r="AL432" s="31">
        <f t="shared" si="278"/>
        <v>3.0608274227988845</v>
      </c>
      <c r="AM432" s="31" t="str">
        <f t="shared" si="260"/>
        <v>1+859655.282920519i</v>
      </c>
      <c r="AN432" s="31">
        <f t="shared" si="279"/>
        <v>859655.28292110062</v>
      </c>
      <c r="AO432" s="31">
        <f t="shared" si="280"/>
        <v>1.5707951635379263</v>
      </c>
      <c r="AP432" s="31" t="str">
        <f t="shared" si="261"/>
        <v>1+1007.48008865605i</v>
      </c>
      <c r="AQ432" s="31">
        <f t="shared" si="281"/>
        <v>1007.4805849436516</v>
      </c>
      <c r="AR432" s="31">
        <f t="shared" si="282"/>
        <v>1.5698037516732064</v>
      </c>
      <c r="AS432" s="58" t="str">
        <f t="shared" si="283"/>
        <v>-0.0555705728708181+0.695143676987423i</v>
      </c>
      <c r="AT432" s="49">
        <f t="shared" si="284"/>
        <v>-3.1308428136850446</v>
      </c>
      <c r="AU432" s="61">
        <f t="shared" si="285"/>
        <v>94.570569840681657</v>
      </c>
      <c r="AV432" s="58" t="str">
        <f t="shared" si="262"/>
        <v>-0.144141917308839-0.0119161377988169i</v>
      </c>
      <c r="AW432" s="64">
        <f t="shared" si="286"/>
        <v>-16.794614329927466</v>
      </c>
      <c r="AX432" s="61">
        <f t="shared" si="287"/>
        <v>-175.27413387905611</v>
      </c>
    </row>
    <row r="433" spans="14:50" x14ac:dyDescent="0.4">
      <c r="N433" s="10">
        <v>15</v>
      </c>
      <c r="O433" s="50">
        <f t="shared" si="288"/>
        <v>141253.75446227577</v>
      </c>
      <c r="P433" s="48" t="str">
        <f t="shared" si="253"/>
        <v>5120.19230769231</v>
      </c>
      <c r="Q433" s="17" t="str">
        <f t="shared" si="254"/>
        <v>1+4147.46565486504i</v>
      </c>
      <c r="R433" s="17">
        <f t="shared" si="263"/>
        <v>4147.4657754205882</v>
      </c>
      <c r="S433" s="17">
        <f t="shared" si="264"/>
        <v>1.5705552157010776</v>
      </c>
      <c r="T433" s="17" t="str">
        <f t="shared" si="255"/>
        <v>1+0.00886635991106704i</v>
      </c>
      <c r="U433" s="17">
        <f t="shared" si="265"/>
        <v>1.000039305396579</v>
      </c>
      <c r="V433" s="17">
        <f t="shared" si="266"/>
        <v>8.8661275869308005E-3</v>
      </c>
      <c r="W433" s="31" t="str">
        <f t="shared" si="256"/>
        <v>1-14.3778809368654i</v>
      </c>
      <c r="X433" s="17">
        <f t="shared" si="267"/>
        <v>14.412614621735971</v>
      </c>
      <c r="Y433" s="17">
        <f t="shared" si="268"/>
        <v>-1.5013568726629598</v>
      </c>
      <c r="Z433" s="31" t="str">
        <f t="shared" si="257"/>
        <v>-6.98104925987557+87.5393204807134i</v>
      </c>
      <c r="AA433" s="17">
        <f t="shared" si="269"/>
        <v>87.81724021508451</v>
      </c>
      <c r="AB433" s="17">
        <f t="shared" si="270"/>
        <v>1.6503754960621242</v>
      </c>
      <c r="AC433" s="66" t="str">
        <f t="shared" si="271"/>
        <v>0.000209200925002453+0.202620456617406i</v>
      </c>
      <c r="AD433" s="64">
        <f t="shared" si="272"/>
        <v>-13.866329575808123</v>
      </c>
      <c r="AE433" s="61">
        <f t="shared" si="273"/>
        <v>89.940843456708166</v>
      </c>
      <c r="AF433" s="31" t="str">
        <f t="shared" si="258"/>
        <v>-10.0808080808081</v>
      </c>
      <c r="AG433" s="31" t="str">
        <f t="shared" si="274"/>
        <v>887523.514621324i</v>
      </c>
      <c r="AH433" s="31">
        <f t="shared" si="275"/>
        <v>887523.51462132402</v>
      </c>
      <c r="AI433" s="31">
        <f t="shared" si="276"/>
        <v>1.5707963267948966</v>
      </c>
      <c r="AJ433" s="31" t="str">
        <f t="shared" si="259"/>
        <v>-15066.1400670076+1191.71066145209i</v>
      </c>
      <c r="AK433" s="31">
        <f t="shared" si="277"/>
        <v>15113.197901811196</v>
      </c>
      <c r="AL433" s="31">
        <f t="shared" si="278"/>
        <v>3.0626583946163315</v>
      </c>
      <c r="AM433" s="31" t="str">
        <f t="shared" si="260"/>
        <v>1+879679.226789698i</v>
      </c>
      <c r="AN433" s="31">
        <f t="shared" si="279"/>
        <v>879679.22679026646</v>
      </c>
      <c r="AO433" s="31">
        <f t="shared" si="280"/>
        <v>1.5707951900168875</v>
      </c>
      <c r="AP433" s="31" t="str">
        <f t="shared" si="261"/>
        <v>1+1030.94731458413i</v>
      </c>
      <c r="AQ433" s="31">
        <f t="shared" si="281"/>
        <v>1030.9477995748521</v>
      </c>
      <c r="AR433" s="31">
        <f t="shared" si="282"/>
        <v>1.5698263454270494</v>
      </c>
      <c r="AS433" s="58" t="str">
        <f t="shared" si="283"/>
        <v>-0.0530847040647463+0.679514778865645i</v>
      </c>
      <c r="AT433" s="49">
        <f t="shared" si="284"/>
        <v>-3.3295975705788381</v>
      </c>
      <c r="AU433" s="61">
        <f t="shared" si="285"/>
        <v>94.466958927005862</v>
      </c>
      <c r="AV433" s="58" t="str">
        <f t="shared" si="262"/>
        <v>-0.137694700141226-0.0106138918567072i</v>
      </c>
      <c r="AW433" s="64">
        <f t="shared" si="286"/>
        <v>-17.195927146386992</v>
      </c>
      <c r="AX433" s="61">
        <f t="shared" si="287"/>
        <v>-175.59219761628597</v>
      </c>
    </row>
    <row r="434" spans="14:50" x14ac:dyDescent="0.4">
      <c r="N434" s="10">
        <v>16</v>
      </c>
      <c r="O434" s="50">
        <f t="shared" si="288"/>
        <v>144543.97707459307</v>
      </c>
      <c r="P434" s="48" t="str">
        <f t="shared" si="253"/>
        <v>5120.19230769231</v>
      </c>
      <c r="Q434" s="17" t="str">
        <f t="shared" si="254"/>
        <v>1+4244.0725403485i</v>
      </c>
      <c r="R434" s="17">
        <f t="shared" si="263"/>
        <v>4244.0726581598683</v>
      </c>
      <c r="S434" s="17">
        <f t="shared" si="264"/>
        <v>1.5705607040594256</v>
      </c>
      <c r="T434" s="17" t="str">
        <f t="shared" si="255"/>
        <v>1+0.00907288396403391i</v>
      </c>
      <c r="U434" s="17">
        <f t="shared" si="265"/>
        <v>1.0000411577647317</v>
      </c>
      <c r="V434" s="17">
        <f t="shared" si="266"/>
        <v>9.072635024790195E-3</v>
      </c>
      <c r="W434" s="31" t="str">
        <f t="shared" si="256"/>
        <v>1-14.7127848065415i</v>
      </c>
      <c r="X434" s="17">
        <f t="shared" si="267"/>
        <v>14.746729697244687</v>
      </c>
      <c r="Y434" s="17">
        <f t="shared" si="268"/>
        <v>-1.5029326028363668</v>
      </c>
      <c r="Z434" s="31" t="str">
        <f t="shared" si="257"/>
        <v>-7.35718452341621+89.5783731969331i</v>
      </c>
      <c r="AA434" s="17">
        <f t="shared" si="269"/>
        <v>89.879992816647572</v>
      </c>
      <c r="AB434" s="17">
        <f t="shared" si="270"/>
        <v>1.6527436557984856</v>
      </c>
      <c r="AC434" s="66" t="str">
        <f t="shared" si="271"/>
        <v>0.000945273184009663+0.197947069041381i</v>
      </c>
      <c r="AD434" s="64">
        <f t="shared" si="272"/>
        <v>-14.068919450699857</v>
      </c>
      <c r="AE434" s="61">
        <f t="shared" si="273"/>
        <v>89.72639275487181</v>
      </c>
      <c r="AF434" s="31" t="str">
        <f t="shared" si="258"/>
        <v>-10.0808080808081</v>
      </c>
      <c r="AG434" s="31" t="str">
        <f t="shared" si="274"/>
        <v>908196.592996386i</v>
      </c>
      <c r="AH434" s="31">
        <f t="shared" si="275"/>
        <v>908196.592996386</v>
      </c>
      <c r="AI434" s="31">
        <f t="shared" si="276"/>
        <v>1.5707963267948966</v>
      </c>
      <c r="AJ434" s="31" t="str">
        <f t="shared" si="259"/>
        <v>-15776.2325016452+1219.46916869019i</v>
      </c>
      <c r="AK434" s="31">
        <f t="shared" si="277"/>
        <v>15823.293494066027</v>
      </c>
      <c r="AL434" s="31">
        <f t="shared" si="278"/>
        <v>3.0644481846234526</v>
      </c>
      <c r="AM434" s="31" t="str">
        <f t="shared" si="260"/>
        <v>1+900169.58822885i</v>
      </c>
      <c r="AN434" s="31">
        <f t="shared" si="279"/>
        <v>900169.58822940546</v>
      </c>
      <c r="AO434" s="31">
        <f t="shared" si="280"/>
        <v>1.5707952158931142</v>
      </c>
      <c r="AP434" s="31" t="str">
        <f t="shared" si="261"/>
        <v>1+1054.9611624246i</v>
      </c>
      <c r="AQ434" s="31">
        <f t="shared" si="281"/>
        <v>1054.9616363755904</v>
      </c>
      <c r="AR434" s="31">
        <f t="shared" si="282"/>
        <v>1.5698484248852229</v>
      </c>
      <c r="AS434" s="58" t="str">
        <f t="shared" si="283"/>
        <v>-0.0507093864644415+0.664228757404463i</v>
      </c>
      <c r="AT434" s="49">
        <f t="shared" si="284"/>
        <v>-3.528408039224757</v>
      </c>
      <c r="AU434" s="61">
        <f t="shared" si="285"/>
        <v>94.365678055749001</v>
      </c>
      <c r="AV434" s="58" t="str">
        <f t="shared" si="262"/>
        <v>-0.131530069924414-0.00940989679110038i</v>
      </c>
      <c r="AW434" s="64">
        <f t="shared" si="286"/>
        <v>-17.597327489924638</v>
      </c>
      <c r="AX434" s="61">
        <f t="shared" si="287"/>
        <v>-175.90792918937919</v>
      </c>
    </row>
    <row r="435" spans="14:50" x14ac:dyDescent="0.4">
      <c r="N435" s="10">
        <v>17</v>
      </c>
      <c r="O435" s="50">
        <f t="shared" si="288"/>
        <v>147910.83881682079</v>
      </c>
      <c r="P435" s="48" t="str">
        <f t="shared" si="253"/>
        <v>5120.19230769231</v>
      </c>
      <c r="Q435" s="17" t="str">
        <f t="shared" si="254"/>
        <v>1+4342.92968926979i</v>
      </c>
      <c r="R435" s="17">
        <f t="shared" si="263"/>
        <v>4342.929804399444</v>
      </c>
      <c r="S435" s="17">
        <f t="shared" si="264"/>
        <v>1.5705660674874993</v>
      </c>
      <c r="T435" s="17" t="str">
        <f t="shared" si="255"/>
        <v>1+0.0092842185801723i</v>
      </c>
      <c r="U435" s="17">
        <f t="shared" si="265"/>
        <v>1.0000430974286281</v>
      </c>
      <c r="V435" s="17">
        <f t="shared" si="266"/>
        <v>9.2839518375876801E-3</v>
      </c>
      <c r="W435" s="31" t="str">
        <f t="shared" si="256"/>
        <v>1-15.0554895894686i</v>
      </c>
      <c r="X435" s="17">
        <f t="shared" si="267"/>
        <v>15.088663518635352</v>
      </c>
      <c r="Y435" s="17">
        <f t="shared" si="268"/>
        <v>-1.5044727912207738</v>
      </c>
      <c r="Z435" s="31" t="str">
        <f t="shared" si="257"/>
        <v>-7.75104649579822+91.6649215523315i</v>
      </c>
      <c r="AA435" s="17">
        <f t="shared" si="269"/>
        <v>91.992046204957944</v>
      </c>
      <c r="AB435" s="17">
        <f t="shared" si="270"/>
        <v>1.6551541327623089</v>
      </c>
      <c r="AC435" s="66" t="str">
        <f t="shared" si="271"/>
        <v>0.00164763130404055+0.193377931757444i</v>
      </c>
      <c r="AD435" s="64">
        <f t="shared" si="272"/>
        <v>-14.271546515818299</v>
      </c>
      <c r="AE435" s="61">
        <f t="shared" si="273"/>
        <v>89.511836563870759</v>
      </c>
      <c r="AF435" s="31" t="str">
        <f t="shared" si="258"/>
        <v>-10.0808080808081</v>
      </c>
      <c r="AG435" s="31" t="str">
        <f t="shared" si="274"/>
        <v>929351.209226456i</v>
      </c>
      <c r="AH435" s="31">
        <f t="shared" si="275"/>
        <v>929351.20922645601</v>
      </c>
      <c r="AI435" s="31">
        <f t="shared" si="276"/>
        <v>1.5707963267948966</v>
      </c>
      <c r="AJ435" s="31" t="str">
        <f t="shared" si="259"/>
        <v>-16519.7905617091+1247.8742546231i</v>
      </c>
      <c r="AK435" s="31">
        <f t="shared" si="277"/>
        <v>16566.85457043926</v>
      </c>
      <c r="AL435" s="31">
        <f t="shared" si="278"/>
        <v>3.0661976973676159</v>
      </c>
      <c r="AM435" s="31" t="str">
        <f t="shared" si="260"/>
        <v>1+921137.231498832i</v>
      </c>
      <c r="AN435" s="31">
        <f t="shared" si="279"/>
        <v>921137.23149937484</v>
      </c>
      <c r="AO435" s="31">
        <f t="shared" si="280"/>
        <v>1.5707952411803261</v>
      </c>
      <c r="AP435" s="31" t="str">
        <f t="shared" si="261"/>
        <v>1+1079.53436463745i</v>
      </c>
      <c r="AQ435" s="31">
        <f t="shared" si="281"/>
        <v>1079.5348278000033</v>
      </c>
      <c r="AR435" s="31">
        <f t="shared" si="282"/>
        <v>1.5698700017544613</v>
      </c>
      <c r="AS435" s="58" t="str">
        <f t="shared" si="283"/>
        <v>-0.0484397605889793+0.64927865649998i</v>
      </c>
      <c r="AT435" s="49">
        <f t="shared" si="284"/>
        <v>-3.727271741351422</v>
      </c>
      <c r="AU435" s="61">
        <f t="shared" si="285"/>
        <v>94.266676071697063</v>
      </c>
      <c r="AV435" s="58" t="str">
        <f t="shared" si="262"/>
        <v>-0.125635974594125-0.00829740887802781i</v>
      </c>
      <c r="AW435" s="64">
        <f t="shared" si="286"/>
        <v>-17.998818257169699</v>
      </c>
      <c r="AX435" s="61">
        <f t="shared" si="287"/>
        <v>-176.22148736443219</v>
      </c>
    </row>
    <row r="436" spans="14:50" x14ac:dyDescent="0.4">
      <c r="N436" s="10">
        <v>18</v>
      </c>
      <c r="O436" s="50">
        <f t="shared" si="288"/>
        <v>151356.12484362084</v>
      </c>
      <c r="P436" s="48" t="str">
        <f t="shared" si="253"/>
        <v>5120.19230769231</v>
      </c>
      <c r="Q436" s="17" t="str">
        <f t="shared" si="254"/>
        <v>1+4444.08951699781i</v>
      </c>
      <c r="R436" s="17">
        <f t="shared" si="263"/>
        <v>4444.0896295067942</v>
      </c>
      <c r="S436" s="17">
        <f t="shared" si="264"/>
        <v>1.5705713088290574</v>
      </c>
      <c r="T436" s="17" t="str">
        <f t="shared" si="255"/>
        <v>1+0.0095004758118931i</v>
      </c>
      <c r="U436" s="17">
        <f t="shared" si="265"/>
        <v>1.0000451285020353</v>
      </c>
      <c r="V436" s="17">
        <f t="shared" si="266"/>
        <v>9.5001899927607547E-3</v>
      </c>
      <c r="W436" s="31" t="str">
        <f t="shared" si="256"/>
        <v>1-15.4061769922591i</v>
      </c>
      <c r="X436" s="17">
        <f t="shared" si="267"/>
        <v>15.438597394738087</v>
      </c>
      <c r="Y436" s="17">
        <f t="shared" si="268"/>
        <v>-1.5059782251991696</v>
      </c>
      <c r="Z436" s="31" t="str">
        <f t="shared" si="257"/>
        <v>-8.16347061107111+93.800071862466i</v>
      </c>
      <c r="AA436" s="17">
        <f t="shared" si="269"/>
        <v>94.154637346344273</v>
      </c>
      <c r="AB436" s="17">
        <f t="shared" si="270"/>
        <v>1.6576081246551848</v>
      </c>
      <c r="AC436" s="66" t="str">
        <f t="shared" si="271"/>
        <v>0.00231776471817442+0.18891067688758i</v>
      </c>
      <c r="AD436" s="64">
        <f t="shared" si="272"/>
        <v>-14.474216218783093</v>
      </c>
      <c r="AE436" s="61">
        <f t="shared" si="273"/>
        <v>89.297067399062826</v>
      </c>
      <c r="AF436" s="31" t="str">
        <f t="shared" si="258"/>
        <v>-10.0808080808081</v>
      </c>
      <c r="AG436" s="31" t="str">
        <f t="shared" si="274"/>
        <v>950998.579769078i</v>
      </c>
      <c r="AH436" s="31">
        <f t="shared" si="275"/>
        <v>950998.57976907794</v>
      </c>
      <c r="AI436" s="31">
        <f t="shared" si="276"/>
        <v>1.5707963267948966</v>
      </c>
      <c r="AJ436" s="31" t="str">
        <f t="shared" si="259"/>
        <v>-17298.3914335354+1276.94098000339i</v>
      </c>
      <c r="AK436" s="31">
        <f t="shared" si="277"/>
        <v>17345.458323556137</v>
      </c>
      <c r="AL436" s="31">
        <f t="shared" si="278"/>
        <v>3.067907818972349</v>
      </c>
      <c r="AM436" s="31" t="str">
        <f t="shared" si="260"/>
        <v>1+942593.27392165i</v>
      </c>
      <c r="AN436" s="31">
        <f t="shared" si="279"/>
        <v>942593.27392218041</v>
      </c>
      <c r="AO436" s="31">
        <f t="shared" si="280"/>
        <v>1.5707952658919306</v>
      </c>
      <c r="AP436" s="31" t="str">
        <f t="shared" si="261"/>
        <v>1+1104.67995025976i</v>
      </c>
      <c r="AQ436" s="31">
        <f t="shared" si="281"/>
        <v>1104.6804028794509</v>
      </c>
      <c r="AR436" s="31">
        <f t="shared" si="282"/>
        <v>1.5698910874750265</v>
      </c>
      <c r="AS436" s="58" t="str">
        <f t="shared" si="283"/>
        <v>-0.0462711755787372+0.634657622924764i</v>
      </c>
      <c r="AT436" s="49">
        <f t="shared" si="284"/>
        <v>-3.9261863076828298</v>
      </c>
      <c r="AU436" s="61">
        <f t="shared" si="285"/>
        <v>94.169902859958754</v>
      </c>
      <c r="AV436" s="58" t="str">
        <f t="shared" si="262"/>
        <v>-0.120000846836805-0.00727013205242784i</v>
      </c>
      <c r="AW436" s="64">
        <f t="shared" si="286"/>
        <v>-18.400402526465889</v>
      </c>
      <c r="AX436" s="61">
        <f t="shared" si="287"/>
        <v>-176.53302974097844</v>
      </c>
    </row>
    <row r="437" spans="14:50" x14ac:dyDescent="0.4">
      <c r="N437" s="10">
        <v>19</v>
      </c>
      <c r="O437" s="50">
        <f t="shared" si="288"/>
        <v>154881.66189124843</v>
      </c>
      <c r="P437" s="48" t="str">
        <f t="shared" si="253"/>
        <v>5120.19230769231</v>
      </c>
      <c r="Q437" s="17" t="str">
        <f t="shared" si="254"/>
        <v>1+4547.60565981223i</v>
      </c>
      <c r="R437" s="17">
        <f t="shared" si="263"/>
        <v>4547.6057697601973</v>
      </c>
      <c r="S437" s="17">
        <f t="shared" si="264"/>
        <v>1.5705764308631278</v>
      </c>
      <c r="T437" s="17" t="str">
        <f t="shared" si="255"/>
        <v>1+0.00972177032164303i</v>
      </c>
      <c r="U437" s="17">
        <f t="shared" si="265"/>
        <v>1.0000472552925621</v>
      </c>
      <c r="V437" s="17">
        <f t="shared" si="266"/>
        <v>9.721464061706514E-3</v>
      </c>
      <c r="W437" s="31" t="str">
        <f t="shared" si="256"/>
        <v>1-15.7650329540157i</v>
      </c>
      <c r="X437" s="17">
        <f t="shared" si="267"/>
        <v>15.796716875389045</v>
      </c>
      <c r="Y437" s="17">
        <f t="shared" si="268"/>
        <v>-1.5074496756627049</v>
      </c>
      <c r="Z437" s="31" t="str">
        <f t="shared" si="257"/>
        <v>-8.59533167607802+95.9849562122928i</v>
      </c>
      <c r="AA437" s="17">
        <f t="shared" si="269"/>
        <v>96.369038314686705</v>
      </c>
      <c r="AB437" s="17">
        <f t="shared" si="270"/>
        <v>1.6601068466289901</v>
      </c>
      <c r="AC437" s="66" t="str">
        <f t="shared" si="271"/>
        <v>0.00295709467725502+0.184542987462781i</v>
      </c>
      <c r="AD437" s="64">
        <f t="shared" si="272"/>
        <v>-14.676934090457266</v>
      </c>
      <c r="AE437" s="61">
        <f t="shared" si="273"/>
        <v>89.081977873795552</v>
      </c>
      <c r="AF437" s="31" t="str">
        <f t="shared" si="258"/>
        <v>-10.0808080808081</v>
      </c>
      <c r="AG437" s="31" t="str">
        <f t="shared" si="274"/>
        <v>973150.182346649i</v>
      </c>
      <c r="AH437" s="31">
        <f t="shared" si="275"/>
        <v>973150.182346649</v>
      </c>
      <c r="AI437" s="31">
        <f t="shared" si="276"/>
        <v>1.5707963267948966</v>
      </c>
      <c r="AJ437" s="31" t="str">
        <f t="shared" si="259"/>
        <v>-18113.6866339622+1306.68475639359i</v>
      </c>
      <c r="AK437" s="31">
        <f t="shared" si="277"/>
        <v>18160.756276267031</v>
      </c>
      <c r="AL437" s="31">
        <f t="shared" si="278"/>
        <v>3.0695794174150928</v>
      </c>
      <c r="AM437" s="31" t="str">
        <f t="shared" si="260"/>
        <v>1+964549.091775i</v>
      </c>
      <c r="AN437" s="31">
        <f t="shared" si="279"/>
        <v>964549.09177551826</v>
      </c>
      <c r="AO437" s="31">
        <f t="shared" si="280"/>
        <v>1.5707952900410305</v>
      </c>
      <c r="AP437" s="31" t="str">
        <f t="shared" si="261"/>
        <v>1+1130.41125181387i</v>
      </c>
      <c r="AQ437" s="31">
        <f t="shared" si="281"/>
        <v>1130.4116941306829</v>
      </c>
      <c r="AR437" s="31">
        <f t="shared" si="282"/>
        <v>1.5699116932267714</v>
      </c>
      <c r="AS437" s="58" t="str">
        <f t="shared" si="283"/>
        <v>-0.0441991806774616+0.620358907560855i</v>
      </c>
      <c r="AT437" s="49">
        <f t="shared" si="284"/>
        <v>-4.12514947325396</v>
      </c>
      <c r="AU437" s="61">
        <f t="shared" si="285"/>
        <v>94.075309330399051</v>
      </c>
      <c r="AV437" s="58" t="str">
        <f t="shared" si="262"/>
        <v>-0.114613587262348-0.00632218882209004i</v>
      </c>
      <c r="AW437" s="64">
        <f t="shared" si="286"/>
        <v>-18.802083563711207</v>
      </c>
      <c r="AX437" s="61">
        <f t="shared" si="287"/>
        <v>-176.8427127958054</v>
      </c>
    </row>
    <row r="438" spans="14:50" x14ac:dyDescent="0.4">
      <c r="N438" s="10">
        <v>20</v>
      </c>
      <c r="O438" s="50">
        <f t="shared" si="288"/>
        <v>158489.31924611164</v>
      </c>
      <c r="P438" s="48" t="str">
        <f t="shared" si="253"/>
        <v>5120.19230769231</v>
      </c>
      <c r="Q438" s="17" t="str">
        <f t="shared" si="254"/>
        <v>1+4653.53300334214i</v>
      </c>
      <c r="R438" s="17">
        <f t="shared" si="263"/>
        <v>4653.5331107873844</v>
      </c>
      <c r="S438" s="17">
        <f t="shared" si="264"/>
        <v>1.5705814363054793</v>
      </c>
      <c r="T438" s="17" t="str">
        <f t="shared" si="255"/>
        <v>1+0.00994821944270032i</v>
      </c>
      <c r="U438" s="17">
        <f t="shared" si="265"/>
        <v>1.0000494823107906</v>
      </c>
      <c r="V438" s="17">
        <f t="shared" si="266"/>
        <v>9.9478912801428867E-3</v>
      </c>
      <c r="W438" s="31" t="str">
        <f t="shared" si="256"/>
        <v>1-16.1322477449194i</v>
      </c>
      <c r="X438" s="17">
        <f t="shared" si="267"/>
        <v>16.163211849860073</v>
      </c>
      <c r="Y438" s="17">
        <f t="shared" si="268"/>
        <v>-1.508887897292045</v>
      </c>
      <c r="Z438" s="31" t="str">
        <f t="shared" si="257"/>
        <v>-9.0475457260384+98.2207330564141i</v>
      </c>
      <c r="AA438" s="17">
        <f t="shared" si="269"/>
        <v>98.636557552482103</v>
      </c>
      <c r="AB438" s="17">
        <f t="shared" si="270"/>
        <v>1.6626515315398025</v>
      </c>
      <c r="AC438" s="66" t="str">
        <f t="shared" si="271"/>
        <v>0.00356697726260548+0.180272596439119i</v>
      </c>
      <c r="AD438" s="64">
        <f t="shared" si="272"/>
        <v>-14.879705755589933</v>
      </c>
      <c r="AE438" s="61">
        <f t="shared" si="273"/>
        <v>88.8664606721117</v>
      </c>
      <c r="AF438" s="31" t="str">
        <f t="shared" si="258"/>
        <v>-10.0808080808081</v>
      </c>
      <c r="AG438" s="31" t="str">
        <f t="shared" si="274"/>
        <v>995817.762032063i</v>
      </c>
      <c r="AH438" s="31">
        <f t="shared" si="275"/>
        <v>995817.76203206298</v>
      </c>
      <c r="AI438" s="31">
        <f t="shared" si="276"/>
        <v>1.5707963267948966</v>
      </c>
      <c r="AJ438" s="31" t="str">
        <f t="shared" si="259"/>
        <v>-18967.4055134178+1337.12135433765i</v>
      </c>
      <c r="AK438" s="31">
        <f t="shared" si="277"/>
        <v>19014.477784747542</v>
      </c>
      <c r="AL438" s="31">
        <f t="shared" si="278"/>
        <v>3.0712133428077628</v>
      </c>
      <c r="AM438" s="31" t="str">
        <f t="shared" si="260"/>
        <v>1+987016.326324122i</v>
      </c>
      <c r="AN438" s="31">
        <f t="shared" si="279"/>
        <v>987016.32632462878</v>
      </c>
      <c r="AO438" s="31">
        <f t="shared" si="280"/>
        <v>1.5707953136404296</v>
      </c>
      <c r="AP438" s="31" t="str">
        <f t="shared" si="261"/>
        <v>1+1156.74191237645i</v>
      </c>
      <c r="AQ438" s="31">
        <f t="shared" si="281"/>
        <v>1156.742344624907</v>
      </c>
      <c r="AR438" s="31">
        <f t="shared" si="282"/>
        <v>1.569931829935068</v>
      </c>
      <c r="AS438" s="58" t="str">
        <f t="shared" si="283"/>
        <v>-0.0422195170231103+0.606375866379716i</v>
      </c>
      <c r="AT438" s="49">
        <f t="shared" si="284"/>
        <v>-4.3241590729178645</v>
      </c>
      <c r="AU438" s="61">
        <f t="shared" si="285"/>
        <v>93.982847401904465</v>
      </c>
      <c r="AV438" s="58" t="str">
        <f t="shared" si="262"/>
        <v>-0.109463547907551-0.00544809302619253i</v>
      </c>
      <c r="AW438" s="64">
        <f t="shared" si="286"/>
        <v>-19.203864828507822</v>
      </c>
      <c r="AX438" s="61">
        <f t="shared" si="287"/>
        <v>-177.15069192598384</v>
      </c>
    </row>
    <row r="439" spans="14:50" x14ac:dyDescent="0.4">
      <c r="N439" s="10">
        <v>21</v>
      </c>
      <c r="O439" s="50">
        <f t="shared" si="288"/>
        <v>162181.00973589328</v>
      </c>
      <c r="P439" s="48" t="str">
        <f t="shared" si="253"/>
        <v>5120.19230769231</v>
      </c>
      <c r="Q439" s="17" t="str">
        <f t="shared" si="254"/>
        <v>1+4761.92771166721i</v>
      </c>
      <c r="R439" s="17">
        <f t="shared" si="263"/>
        <v>4761.9278166667027</v>
      </c>
      <c r="S439" s="17">
        <f t="shared" si="264"/>
        <v>1.5705863278100631</v>
      </c>
      <c r="T439" s="17" t="str">
        <f t="shared" si="255"/>
        <v>1+0.0101799432413863i</v>
      </c>
      <c r="U439" s="17">
        <f t="shared" si="265"/>
        <v>1.0000518142798391</v>
      </c>
      <c r="V439" s="17">
        <f t="shared" si="266"/>
        <v>1.0179591609854714E-2</v>
      </c>
      <c r="W439" s="31" t="str">
        <f t="shared" si="256"/>
        <v>1-16.508016067113i</v>
      </c>
      <c r="X439" s="17">
        <f t="shared" si="267"/>
        <v>16.538276647585171</v>
      </c>
      <c r="Y439" s="17">
        <f t="shared" si="268"/>
        <v>-1.5102936288384301</v>
      </c>
      <c r="Z439" s="31" t="str">
        <f t="shared" si="257"/>
        <v>-9.5210719675815+100.508587833307i</v>
      </c>
      <c r="AA439" s="17">
        <f t="shared" si="269"/>
        <v>100.95854119220155</v>
      </c>
      <c r="AB439" s="17">
        <f t="shared" si="270"/>
        <v>1.6652434301849082</v>
      </c>
      <c r="AC439" s="66" t="str">
        <f t="shared" si="271"/>
        <v>0.00414870626189328+0.17609728572643i</v>
      </c>
      <c r="AD439" s="64">
        <f t="shared" si="272"/>
        <v>-15.082536943592018</v>
      </c>
      <c r="AE439" s="61">
        <f t="shared" si="273"/>
        <v>88.65040852252136</v>
      </c>
      <c r="AF439" s="31" t="str">
        <f t="shared" si="258"/>
        <v>-10.0808080808081</v>
      </c>
      <c r="AG439" s="31" t="str">
        <f t="shared" si="274"/>
        <v>1019013.33747611i</v>
      </c>
      <c r="AH439" s="31">
        <f t="shared" si="275"/>
        <v>1019013.33747611</v>
      </c>
      <c r="AI439" s="31">
        <f t="shared" si="276"/>
        <v>1.5707963267948966</v>
      </c>
      <c r="AJ439" s="31" t="str">
        <f t="shared" si="259"/>
        <v>-19861.3589241058+1368.26691172267i</v>
      </c>
      <c r="AK439" s="31">
        <f t="shared" si="277"/>
        <v>19908.433706695065</v>
      </c>
      <c r="AL439" s="31">
        <f t="shared" si="278"/>
        <v>3.0728104276794896</v>
      </c>
      <c r="AM439" s="31" t="str">
        <f t="shared" si="260"/>
        <v>1+1010006.88999416i</v>
      </c>
      <c r="AN439" s="31">
        <f t="shared" si="279"/>
        <v>1010006.8899946553</v>
      </c>
      <c r="AO439" s="31">
        <f t="shared" si="280"/>
        <v>1.5707953367026408</v>
      </c>
      <c r="AP439" s="31" t="str">
        <f t="shared" si="261"/>
        <v>1+1183.68589281225i</v>
      </c>
      <c r="AQ439" s="31">
        <f t="shared" si="281"/>
        <v>1183.6863152215342</v>
      </c>
      <c r="AR439" s="31">
        <f t="shared" si="282"/>
        <v>1.5699515082766002</v>
      </c>
      <c r="AS439" s="58" t="str">
        <f t="shared" si="283"/>
        <v>-0.0403281097398498+0.592701961188397i</v>
      </c>
      <c r="AT439" s="49">
        <f t="shared" si="284"/>
        <v>-4.5232130370381851</v>
      </c>
      <c r="AU439" s="61">
        <f t="shared" si="285"/>
        <v>93.892469986515295</v>
      </c>
      <c r="AV439" s="58" t="str">
        <f t="shared" si="262"/>
        <v>-0.104540516091417-0.00464272432584642i</v>
      </c>
      <c r="AW439" s="64">
        <f t="shared" si="286"/>
        <v>-19.605749980630168</v>
      </c>
      <c r="AX439" s="61">
        <f t="shared" si="287"/>
        <v>-177.45712149096335</v>
      </c>
    </row>
    <row r="440" spans="14:50" x14ac:dyDescent="0.4">
      <c r="N440" s="10">
        <v>22</v>
      </c>
      <c r="O440" s="50">
        <f t="shared" si="288"/>
        <v>165958.69074375604</v>
      </c>
      <c r="P440" s="48" t="str">
        <f t="shared" si="253"/>
        <v>5120.19230769231</v>
      </c>
      <c r="Q440" s="17" t="str">
        <f t="shared" si="254"/>
        <v>1+4872.8472570966i</v>
      </c>
      <c r="R440" s="17">
        <f t="shared" si="263"/>
        <v>4872.8473597060129</v>
      </c>
      <c r="S440" s="17">
        <f t="shared" si="264"/>
        <v>1.5705911079704187</v>
      </c>
      <c r="T440" s="17" t="str">
        <f t="shared" si="255"/>
        <v>1+0.0104170645807265i</v>
      </c>
      <c r="U440" s="17">
        <f t="shared" si="265"/>
        <v>1.0000542561453749</v>
      </c>
      <c r="V440" s="17">
        <f t="shared" si="266"/>
        <v>1.0416687801856091E-2</v>
      </c>
      <c r="W440" s="31" t="str">
        <f t="shared" si="256"/>
        <v>1-16.8925371579349i</v>
      </c>
      <c r="X440" s="17">
        <f t="shared" si="267"/>
        <v>16.92211014123863</v>
      </c>
      <c r="Y440" s="17">
        <f t="shared" si="268"/>
        <v>-1.5116675934040689</v>
      </c>
      <c r="Z440" s="31" t="str">
        <f t="shared" si="257"/>
        <v>-10.0169148133527+102.849733593858i</v>
      </c>
      <c r="AA440" s="17">
        <f t="shared" si="269"/>
        <v>103.33637444145951</v>
      </c>
      <c r="AB440" s="17">
        <f t="shared" si="270"/>
        <v>1.6678838115213224</v>
      </c>
      <c r="AC440" s="66" t="str">
        <f t="shared" si="271"/>
        <v>0.00470351591423666+0.172014885230189i</v>
      </c>
      <c r="AD440" s="64">
        <f t="shared" si="272"/>
        <v>-15.28543349945766</v>
      </c>
      <c r="AE440" s="61">
        <f t="shared" si="273"/>
        <v>88.433714172954637</v>
      </c>
      <c r="AF440" s="31" t="str">
        <f t="shared" si="258"/>
        <v>-10.0808080808081</v>
      </c>
      <c r="AG440" s="31" t="str">
        <f t="shared" si="274"/>
        <v>1042749.20727993i</v>
      </c>
      <c r="AH440" s="31">
        <f t="shared" si="275"/>
        <v>1042749.20727993</v>
      </c>
      <c r="AI440" s="31">
        <f t="shared" si="276"/>
        <v>1.5707963267948966</v>
      </c>
      <c r="AJ440" s="31" t="str">
        <f t="shared" si="259"/>
        <v>-20797.4430610648+1400.13794233543i</v>
      </c>
      <c r="AK440" s="31">
        <f t="shared" si="277"/>
        <v>20844.520242399434</v>
      </c>
      <c r="AL440" s="31">
        <f t="shared" si="278"/>
        <v>3.0743714872609389</v>
      </c>
      <c r="AM440" s="31" t="str">
        <f t="shared" si="260"/>
        <v>1+1033532.97268631i</v>
      </c>
      <c r="AN440" s="31">
        <f t="shared" si="279"/>
        <v>1033532.9726867938</v>
      </c>
      <c r="AO440" s="31">
        <f t="shared" si="280"/>
        <v>1.5707953592398922</v>
      </c>
      <c r="AP440" s="31" t="str">
        <f t="shared" si="261"/>
        <v>1+1211.25747917637i</v>
      </c>
      <c r="AQ440" s="31">
        <f t="shared" si="281"/>
        <v>1211.2578919704483</v>
      </c>
      <c r="AR440" s="31">
        <f t="shared" si="282"/>
        <v>1.5699707386850248</v>
      </c>
      <c r="AS440" s="58" t="str">
        <f t="shared" si="283"/>
        <v>-0.0385210603234589+0.579330760160193i</v>
      </c>
      <c r="AT440" s="49">
        <f t="shared" si="284"/>
        <v>-4.7223093873582833</v>
      </c>
      <c r="AU440" s="61">
        <f t="shared" si="285"/>
        <v>93.804130973460204</v>
      </c>
      <c r="AV440" s="58" t="str">
        <f t="shared" si="262"/>
        <v>-0.0998346986395384-0.00390130432046468i</v>
      </c>
      <c r="AW440" s="64">
        <f t="shared" si="286"/>
        <v>-20.007742886815944</v>
      </c>
      <c r="AX440" s="61">
        <f t="shared" si="287"/>
        <v>-177.76215485358514</v>
      </c>
    </row>
    <row r="441" spans="14:50" x14ac:dyDescent="0.4">
      <c r="N441" s="10">
        <v>23</v>
      </c>
      <c r="O441" s="50">
        <f t="shared" si="288"/>
        <v>169824.36524617471</v>
      </c>
      <c r="P441" s="48" t="str">
        <f t="shared" si="253"/>
        <v>5120.19230769231</v>
      </c>
      <c r="Q441" s="17" t="str">
        <f t="shared" si="254"/>
        <v>1+4986.35045064143i</v>
      </c>
      <c r="R441" s="17">
        <f t="shared" si="263"/>
        <v>4986.3505509151682</v>
      </c>
      <c r="S441" s="17">
        <f t="shared" si="264"/>
        <v>1.5705957793210492</v>
      </c>
      <c r="T441" s="17" t="str">
        <f t="shared" si="255"/>
        <v>1+0.0106597091855935i</v>
      </c>
      <c r="U441" s="17">
        <f t="shared" si="265"/>
        <v>1.0000568130860974</v>
      </c>
      <c r="V441" s="17">
        <f t="shared" si="266"/>
        <v>1.0659305460998768E-2</v>
      </c>
      <c r="W441" s="31" t="str">
        <f t="shared" si="256"/>
        <v>1-17.2860148955569i</v>
      </c>
      <c r="X441" s="17">
        <f t="shared" si="267"/>
        <v>17.314915852218714</v>
      </c>
      <c r="Y441" s="17">
        <f t="shared" si="268"/>
        <v>-1.5130104987215074</v>
      </c>
      <c r="Z441" s="31" t="str">
        <f t="shared" si="257"/>
        <v>-10.5361260125064+105.245411644537i</v>
      </c>
      <c r="AA441" s="17">
        <f t="shared" si="269"/>
        <v>105.77148303573821</v>
      </c>
      <c r="AB441" s="17">
        <f t="shared" si="270"/>
        <v>1.6705739628641207</v>
      </c>
      <c r="AC441" s="66" t="str">
        <f t="shared" si="271"/>
        <v>0.00523258353037041+0.168023271907062i</v>
      </c>
      <c r="AD441" s="64">
        <f t="shared" si="272"/>
        <v>-15.488401394845647</v>
      </c>
      <c r="AE441" s="61">
        <f t="shared" si="273"/>
        <v>88.216270367014403</v>
      </c>
      <c r="AF441" s="31" t="str">
        <f t="shared" si="258"/>
        <v>-10.0808080808081</v>
      </c>
      <c r="AG441" s="31" t="str">
        <f t="shared" si="274"/>
        <v>1067037.95651586i</v>
      </c>
      <c r="AH441" s="31">
        <f t="shared" si="275"/>
        <v>1067037.95651586</v>
      </c>
      <c r="AI441" s="31">
        <f t="shared" si="276"/>
        <v>1.5707963267948966</v>
      </c>
      <c r="AJ441" s="31" t="str">
        <f t="shared" si="259"/>
        <v>-21777.6434842519+1432.75134461824i</v>
      </c>
      <c r="AK441" s="31">
        <f t="shared" si="277"/>
        <v>21824.722956836922</v>
      </c>
      <c r="AL441" s="31">
        <f t="shared" si="278"/>
        <v>3.0758973197696653</v>
      </c>
      <c r="AM441" s="31" t="str">
        <f t="shared" si="260"/>
        <v>1+1057607.04824099i</v>
      </c>
      <c r="AN441" s="31">
        <f t="shared" si="279"/>
        <v>1057607.0482414626</v>
      </c>
      <c r="AO441" s="31">
        <f t="shared" si="280"/>
        <v>1.5707953812641329</v>
      </c>
      <c r="AP441" s="31" t="str">
        <f t="shared" si="261"/>
        <v>1+1239.47129028882i</v>
      </c>
      <c r="AQ441" s="31">
        <f t="shared" si="281"/>
        <v>1239.4716936865611</v>
      </c>
      <c r="AR441" s="31">
        <f t="shared" si="282"/>
        <v>1.5699895313565013</v>
      </c>
      <c r="AS441" s="58" t="str">
        <f t="shared" si="283"/>
        <v>-0.0367946393122069+0.566255938166568i</v>
      </c>
      <c r="AT441" s="49">
        <f t="shared" si="284"/>
        <v>-4.92144623304379</v>
      </c>
      <c r="AU441" s="61">
        <f t="shared" si="285"/>
        <v>93.717785213123776</v>
      </c>
      <c r="AV441" s="58" t="str">
        <f t="shared" si="262"/>
        <v>-0.0953367064912207-0.00321937418985238i</v>
      </c>
      <c r="AW441" s="64">
        <f t="shared" si="286"/>
        <v>-20.409847627889441</v>
      </c>
      <c r="AX441" s="61">
        <f t="shared" si="287"/>
        <v>-178.06594441986184</v>
      </c>
    </row>
    <row r="442" spans="14:50" x14ac:dyDescent="0.4">
      <c r="N442" s="10">
        <v>24</v>
      </c>
      <c r="O442" s="50">
        <f t="shared" si="288"/>
        <v>173780.0828749378</v>
      </c>
      <c r="P442" s="48" t="str">
        <f t="shared" si="253"/>
        <v>5120.19230769231</v>
      </c>
      <c r="Q442" s="17" t="str">
        <f t="shared" si="254"/>
        <v>1+5102.49747319737i</v>
      </c>
      <c r="R442" s="17">
        <f t="shared" si="263"/>
        <v>5102.4975711885982</v>
      </c>
      <c r="S442" s="17">
        <f t="shared" si="264"/>
        <v>1.5706003443387662</v>
      </c>
      <c r="T442" s="17" t="str">
        <f t="shared" si="255"/>
        <v>1+0.0109080057093686i</v>
      </c>
      <c r="U442" s="17">
        <f t="shared" si="265"/>
        <v>1.0000594905247167</v>
      </c>
      <c r="V442" s="17">
        <f t="shared" si="266"/>
        <v>1.0907573112061197E-2</v>
      </c>
      <c r="W442" s="31" t="str">
        <f t="shared" si="256"/>
        <v>1-17.6886579070842i</v>
      </c>
      <c r="X442" s="17">
        <f t="shared" si="267"/>
        <v>17.716902058595132</v>
      </c>
      <c r="Y442" s="17">
        <f t="shared" si="268"/>
        <v>-1.5143230374316592</v>
      </c>
      <c r="Z442" s="31" t="str">
        <f t="shared" si="257"/>
        <v>-11.0798068816081+107.696892205558i</v>
      </c>
      <c r="AA442" s="17">
        <f t="shared" si="269"/>
        <v>108.26533476265296</v>
      </c>
      <c r="AB442" s="17">
        <f t="shared" si="270"/>
        <v>1.6733151900628038</v>
      </c>
      <c r="AC442" s="66" t="str">
        <f t="shared" si="271"/>
        <v>0.00573703199344397+0.164120368834596i</v>
      </c>
      <c r="AD442" s="64">
        <f t="shared" si="272"/>
        <v>-15.691446739333596</v>
      </c>
      <c r="AE442" s="61">
        <f t="shared" si="273"/>
        <v>87.997969821651068</v>
      </c>
      <c r="AF442" s="31" t="str">
        <f t="shared" si="258"/>
        <v>-10.0808080808081</v>
      </c>
      <c r="AG442" s="31" t="str">
        <f t="shared" si="274"/>
        <v>1091892.46340026i</v>
      </c>
      <c r="AH442" s="31">
        <f t="shared" si="275"/>
        <v>1091892.4634002601</v>
      </c>
      <c r="AI442" s="31">
        <f t="shared" si="276"/>
        <v>1.5707963267948966</v>
      </c>
      <c r="AJ442" s="31" t="str">
        <f t="shared" si="259"/>
        <v>-22804.0393301832+1466.12441062867i</v>
      </c>
      <c r="AK442" s="31">
        <f t="shared" si="277"/>
        <v>22851.120991320829</v>
      </c>
      <c r="AL442" s="31">
        <f t="shared" si="278"/>
        <v>3.0773887066960186</v>
      </c>
      <c r="AM442" s="31" t="str">
        <f t="shared" si="260"/>
        <v>1+1082241.88105175i</v>
      </c>
      <c r="AN442" s="31">
        <f t="shared" si="279"/>
        <v>1082241.8810522119</v>
      </c>
      <c r="AO442" s="31">
        <f t="shared" si="280"/>
        <v>1.5707954027870408</v>
      </c>
      <c r="AP442" s="31" t="str">
        <f t="shared" si="261"/>
        <v>1+1268.34228548574i</v>
      </c>
      <c r="AQ442" s="31">
        <f t="shared" si="281"/>
        <v>1268.3426797010302</v>
      </c>
      <c r="AR442" s="31">
        <f t="shared" si="282"/>
        <v>1.5700078962551001</v>
      </c>
      <c r="AS442" s="58" t="str">
        <f t="shared" si="283"/>
        <v>-0.0351452792352353+0.553471276926603i</v>
      </c>
      <c r="AT442" s="49">
        <f t="shared" si="284"/>
        <v>-5.120621766887421</v>
      </c>
      <c r="AU442" s="61">
        <f t="shared" si="285"/>
        <v>93.633388500975386</v>
      </c>
      <c r="AV442" s="58" t="str">
        <f t="shared" si="262"/>
        <v>-0.09103753969994-0.00259277376770148i</v>
      </c>
      <c r="AW442" s="64">
        <f t="shared" si="286"/>
        <v>-20.812068506221017</v>
      </c>
      <c r="AX442" s="61">
        <f t="shared" si="287"/>
        <v>-178.36864167737355</v>
      </c>
    </row>
    <row r="443" spans="14:50" x14ac:dyDescent="0.4">
      <c r="N443" s="10">
        <v>25</v>
      </c>
      <c r="O443" s="50">
        <f t="shared" si="288"/>
        <v>177827.94100389251</v>
      </c>
      <c r="P443" s="48" t="str">
        <f t="shared" si="253"/>
        <v>5120.19230769231</v>
      </c>
      <c r="Q443" s="17" t="str">
        <f t="shared" si="254"/>
        <v>1+5221.34990745314i</v>
      </c>
      <c r="R443" s="17">
        <f t="shared" si="263"/>
        <v>5221.3500032138163</v>
      </c>
      <c r="S443" s="17">
        <f t="shared" si="264"/>
        <v>1.5706048054440012</v>
      </c>
      <c r="T443" s="17" t="str">
        <f t="shared" si="255"/>
        <v>1+0.0111620858021554i</v>
      </c>
      <c r="U443" s="17">
        <f t="shared" si="265"/>
        <v>1.0000622941394475</v>
      </c>
      <c r="V443" s="17">
        <f t="shared" si="266"/>
        <v>1.1161622267348551E-2</v>
      </c>
      <c r="W443" s="31" t="str">
        <f t="shared" si="256"/>
        <v>1-18.1006796791709i</v>
      </c>
      <c r="X443" s="17">
        <f t="shared" si="267"/>
        <v>18.128281905573687</v>
      </c>
      <c r="Y443" s="17">
        <f t="shared" si="268"/>
        <v>-1.5156058873601941</v>
      </c>
      <c r="Z443" s="31" t="str">
        <f t="shared" si="257"/>
        <v>-11.6491106406737+110.205475084364i</v>
      </c>
      <c r="AA443" s="17">
        <f t="shared" si="269"/>
        <v>110.81944106197717</v>
      </c>
      <c r="AB443" s="17">
        <f t="shared" si="270"/>
        <v>1.6761088176537384</v>
      </c>
      <c r="AC443" s="66" t="str">
        <f t="shared" si="271"/>
        <v>0.00621793214577029+0.160304144295445i</v>
      </c>
      <c r="AD443" s="64">
        <f t="shared" si="272"/>
        <v>-15.894575791858101</v>
      </c>
      <c r="AE443" s="61">
        <f t="shared" si="273"/>
        <v>87.778705206390427</v>
      </c>
      <c r="AF443" s="31" t="str">
        <f t="shared" si="258"/>
        <v>-10.0808080808081</v>
      </c>
      <c r="AG443" s="31" t="str">
        <f t="shared" si="274"/>
        <v>1117325.90612166i</v>
      </c>
      <c r="AH443" s="31">
        <f t="shared" si="275"/>
        <v>1117325.90612166</v>
      </c>
      <c r="AI443" s="31">
        <f t="shared" si="276"/>
        <v>1.5707963267948966</v>
      </c>
      <c r="AJ443" s="31" t="str">
        <f t="shared" si="259"/>
        <v>-23878.8077220585+1500.27483520807i</v>
      </c>
      <c r="AK443" s="31">
        <f t="shared" si="277"/>
        <v>23925.89147363582</v>
      </c>
      <c r="AL443" s="31">
        <f t="shared" si="278"/>
        <v>3.0788464130891073</v>
      </c>
      <c r="AM443" s="31" t="str">
        <f t="shared" si="260"/>
        <v>1+1107450.532833i</v>
      </c>
      <c r="AN443" s="31">
        <f t="shared" si="279"/>
        <v>1107450.5328334514</v>
      </c>
      <c r="AO443" s="31">
        <f t="shared" si="280"/>
        <v>1.5707954238200275</v>
      </c>
      <c r="AP443" s="31" t="str">
        <f t="shared" si="261"/>
        <v>1+1297.88577255092i</v>
      </c>
      <c r="AQ443" s="31">
        <f t="shared" si="281"/>
        <v>1297.8861577927773</v>
      </c>
      <c r="AR443" s="31">
        <f t="shared" si="282"/>
        <v>1.5700258431180836</v>
      </c>
      <c r="AS443" s="58" t="str">
        <f t="shared" si="283"/>
        <v>-0.0335695678304036+0.54097066498858i</v>
      </c>
      <c r="AT443" s="49">
        <f t="shared" si="284"/>
        <v>-5.31983426167427</v>
      </c>
      <c r="AU443" s="61">
        <f t="shared" si="285"/>
        <v>93.550897561488</v>
      </c>
      <c r="AV443" s="58" t="str">
        <f t="shared" si="262"/>
        <v>-0.0869285728348645-0.00201762195766953i</v>
      </c>
      <c r="AW443" s="64">
        <f t="shared" si="286"/>
        <v>-21.214410053532369</v>
      </c>
      <c r="AX443" s="61">
        <f t="shared" si="287"/>
        <v>-178.67039723212159</v>
      </c>
    </row>
    <row r="444" spans="14:50" x14ac:dyDescent="0.4">
      <c r="N444" s="10">
        <v>26</v>
      </c>
      <c r="O444" s="50">
        <f t="shared" si="288"/>
        <v>181970.08586099857</v>
      </c>
      <c r="P444" s="48" t="str">
        <f t="shared" si="253"/>
        <v>5120.19230769231</v>
      </c>
      <c r="Q444" s="17" t="str">
        <f t="shared" si="254"/>
        <v>1+5342.97077054253i</v>
      </c>
      <c r="R444" s="17">
        <f t="shared" si="263"/>
        <v>5342.9708641234265</v>
      </c>
      <c r="S444" s="17">
        <f t="shared" si="264"/>
        <v>1.5706091650020908</v>
      </c>
      <c r="T444" s="17" t="str">
        <f t="shared" si="255"/>
        <v>1+0.011422084180582i</v>
      </c>
      <c r="U444" s="17">
        <f t="shared" si="265"/>
        <v>1.0000652298760457</v>
      </c>
      <c r="V444" s="17">
        <f t="shared" si="266"/>
        <v>1.1421587495837505E-2</v>
      </c>
      <c r="W444" s="31" t="str">
        <f t="shared" si="256"/>
        <v>1-18.5222986712141i</v>
      </c>
      <c r="X444" s="17">
        <f t="shared" si="267"/>
        <v>18.549273518541352</v>
      </c>
      <c r="Y444" s="17">
        <f t="shared" si="268"/>
        <v>-1.5168597117920302</v>
      </c>
      <c r="Z444" s="31" t="str">
        <f t="shared" si="257"/>
        <v>-12.2452448593036+112.7724903648i</v>
      </c>
      <c r="AA444" s="17">
        <f t="shared" si="269"/>
        <v>113.43535870593089</v>
      </c>
      <c r="AB444" s="17">
        <f t="shared" si="270"/>
        <v>1.6789561889866438</v>
      </c>
      <c r="AC444" s="66" t="str">
        <f t="shared" si="271"/>
        <v>0.00667630506662464+0.156572610876513i</v>
      </c>
      <c r="AD444" s="64">
        <f t="shared" si="272"/>
        <v>-16.097794972352261</v>
      </c>
      <c r="AE444" s="61">
        <f t="shared" si="273"/>
        <v>87.558369124247278</v>
      </c>
      <c r="AF444" s="31" t="str">
        <f t="shared" si="258"/>
        <v>-10.0808080808081</v>
      </c>
      <c r="AG444" s="31" t="str">
        <f t="shared" si="274"/>
        <v>1143351.76982803i</v>
      </c>
      <c r="AH444" s="31">
        <f t="shared" si="275"/>
        <v>1143351.7698280299</v>
      </c>
      <c r="AI444" s="31">
        <f t="shared" si="276"/>
        <v>1.5707963267948966</v>
      </c>
      <c r="AJ444" s="31" t="str">
        <f t="shared" si="259"/>
        <v>-25004.2283877334+1535.22072536358i</v>
      </c>
      <c r="AK444" s="31">
        <f t="shared" si="277"/>
        <v>25051.314136019264</v>
      </c>
      <c r="AL444" s="31">
        <f t="shared" si="278"/>
        <v>3.0802711878424383</v>
      </c>
      <c r="AM444" s="31" t="str">
        <f t="shared" si="260"/>
        <v>1+1133246.36954559i</v>
      </c>
      <c r="AN444" s="31">
        <f t="shared" si="279"/>
        <v>1133246.3695460313</v>
      </c>
      <c r="AO444" s="31">
        <f t="shared" si="280"/>
        <v>1.5707954443742449</v>
      </c>
      <c r="AP444" s="31" t="str">
        <f t="shared" si="261"/>
        <v>1+1328.11741583224i</v>
      </c>
      <c r="AQ444" s="31">
        <f t="shared" si="281"/>
        <v>1328.1177923049249</v>
      </c>
      <c r="AR444" s="31">
        <f t="shared" si="282"/>
        <v>1.5700433814610701</v>
      </c>
      <c r="AS444" s="58" t="str">
        <f t="shared" si="283"/>
        <v>-0.0320642415235401+0.52874809755785i</v>
      </c>
      <c r="AT444" s="49">
        <f t="shared" si="284"/>
        <v>-5.5190820666987994</v>
      </c>
      <c r="AU444" s="61">
        <f t="shared" si="285"/>
        <v>93.470270032068058</v>
      </c>
      <c r="AV444" s="58" t="str">
        <f t="shared" si="262"/>
        <v>-0.0830015407887629-0.00149029840842216i</v>
      </c>
      <c r="AW444" s="64">
        <f t="shared" si="286"/>
        <v>-21.616877039051055</v>
      </c>
      <c r="AX444" s="61">
        <f t="shared" si="287"/>
        <v>-178.97136084368466</v>
      </c>
    </row>
    <row r="445" spans="14:50" x14ac:dyDescent="0.4">
      <c r="N445" s="10">
        <v>27</v>
      </c>
      <c r="O445" s="50">
        <f t="shared" si="288"/>
        <v>186208.71366628664</v>
      </c>
      <c r="P445" s="48" t="str">
        <f t="shared" si="253"/>
        <v>5120.19230769231</v>
      </c>
      <c r="Q445" s="17" t="str">
        <f t="shared" si="254"/>
        <v>1+5467.42454745707i</v>
      </c>
      <c r="R445" s="17">
        <f t="shared" si="263"/>
        <v>5467.4246389078053</v>
      </c>
      <c r="S445" s="17">
        <f t="shared" si="264"/>
        <v>1.5706134253245299</v>
      </c>
      <c r="T445" s="17" t="str">
        <f t="shared" si="255"/>
        <v>1+0.0116881386992304i</v>
      </c>
      <c r="U445" s="17">
        <f t="shared" si="265"/>
        <v>1.0000683039604108</v>
      </c>
      <c r="V445" s="17">
        <f t="shared" si="266"/>
        <v>1.1687606493901227E-2</v>
      </c>
      <c r="W445" s="31" t="str">
        <f t="shared" si="256"/>
        <v>1-18.9537384311845i</v>
      </c>
      <c r="X445" s="17">
        <f t="shared" si="267"/>
        <v>18.980100118749643</v>
      </c>
      <c r="Y445" s="17">
        <f t="shared" si="268"/>
        <v>-1.518085159743688</v>
      </c>
      <c r="Z445" s="31" t="str">
        <f t="shared" si="257"/>
        <v>-12.8694740181012+115.399299112349i</v>
      </c>
      <c r="AA445" s="17">
        <f t="shared" si="269"/>
        <v>116.11469156452155</v>
      </c>
      <c r="AB445" s="17">
        <f t="shared" si="270"/>
        <v>1.68185866632293</v>
      </c>
      <c r="AC445" s="66" t="str">
        <f t="shared" si="271"/>
        <v>0.00711312424596242+0.152923824583307i</v>
      </c>
      <c r="AD445" s="64">
        <f t="shared" si="272"/>
        <v>-16.301110873594158</v>
      </c>
      <c r="AE445" s="61">
        <f t="shared" si="273"/>
        <v>87.336854094467</v>
      </c>
      <c r="AF445" s="31" t="str">
        <f t="shared" si="258"/>
        <v>-10.0808080808081</v>
      </c>
      <c r="AG445" s="31" t="str">
        <f t="shared" si="274"/>
        <v>1169983.85377682i</v>
      </c>
      <c r="AH445" s="31">
        <f t="shared" si="275"/>
        <v>1169983.85377682</v>
      </c>
      <c r="AI445" s="31">
        <f t="shared" si="276"/>
        <v>1.5707963267948966</v>
      </c>
      <c r="AJ445" s="31" t="str">
        <f t="shared" si="259"/>
        <v>-26182.6884953284+1570.98060986873i</v>
      </c>
      <c r="AK445" s="31">
        <f t="shared" si="277"/>
        <v>26229.776150779206</v>
      </c>
      <c r="AL445" s="31">
        <f t="shared" si="278"/>
        <v>3.0816637639788143</v>
      </c>
      <c r="AM445" s="31" t="str">
        <f t="shared" si="260"/>
        <v>1+1159643.0684836i</v>
      </c>
      <c r="AN445" s="31">
        <f t="shared" si="279"/>
        <v>1159643.0684840309</v>
      </c>
      <c r="AO445" s="31">
        <f t="shared" si="280"/>
        <v>1.5707954644605913</v>
      </c>
      <c r="AP445" s="31" t="str">
        <f t="shared" si="261"/>
        <v>1+1359.05324454715i</v>
      </c>
      <c r="AQ445" s="31">
        <f t="shared" si="281"/>
        <v>1359.0536124502723</v>
      </c>
      <c r="AR445" s="31">
        <f t="shared" si="282"/>
        <v>1.5700605205830782</v>
      </c>
      <c r="AS445" s="58" t="str">
        <f t="shared" si="283"/>
        <v>-0.0306261791610888+0.516797676183971i</v>
      </c>
      <c r="AT445" s="49">
        <f t="shared" si="284"/>
        <v>-5.7183636044285526</v>
      </c>
      <c r="AU445" s="61">
        <f t="shared" si="285"/>
        <v>93.391464447021562</v>
      </c>
      <c r="AV445" s="58" t="str">
        <f t="shared" si="262"/>
        <v>-0.0792485249953702-0.00100742636896604i</v>
      </c>
      <c r="AW445" s="64">
        <f t="shared" si="286"/>
        <v>-22.019474478022708</v>
      </c>
      <c r="AX445" s="61">
        <f t="shared" si="287"/>
        <v>-179.27168145851144</v>
      </c>
    </row>
    <row r="446" spans="14:50" x14ac:dyDescent="0.4">
      <c r="N446" s="10">
        <v>28</v>
      </c>
      <c r="O446" s="50">
        <f t="shared" si="288"/>
        <v>190546.07179632492</v>
      </c>
      <c r="P446" s="48" t="str">
        <f t="shared" si="253"/>
        <v>5120.19230769231</v>
      </c>
      <c r="Q446" s="17" t="str">
        <f t="shared" si="254"/>
        <v>1+5594.77722523663i</v>
      </c>
      <c r="R446" s="17">
        <f t="shared" si="263"/>
        <v>5594.7773146056934</v>
      </c>
      <c r="S446" s="17">
        <f t="shared" si="264"/>
        <v>1.570617588670197</v>
      </c>
      <c r="T446" s="17" t="str">
        <f t="shared" si="255"/>
        <v>1+0.0119603904237281i</v>
      </c>
      <c r="U446" s="17">
        <f t="shared" si="265"/>
        <v>1.0000715229117805</v>
      </c>
      <c r="V446" s="17">
        <f t="shared" si="266"/>
        <v>1.1959820157646236E-2</v>
      </c>
      <c r="W446" s="31" t="str">
        <f t="shared" si="256"/>
        <v>1-19.3952277141537i</v>
      </c>
      <c r="X446" s="17">
        <f t="shared" si="267"/>
        <v>19.420990141696581</v>
      </c>
      <c r="Y446" s="17">
        <f t="shared" si="268"/>
        <v>-1.5192828662332816</v>
      </c>
      <c r="Z446" s="31" t="str">
        <f t="shared" si="257"/>
        <v>-13.5231221908043+118.087294095778i</v>
      </c>
      <c r="AA446" s="17">
        <f t="shared" si="269"/>
        <v>118.85909246099008</v>
      </c>
      <c r="AB446" s="17">
        <f t="shared" si="270"/>
        <v>1.6848176309035487</v>
      </c>
      <c r="AC446" s="66" t="str">
        <f t="shared" si="271"/>
        <v>0.00752931765871889+0.149355883969818i</v>
      </c>
      <c r="AD446" s="64">
        <f t="shared" si="272"/>
        <v>-16.504530273276178</v>
      </c>
      <c r="AE446" s="61">
        <f t="shared" si="273"/>
        <v>87.114052537242713</v>
      </c>
      <c r="AF446" s="31" t="str">
        <f t="shared" si="258"/>
        <v>-10.0808080808081</v>
      </c>
      <c r="AG446" s="31" t="str">
        <f t="shared" si="274"/>
        <v>1197236.27865146i</v>
      </c>
      <c r="AH446" s="31">
        <f t="shared" si="275"/>
        <v>1197236.2786514601</v>
      </c>
      <c r="AI446" s="31">
        <f t="shared" si="276"/>
        <v>1.5707963267948966</v>
      </c>
      <c r="AJ446" s="31" t="str">
        <f t="shared" si="259"/>
        <v>-27416.6877167308+1607.57344908762i</v>
      </c>
      <c r="AK446" s="31">
        <f t="shared" si="277"/>
        <v>27463.777193804737</v>
      </c>
      <c r="AL446" s="31">
        <f t="shared" si="278"/>
        <v>3.0830248589341496</v>
      </c>
      <c r="AM446" s="31" t="str">
        <f t="shared" si="260"/>
        <v>1+1186654.62552623i</v>
      </c>
      <c r="AN446" s="31">
        <f t="shared" si="279"/>
        <v>1186654.6255266515</v>
      </c>
      <c r="AO446" s="31">
        <f t="shared" si="280"/>
        <v>1.5707954840897165</v>
      </c>
      <c r="AP446" s="31" t="str">
        <f t="shared" si="261"/>
        <v>1+1390.70966128154i</v>
      </c>
      <c r="AQ446" s="31">
        <f t="shared" si="281"/>
        <v>1390.7100208101672</v>
      </c>
      <c r="AR446" s="31">
        <f t="shared" si="282"/>
        <v>1.5700772695714567</v>
      </c>
      <c r="AS446" s="58" t="str">
        <f t="shared" si="283"/>
        <v>-0.0292523959881658+0.505113608319348i</v>
      </c>
      <c r="AT446" s="49">
        <f t="shared" si="284"/>
        <v>-5.917677367308313</v>
      </c>
      <c r="AU446" s="61">
        <f t="shared" si="285"/>
        <v>93.314440221575524</v>
      </c>
      <c r="AV446" s="58" t="str">
        <f t="shared" si="262"/>
        <v>-0.0756619400573942-0.000565856650269576i</v>
      </c>
      <c r="AW446" s="64">
        <f t="shared" si="286"/>
        <v>-22.422207640584489</v>
      </c>
      <c r="AX446" s="61">
        <f t="shared" si="287"/>
        <v>-179.57150724118176</v>
      </c>
    </row>
    <row r="447" spans="14:50" x14ac:dyDescent="0.4">
      <c r="N447" s="10">
        <v>29</v>
      </c>
      <c r="O447" s="50">
        <f t="shared" si="288"/>
        <v>194984.45997580473</v>
      </c>
      <c r="P447" s="48" t="str">
        <f t="shared" si="253"/>
        <v>5120.19230769231</v>
      </c>
      <c r="Q447" s="17" t="str">
        <f t="shared" si="254"/>
        <v>1+5725.09632795657i</v>
      </c>
      <c r="R447" s="17">
        <f t="shared" si="263"/>
        <v>5725.0964152913448</v>
      </c>
      <c r="S447" s="17">
        <f t="shared" si="264"/>
        <v>1.5706216572465526</v>
      </c>
      <c r="T447" s="17" t="str">
        <f t="shared" si="255"/>
        <v>1+0.0122389837055427i</v>
      </c>
      <c r="U447" s="17">
        <f t="shared" si="265"/>
        <v>1.0000748935565498</v>
      </c>
      <c r="V447" s="17">
        <f t="shared" si="266"/>
        <v>1.2238372656898299E-2</v>
      </c>
      <c r="W447" s="31" t="str">
        <f t="shared" si="256"/>
        <v>1-19.8470006035828i</v>
      </c>
      <c r="X447" s="17">
        <f t="shared" si="267"/>
        <v>19.872177358271941</v>
      </c>
      <c r="Y447" s="17">
        <f t="shared" si="268"/>
        <v>-1.5204534525479578</v>
      </c>
      <c r="Z447" s="31" t="str">
        <f t="shared" si="257"/>
        <v>-14.2075758528224+120.837900525605i</v>
      </c>
      <c r="AA447" s="17">
        <f t="shared" si="269"/>
        <v>121.67026512278878</v>
      </c>
      <c r="AB447" s="17">
        <f t="shared" si="270"/>
        <v>1.6878344829838894</v>
      </c>
      <c r="AC447" s="66" t="str">
        <f t="shared" si="271"/>
        <v>0.00792576974415297+0.145866929284171i</v>
      </c>
      <c r="AD447" s="64">
        <f t="shared" si="272"/>
        <v>-16.708060146306707</v>
      </c>
      <c r="AE447" s="61">
        <f t="shared" si="273"/>
        <v>86.889856760563362</v>
      </c>
      <c r="AF447" s="31" t="str">
        <f t="shared" si="258"/>
        <v>-10.0808080808081</v>
      </c>
      <c r="AG447" s="31" t="str">
        <f t="shared" si="274"/>
        <v>1225123.49404832i</v>
      </c>
      <c r="AH447" s="31">
        <f t="shared" si="275"/>
        <v>1225123.49404832</v>
      </c>
      <c r="AI447" s="31">
        <f t="shared" si="276"/>
        <v>1.5707963267948966</v>
      </c>
      <c r="AJ447" s="31" t="str">
        <f t="shared" si="259"/>
        <v>-28708.8435297328+1645.01864502796i</v>
      </c>
      <c r="AK447" s="31">
        <f t="shared" si="277"/>
        <v>28755.93474671221</v>
      </c>
      <c r="AL447" s="31">
        <f t="shared" si="278"/>
        <v>3.0843551748398759</v>
      </c>
      <c r="AM447" s="31" t="str">
        <f t="shared" si="260"/>
        <v>1+1214295.36255853i</v>
      </c>
      <c r="AN447" s="31">
        <f t="shared" si="279"/>
        <v>1214295.3625589416</v>
      </c>
      <c r="AO447" s="31">
        <f t="shared" si="280"/>
        <v>1.5707955032720282</v>
      </c>
      <c r="AP447" s="31" t="str">
        <f t="shared" si="261"/>
        <v>1+1423.10345068653i</v>
      </c>
      <c r="AQ447" s="31">
        <f t="shared" si="281"/>
        <v>1423.1038020312885</v>
      </c>
      <c r="AR447" s="31">
        <f t="shared" si="282"/>
        <v>1.5700936373067031</v>
      </c>
      <c r="AS447" s="58" t="str">
        <f t="shared" si="283"/>
        <v>-0.0279400378641167+0.493690206760704i</v>
      </c>
      <c r="AT447" s="49">
        <f t="shared" si="284"/>
        <v>-6.1170219147001879</v>
      </c>
      <c r="AU447" s="61">
        <f t="shared" si="285"/>
        <v>93.239157635973626</v>
      </c>
      <c r="AV447" s="58" t="str">
        <f t="shared" si="262"/>
        <v>-0.0722345207846053-0.00016265262359356i</v>
      </c>
      <c r="AW447" s="64">
        <f t="shared" si="286"/>
        <v>-22.825082061006896</v>
      </c>
      <c r="AX447" s="61">
        <f t="shared" si="287"/>
        <v>-179.870985603463</v>
      </c>
    </row>
    <row r="448" spans="14:50" x14ac:dyDescent="0.4">
      <c r="N448" s="10">
        <v>30</v>
      </c>
      <c r="O448" s="50">
        <f t="shared" si="288"/>
        <v>199526.23149688813</v>
      </c>
      <c r="P448" s="48" t="str">
        <f t="shared" si="253"/>
        <v>5120.19230769231</v>
      </c>
      <c r="Q448" s="17" t="str">
        <f t="shared" si="254"/>
        <v>1+5858.45095253025i</v>
      </c>
      <c r="R448" s="17">
        <f t="shared" si="263"/>
        <v>5858.4510378770428</v>
      </c>
      <c r="S448" s="17">
        <f t="shared" si="264"/>
        <v>1.5706256332108093</v>
      </c>
      <c r="T448" s="17" t="str">
        <f t="shared" si="255"/>
        <v>1+0.0125240662585202i</v>
      </c>
      <c r="U448" s="17">
        <f t="shared" si="265"/>
        <v>1.0000784230427371</v>
      </c>
      <c r="V448" s="17">
        <f t="shared" si="266"/>
        <v>1.2523411510874258E-2</v>
      </c>
      <c r="W448" s="31" t="str">
        <f t="shared" si="256"/>
        <v>1-20.3092966354382i</v>
      </c>
      <c r="X448" s="17">
        <f t="shared" si="267"/>
        <v>20.333900998731682</v>
      </c>
      <c r="Y448" s="17">
        <f t="shared" si="268"/>
        <v>-1.5215975265086166</v>
      </c>
      <c r="Z448" s="31" t="str">
        <f t="shared" si="257"/>
        <v>-14.9242868221399+123.652576809771i</v>
      </c>
      <c r="AA448" s="17">
        <f t="shared" si="269"/>
        <v>124.54996623382047</v>
      </c>
      <c r="AB448" s="17">
        <f t="shared" si="270"/>
        <v>1.6909106418331239</v>
      </c>
      <c r="AC448" s="66" t="str">
        <f t="shared" si="271"/>
        <v>0.00830332329451229+0.142455141630253i</v>
      </c>
      <c r="AD448" s="64">
        <f t="shared" si="272"/>
        <v>-16.911707677355544</v>
      </c>
      <c r="AE448" s="61">
        <f t="shared" si="273"/>
        <v>86.664158949352512</v>
      </c>
      <c r="AF448" s="31" t="str">
        <f t="shared" si="258"/>
        <v>-10.0808080808081</v>
      </c>
      <c r="AG448" s="31" t="str">
        <f t="shared" si="274"/>
        <v>1253660.28613816i</v>
      </c>
      <c r="AH448" s="31">
        <f t="shared" si="275"/>
        <v>1253660.2861381599</v>
      </c>
      <c r="AI448" s="31">
        <f t="shared" si="276"/>
        <v>1.5707963267948966</v>
      </c>
      <c r="AJ448" s="31" t="str">
        <f t="shared" si="259"/>
        <v>-30061.8967700577+1683.3360516283i</v>
      </c>
      <c r="AK448" s="31">
        <f t="shared" si="277"/>
        <v>30108.989648879236</v>
      </c>
      <c r="AL448" s="31">
        <f t="shared" si="278"/>
        <v>3.0856553988036657</v>
      </c>
      <c r="AM448" s="31" t="str">
        <f t="shared" si="260"/>
        <v>1+1242579.93506516i</v>
      </c>
      <c r="AN448" s="31">
        <f t="shared" si="279"/>
        <v>1242579.9350655624</v>
      </c>
      <c r="AO448" s="31">
        <f t="shared" si="280"/>
        <v>1.5707955220176975</v>
      </c>
      <c r="AP448" s="31" t="str">
        <f t="shared" si="261"/>
        <v>1+1456.25178837809i</v>
      </c>
      <c r="AQ448" s="31">
        <f t="shared" si="281"/>
        <v>1456.2521317252672</v>
      </c>
      <c r="AR448" s="31">
        <f t="shared" si="282"/>
        <v>1.5701096324671728</v>
      </c>
      <c r="AS448" s="58" t="str">
        <f t="shared" si="283"/>
        <v>-0.0266863757077472+0.482521888984029i</v>
      </c>
      <c r="AT448" s="49">
        <f t="shared" si="284"/>
        <v>-6.3163958699539382</v>
      </c>
      <c r="AU448" s="61">
        <f t="shared" si="285"/>
        <v>93.165577819661934</v>
      </c>
      <c r="AV448" s="58" t="str">
        <f t="shared" si="262"/>
        <v>-0.0689593096399773+0.00020492380986789i</v>
      </c>
      <c r="AW448" s="64">
        <f t="shared" si="286"/>
        <v>-23.22810354730948</v>
      </c>
      <c r="AX448" s="61">
        <f t="shared" si="287"/>
        <v>179.82973676901446</v>
      </c>
    </row>
    <row r="449" spans="14:50" x14ac:dyDescent="0.4">
      <c r="N449" s="10">
        <v>31</v>
      </c>
      <c r="O449" s="50">
        <f t="shared" si="288"/>
        <v>204173.79446695308</v>
      </c>
      <c r="P449" s="48" t="str">
        <f t="shared" si="253"/>
        <v>5120.19230769231</v>
      </c>
      <c r="Q449" s="17" t="str">
        <f t="shared" si="254"/>
        <v>1+5994.9118053447i</v>
      </c>
      <c r="R449" s="17">
        <f t="shared" si="263"/>
        <v>5994.911888748763</v>
      </c>
      <c r="S449" s="17">
        <f t="shared" si="264"/>
        <v>1.570629518671075</v>
      </c>
      <c r="T449" s="17" t="str">
        <f t="shared" si="255"/>
        <v>1+0.0128157892372036i</v>
      </c>
      <c r="U449" s="17">
        <f t="shared" si="265"/>
        <v>1.000082118855133</v>
      </c>
      <c r="V449" s="17">
        <f t="shared" si="266"/>
        <v>1.281508766557221E-2</v>
      </c>
      <c r="W449" s="31" t="str">
        <f t="shared" si="256"/>
        <v>1-20.7823609251949i</v>
      </c>
      <c r="X449" s="17">
        <f t="shared" si="267"/>
        <v>20.806405879561897</v>
      </c>
      <c r="Y449" s="17">
        <f t="shared" si="268"/>
        <v>-1.5227156827317356</v>
      </c>
      <c r="Z449" s="31" t="str">
        <f t="shared" si="257"/>
        <v>-15.6747753388133+126.532815326896i</v>
      </c>
      <c r="AA449" s="17">
        <f t="shared" si="269"/>
        <v>127.50000759401013</v>
      </c>
      <c r="AB449" s="17">
        <f t="shared" si="270"/>
        <v>1.6940475456951531</v>
      </c>
      <c r="AC449" s="66" t="str">
        <f t="shared" si="271"/>
        <v>0.0086627812571014+0.139118742145566i</v>
      </c>
      <c r="AD449" s="64">
        <f t="shared" si="272"/>
        <v>-17.115480273649666</v>
      </c>
      <c r="AE449" s="61">
        <f t="shared" si="273"/>
        <v>86.436851157073008</v>
      </c>
      <c r="AF449" s="31" t="str">
        <f t="shared" si="258"/>
        <v>-10.0808080808081</v>
      </c>
      <c r="AG449" s="31" t="str">
        <f t="shared" si="274"/>
        <v>1282861.78550586i</v>
      </c>
      <c r="AH449" s="31">
        <f t="shared" si="275"/>
        <v>1282861.7855058601</v>
      </c>
      <c r="AI449" s="31">
        <f t="shared" si="276"/>
        <v>1.5707963267948966</v>
      </c>
      <c r="AJ449" s="31" t="str">
        <f t="shared" si="259"/>
        <v>-31478.7174450344+1722.54598528479i</v>
      </c>
      <c r="AK449" s="31">
        <f t="shared" si="277"/>
        <v>31525.811911126631</v>
      </c>
      <c r="AL449" s="31">
        <f t="shared" si="278"/>
        <v>3.086926203188169</v>
      </c>
      <c r="AM449" s="31" t="str">
        <f t="shared" si="260"/>
        <v>1+1271523.33990085i</v>
      </c>
      <c r="AN449" s="31">
        <f t="shared" si="279"/>
        <v>1271523.3399012433</v>
      </c>
      <c r="AO449" s="31">
        <f t="shared" si="280"/>
        <v>1.5707955403366629</v>
      </c>
      <c r="AP449" s="31" t="str">
        <f t="shared" si="261"/>
        <v>1+1490.17225004361i</v>
      </c>
      <c r="AQ449" s="31">
        <f t="shared" si="281"/>
        <v>1490.1725855752529</v>
      </c>
      <c r="AR449" s="31">
        <f t="shared" si="282"/>
        <v>1.5701252635336782</v>
      </c>
      <c r="AS449" s="58" t="str">
        <f t="shared" si="283"/>
        <v>-0.0254888001645505+0.471603176383042i</v>
      </c>
      <c r="AT449" s="49">
        <f t="shared" si="284"/>
        <v>-6.5157979176001977</v>
      </c>
      <c r="AU449" s="61">
        <f t="shared" si="285"/>
        <v>93.093662735582654</v>
      </c>
      <c r="AV449" s="58" t="str">
        <f t="shared" si="262"/>
        <v>-0.0658296445905938+0.000539425339468541i</v>
      </c>
      <c r="AW449" s="64">
        <f t="shared" si="286"/>
        <v>-23.631278191249862</v>
      </c>
      <c r="AX449" s="61">
        <f t="shared" si="287"/>
        <v>179.53051389265568</v>
      </c>
    </row>
    <row r="450" spans="14:50" x14ac:dyDescent="0.4">
      <c r="N450" s="10">
        <v>32</v>
      </c>
      <c r="O450" s="50">
        <f t="shared" si="288"/>
        <v>208929.61308540447</v>
      </c>
      <c r="P450" s="48" t="str">
        <f t="shared" si="253"/>
        <v>5120.19230769231</v>
      </c>
      <c r="Q450" s="17" t="str">
        <f t="shared" si="254"/>
        <v>1+6134.55123975043i</v>
      </c>
      <c r="R450" s="17">
        <f t="shared" si="263"/>
        <v>6134.5513212559836</v>
      </c>
      <c r="S450" s="17">
        <f t="shared" si="264"/>
        <v>1.5706333156874723</v>
      </c>
      <c r="T450" s="17" t="str">
        <f t="shared" si="255"/>
        <v>1+0.0131143073169776i</v>
      </c>
      <c r="U450" s="17">
        <f t="shared" si="265"/>
        <v>1.0000859888311626</v>
      </c>
      <c r="V450" s="17">
        <f t="shared" si="266"/>
        <v>1.3113555572921452E-2</v>
      </c>
      <c r="W450" s="31" t="str">
        <f t="shared" si="256"/>
        <v>1-21.2664442978015i</v>
      </c>
      <c r="X450" s="17">
        <f t="shared" si="267"/>
        <v>21.289942533306515</v>
      </c>
      <c r="Y450" s="17">
        <f t="shared" si="268"/>
        <v>-1.5238085028881834</v>
      </c>
      <c r="Z450" s="31" t="str">
        <f t="shared" si="257"/>
        <v>-16.4606332896068+129.480143217568i</v>
      </c>
      <c r="AA450" s="17">
        <f t="shared" si="269"/>
        <v>130.52225839272333</v>
      </c>
      <c r="AB450" s="17">
        <f t="shared" si="270"/>
        <v>1.6972466517082752</v>
      </c>
      <c r="AC450" s="66" t="str">
        <f t="shared" si="271"/>
        <v>0.00900490845368116+0.135855991195417i</v>
      </c>
      <c r="AD450" s="64">
        <f t="shared" si="272"/>
        <v>-17.319385578031795</v>
      </c>
      <c r="AE450" s="61">
        <f t="shared" si="273"/>
        <v>86.207825299971859</v>
      </c>
      <c r="AF450" s="31" t="str">
        <f t="shared" si="258"/>
        <v>-10.0808080808081</v>
      </c>
      <c r="AG450" s="31" t="str">
        <f t="shared" si="274"/>
        <v>1312743.47517293i</v>
      </c>
      <c r="AH450" s="31">
        <f t="shared" si="275"/>
        <v>1312743.4751729299</v>
      </c>
      <c r="AI450" s="31">
        <f t="shared" si="276"/>
        <v>1.5707963267948966</v>
      </c>
      <c r="AJ450" s="31" t="str">
        <f t="shared" si="259"/>
        <v>-32962.3108212719+1762.66923562327i</v>
      </c>
      <c r="AK450" s="31">
        <f t="shared" si="277"/>
        <v>33009.406803400016</v>
      </c>
      <c r="AL450" s="31">
        <f t="shared" si="278"/>
        <v>3.0881682458875592</v>
      </c>
      <c r="AM450" s="31" t="str">
        <f t="shared" si="260"/>
        <v>1+1301140.92324197i</v>
      </c>
      <c r="AN450" s="31">
        <f t="shared" si="279"/>
        <v>1301140.9232423541</v>
      </c>
      <c r="AO450" s="31">
        <f t="shared" si="280"/>
        <v>1.5707955582386379</v>
      </c>
      <c r="AP450" s="31" t="str">
        <f t="shared" si="261"/>
        <v>1+1524.88282076088i</v>
      </c>
      <c r="AQ450" s="31">
        <f t="shared" si="281"/>
        <v>1524.883148654892</v>
      </c>
      <c r="AR450" s="31">
        <f t="shared" si="282"/>
        <v>1.5701405387939875</v>
      </c>
      <c r="AS450" s="58" t="str">
        <f t="shared" si="283"/>
        <v>-0.0243448164883058+0.460928693420131i</v>
      </c>
      <c r="AT450" s="49">
        <f t="shared" si="284"/>
        <v>-6.7152268006663194</v>
      </c>
      <c r="AU450" s="61">
        <f t="shared" si="285"/>
        <v>93.023375164586852</v>
      </c>
      <c r="AV450" s="58" t="str">
        <f t="shared" si="262"/>
        <v>-0.0628391473587992+0.000843231513433833i</v>
      </c>
      <c r="AW450" s="64">
        <f t="shared" si="286"/>
        <v>-24.034612378698121</v>
      </c>
      <c r="AX450" s="61">
        <f t="shared" si="287"/>
        <v>179.2312004645587</v>
      </c>
    </row>
    <row r="451" spans="14:50" x14ac:dyDescent="0.4">
      <c r="N451" s="10">
        <v>33</v>
      </c>
      <c r="O451" s="50">
        <f t="shared" si="288"/>
        <v>213796.20895022334</v>
      </c>
      <c r="P451" s="48" t="str">
        <f t="shared" si="253"/>
        <v>5120.19230769231</v>
      </c>
      <c r="Q451" s="17" t="str">
        <f t="shared" si="254"/>
        <v>1+6277.44329442381i</v>
      </c>
      <c r="R451" s="17">
        <f t="shared" si="263"/>
        <v>6277.4433740740706</v>
      </c>
      <c r="S451" s="17">
        <f t="shared" si="264"/>
        <v>1.570637026273229</v>
      </c>
      <c r="T451" s="17" t="str">
        <f t="shared" si="255"/>
        <v>1+0.0134197787760793i</v>
      </c>
      <c r="U451" s="17">
        <f t="shared" si="265"/>
        <v>1.0000900411774927</v>
      </c>
      <c r="V451" s="17">
        <f t="shared" si="266"/>
        <v>1.3418973271727341E-2</v>
      </c>
      <c r="W451" s="31" t="str">
        <f t="shared" si="256"/>
        <v>1-21.7618034206692i</v>
      </c>
      <c r="X451" s="17">
        <f t="shared" si="267"/>
        <v>21.784767341421155</v>
      </c>
      <c r="Y451" s="17">
        <f t="shared" si="268"/>
        <v>-1.5248765559588793</v>
      </c>
      <c r="Z451" s="31" t="str">
        <f t="shared" si="257"/>
        <v>-17.2835275845951+132.496123194046i</v>
      </c>
      <c r="AA451" s="17">
        <f t="shared" si="269"/>
        <v>133.61864760286747</v>
      </c>
      <c r="AB451" s="17">
        <f t="shared" si="270"/>
        <v>1.7005094357803989</v>
      </c>
      <c r="AC451" s="66" t="str">
        <f t="shared" si="271"/>
        <v>0.009330433220949+0.132665187583653i</v>
      </c>
      <c r="AD451" s="64">
        <f t="shared" si="272"/>
        <v>-17.523431482286224</v>
      </c>
      <c r="AE451" s="61">
        <f t="shared" si="273"/>
        <v>85.976973154156653</v>
      </c>
      <c r="AF451" s="31" t="str">
        <f t="shared" si="258"/>
        <v>-10.0808080808081</v>
      </c>
      <c r="AG451" s="31" t="str">
        <f t="shared" si="274"/>
        <v>1343321.19880674i</v>
      </c>
      <c r="AH451" s="31">
        <f t="shared" si="275"/>
        <v>1343321.1988067401</v>
      </c>
      <c r="AI451" s="31">
        <f t="shared" si="276"/>
        <v>1.5707963267948966</v>
      </c>
      <c r="AJ451" s="31" t="str">
        <f t="shared" si="259"/>
        <v>-34515.8237992288+1803.72707652217i</v>
      </c>
      <c r="AK451" s="31">
        <f t="shared" si="277"/>
        <v>34562.921229346175</v>
      </c>
      <c r="AL451" s="31">
        <f t="shared" si="278"/>
        <v>3.0893821706016484</v>
      </c>
      <c r="AM451" s="31" t="str">
        <f t="shared" si="260"/>
        <v>1+1331448.38872321i</v>
      </c>
      <c r="AN451" s="31">
        <f t="shared" si="279"/>
        <v>1331448.3887235855</v>
      </c>
      <c r="AO451" s="31">
        <f t="shared" si="280"/>
        <v>1.5707955757331142</v>
      </c>
      <c r="AP451" s="31" t="str">
        <f t="shared" si="261"/>
        <v>1+1560.40190453391i</v>
      </c>
      <c r="AQ451" s="31">
        <f t="shared" si="281"/>
        <v>1560.402224964145</v>
      </c>
      <c r="AR451" s="31">
        <f t="shared" si="282"/>
        <v>1.5701554663472173</v>
      </c>
      <c r="AS451" s="58" t="str">
        <f t="shared" si="283"/>
        <v>-0.0232520396296386+0.45049316669868i</v>
      </c>
      <c r="AT451" s="49">
        <f t="shared" si="284"/>
        <v>-6.9146813181045372</v>
      </c>
      <c r="AU451" s="61">
        <f t="shared" si="285"/>
        <v>92.954678689981108</v>
      </c>
      <c r="AV451" s="58" t="str">
        <f t="shared" si="262"/>
        <v>-0.0599817120682494+0.00111856020920734i</v>
      </c>
      <c r="AW451" s="64">
        <f t="shared" si="286"/>
        <v>-24.438112800390769</v>
      </c>
      <c r="AX451" s="61">
        <f t="shared" si="287"/>
        <v>178.93165184413775</v>
      </c>
    </row>
    <row r="452" spans="14:50" x14ac:dyDescent="0.4">
      <c r="N452" s="10">
        <v>34</v>
      </c>
      <c r="O452" s="50">
        <f t="shared" si="288"/>
        <v>218776.16239495538</v>
      </c>
      <c r="P452" s="48" t="str">
        <f t="shared" si="253"/>
        <v>5120.19230769231</v>
      </c>
      <c r="Q452" s="17" t="str">
        <f t="shared" si="254"/>
        <v>1+6423.6637326237i</v>
      </c>
      <c r="R452" s="17">
        <f t="shared" si="263"/>
        <v>6423.6638104608992</v>
      </c>
      <c r="S452" s="17">
        <f t="shared" si="264"/>
        <v>1.5706406523957459</v>
      </c>
      <c r="T452" s="17" t="str">
        <f t="shared" si="255"/>
        <v>1+0.01373236557952i</v>
      </c>
      <c r="U452" s="17">
        <f t="shared" si="265"/>
        <v>1.0000942844874225</v>
      </c>
      <c r="V452" s="17">
        <f t="shared" si="266"/>
        <v>1.3731502470451094E-2</v>
      </c>
      <c r="W452" s="31" t="str">
        <f t="shared" si="256"/>
        <v>1-22.2687009397621i</v>
      </c>
      <c r="X452" s="17">
        <f t="shared" si="267"/>
        <v>22.291142670230286</v>
      </c>
      <c r="Y452" s="17">
        <f t="shared" si="268"/>
        <v>-1.5259203984872112</v>
      </c>
      <c r="Z452" s="31" t="str">
        <f t="shared" si="257"/>
        <v>-18.1452036929056+135.582354368835i</v>
      </c>
      <c r="AA452" s="17">
        <f t="shared" si="269"/>
        <v>136.79116650300702</v>
      </c>
      <c r="AB452" s="17">
        <f t="shared" si="270"/>
        <v>1.7038373924165662</v>
      </c>
      <c r="AC452" s="66" t="str">
        <f t="shared" si="271"/>
        <v>0.00964004897570752+0.12954466778004i</v>
      </c>
      <c r="AD452" s="64">
        <f t="shared" si="272"/>
        <v>-17.727626140740767</v>
      </c>
      <c r="AE452" s="61">
        <f t="shared" si="273"/>
        <v>85.744186355697238</v>
      </c>
      <c r="AF452" s="31" t="str">
        <f t="shared" si="258"/>
        <v>-10.0808080808081</v>
      </c>
      <c r="AG452" s="31" t="str">
        <f t="shared" si="274"/>
        <v>1374611.16912112i</v>
      </c>
      <c r="AH452" s="31">
        <f t="shared" si="275"/>
        <v>1374611.1691211199</v>
      </c>
      <c r="AI452" s="31">
        <f t="shared" si="276"/>
        <v>1.5707963267948966</v>
      </c>
      <c r="AJ452" s="31" t="str">
        <f t="shared" si="259"/>
        <v>-36142.5515882152+1845.74127739218i</v>
      </c>
      <c r="AK452" s="31">
        <f t="shared" si="277"/>
        <v>36189.650401321458</v>
      </c>
      <c r="AL452" s="31">
        <f t="shared" si="278"/>
        <v>3.0905686071073917</v>
      </c>
      <c r="AM452" s="31" t="str">
        <f t="shared" si="260"/>
        <v>1+1362461.80576396i</v>
      </c>
      <c r="AN452" s="31">
        <f t="shared" si="279"/>
        <v>1362461.8057643268</v>
      </c>
      <c r="AO452" s="31">
        <f t="shared" si="280"/>
        <v>1.5707955928293675</v>
      </c>
      <c r="AP452" s="31" t="str">
        <f t="shared" si="261"/>
        <v>1+1596.74833405109i</v>
      </c>
      <c r="AQ452" s="31">
        <f t="shared" si="281"/>
        <v>1596.7486471874438</v>
      </c>
      <c r="AR452" s="31">
        <f t="shared" si="282"/>
        <v>1.5701700541081272</v>
      </c>
      <c r="AS452" s="58" t="str">
        <f t="shared" si="283"/>
        <v>-0.0222081895242152+0.440291423964546i</v>
      </c>
      <c r="AT452" s="49">
        <f t="shared" si="284"/>
        <v>-7.1141603223321059</v>
      </c>
      <c r="AU452" s="61">
        <f t="shared" si="285"/>
        <v>92.887537682217612</v>
      </c>
      <c r="AV452" s="58" t="str">
        <f t="shared" si="262"/>
        <v>-0.0572514942785631+0.0013674783566916i</v>
      </c>
      <c r="AW452" s="64">
        <f t="shared" si="286"/>
        <v>-24.841786463072872</v>
      </c>
      <c r="AX452" s="61">
        <f t="shared" si="287"/>
        <v>178.63172403791486</v>
      </c>
    </row>
    <row r="453" spans="14:50" x14ac:dyDescent="0.4">
      <c r="N453" s="10">
        <v>35</v>
      </c>
      <c r="O453" s="50">
        <f t="shared" si="288"/>
        <v>223872.11385683404</v>
      </c>
      <c r="P453" s="48" t="str">
        <f t="shared" si="253"/>
        <v>5120.19230769231</v>
      </c>
      <c r="Q453" s="17" t="str">
        <f t="shared" si="254"/>
        <v>1+6573.29008236188i</v>
      </c>
      <c r="R453" s="17">
        <f t="shared" si="263"/>
        <v>6573.2901584272895</v>
      </c>
      <c r="S453" s="17">
        <f t="shared" si="264"/>
        <v>1.5706441959776414</v>
      </c>
      <c r="T453" s="17" t="str">
        <f t="shared" si="255"/>
        <v>1+0.0140522334649603i</v>
      </c>
      <c r="U453" s="17">
        <f t="shared" si="265"/>
        <v>1.0000987277590916</v>
      </c>
      <c r="V453" s="17">
        <f t="shared" si="266"/>
        <v>1.4051308631861286E-2</v>
      </c>
      <c r="W453" s="31" t="str">
        <f t="shared" si="256"/>
        <v>1-22.7874056188545i</v>
      </c>
      <c r="X453" s="17">
        <f t="shared" si="267"/>
        <v>22.809337010053614</v>
      </c>
      <c r="Y453" s="17">
        <f t="shared" si="268"/>
        <v>-1.5269405748281002</v>
      </c>
      <c r="Z453" s="31" t="str">
        <f t="shared" si="257"/>
        <v>-19.0474893450911+138.740473102555i</v>
      </c>
      <c r="AA453" s="17">
        <f t="shared" si="269"/>
        <v>140.04187133522652</v>
      </c>
      <c r="AB453" s="17">
        <f t="shared" si="270"/>
        <v>1.7072320344952516</v>
      </c>
      <c r="AC453" s="66" t="str">
        <f t="shared" si="271"/>
        <v>0.00993441570816788+0.126492805164415i</v>
      </c>
      <c r="AD453" s="64">
        <f t="shared" si="272"/>
        <v>-17.931977984149562</v>
      </c>
      <c r="AE453" s="61">
        <f t="shared" si="273"/>
        <v>85.509356403963139</v>
      </c>
      <c r="AF453" s="31" t="str">
        <f t="shared" si="258"/>
        <v>-10.0808080808081</v>
      </c>
      <c r="AG453" s="31" t="str">
        <f t="shared" si="274"/>
        <v>1406629.9764725i</v>
      </c>
      <c r="AH453" s="31">
        <f t="shared" si="275"/>
        <v>1406629.9764725</v>
      </c>
      <c r="AI453" s="31">
        <f t="shared" si="276"/>
        <v>1.5707963267948966</v>
      </c>
      <c r="AJ453" s="31" t="str">
        <f t="shared" si="259"/>
        <v>-37845.9446959708+1888.73411471875i</v>
      </c>
      <c r="AK453" s="31">
        <f t="shared" si="277"/>
        <v>37893.044829976156</v>
      </c>
      <c r="AL453" s="31">
        <f t="shared" si="278"/>
        <v>3.0917281715275888</v>
      </c>
      <c r="AM453" s="31" t="str">
        <f t="shared" si="260"/>
        <v>1+1394197.61808845i</v>
      </c>
      <c r="AN453" s="31">
        <f t="shared" si="279"/>
        <v>1394197.6180888086</v>
      </c>
      <c r="AO453" s="31">
        <f t="shared" si="280"/>
        <v>1.5707956095364628</v>
      </c>
      <c r="AP453" s="31" t="str">
        <f t="shared" si="261"/>
        <v>1+1633.94138067046i</v>
      </c>
      <c r="AQ453" s="31">
        <f t="shared" si="281"/>
        <v>1633.9416866789613</v>
      </c>
      <c r="AR453" s="31">
        <f t="shared" si="282"/>
        <v>1.5701843098113162</v>
      </c>
      <c r="AS453" s="58" t="str">
        <f t="shared" si="283"/>
        <v>-0.0212110865734518+0.430318393044256i</v>
      </c>
      <c r="AT453" s="49">
        <f t="shared" si="284"/>
        <v>-7.3136627168766122</v>
      </c>
      <c r="AU453" s="61">
        <f t="shared" si="285"/>
        <v>92.821917283739538</v>
      </c>
      <c r="AV453" s="58" t="str">
        <f t="shared" si="262"/>
        <v>-0.0546429004016538+0.00159191196211124i</v>
      </c>
      <c r="AW453" s="64">
        <f t="shared" si="286"/>
        <v>-25.245640701026176</v>
      </c>
      <c r="AX453" s="61">
        <f t="shared" si="287"/>
        <v>178.33127368770269</v>
      </c>
    </row>
    <row r="454" spans="14:50" x14ac:dyDescent="0.4">
      <c r="N454" s="10">
        <v>36</v>
      </c>
      <c r="O454" s="50">
        <f t="shared" si="288"/>
        <v>229086.76527677779</v>
      </c>
      <c r="P454" s="48" t="str">
        <f t="shared" si="253"/>
        <v>5120.19230769231</v>
      </c>
      <c r="Q454" s="17" t="str">
        <f t="shared" si="254"/>
        <v>1+6726.40167750949i</v>
      </c>
      <c r="R454" s="17">
        <f t="shared" si="263"/>
        <v>6726.4017518434375</v>
      </c>
      <c r="S454" s="17">
        <f t="shared" si="264"/>
        <v>1.5706476588977687</v>
      </c>
      <c r="T454" s="17" t="str">
        <f t="shared" si="255"/>
        <v>1+0.0143795520305869i</v>
      </c>
      <c r="U454" s="17">
        <f t="shared" si="265"/>
        <v>1.0001033804145452</v>
      </c>
      <c r="V454" s="17">
        <f t="shared" si="266"/>
        <v>1.4378561059599606E-2</v>
      </c>
      <c r="W454" s="31" t="str">
        <f t="shared" si="256"/>
        <v>1-23.3181924820329i</v>
      </c>
      <c r="X454" s="17">
        <f t="shared" si="267"/>
        <v>23.339625117579235</v>
      </c>
      <c r="Y454" s="17">
        <f t="shared" si="268"/>
        <v>-1.5279376173936416</v>
      </c>
      <c r="Z454" s="31" t="str">
        <f t="shared" si="257"/>
        <v>-19.9922984099911+141.97215387156i</v>
      </c>
      <c r="AA454" s="17">
        <f t="shared" si="269"/>
        <v>143.37288610697647</v>
      </c>
      <c r="AB454" s="17">
        <f t="shared" si="270"/>
        <v>1.7106948929898136</v>
      </c>
      <c r="AC454" s="66" t="str">
        <f t="shared" si="271"/>
        <v>0.0102141614067108+0.123508009287711i</v>
      </c>
      <c r="AD454" s="64">
        <f t="shared" si="272"/>
        <v>-18.136495733860997</v>
      </c>
      <c r="AE454" s="61">
        <f t="shared" si="273"/>
        <v>85.272374668409967</v>
      </c>
      <c r="AF454" s="31" t="str">
        <f t="shared" si="258"/>
        <v>-10.0808080808081</v>
      </c>
      <c r="AG454" s="31" t="str">
        <f t="shared" si="274"/>
        <v>1439394.59765635i</v>
      </c>
      <c r="AH454" s="31">
        <f t="shared" si="275"/>
        <v>1439394.5976563499</v>
      </c>
      <c r="AI454" s="31">
        <f t="shared" si="276"/>
        <v>1.5707963267948966</v>
      </c>
      <c r="AJ454" s="31" t="str">
        <f t="shared" si="259"/>
        <v>-39629.6162476546+1932.72838387329i</v>
      </c>
      <c r="AK454" s="31">
        <f t="shared" si="277"/>
        <v>39676.717643250166</v>
      </c>
      <c r="AL454" s="31">
        <f t="shared" si="278"/>
        <v>3.092861466596645</v>
      </c>
      <c r="AM454" s="31" t="str">
        <f t="shared" si="260"/>
        <v>1+1426672.65244443i</v>
      </c>
      <c r="AN454" s="31">
        <f t="shared" si="279"/>
        <v>1426672.6524447803</v>
      </c>
      <c r="AO454" s="31">
        <f t="shared" si="280"/>
        <v>1.570795625863258</v>
      </c>
      <c r="AP454" s="31" t="str">
        <f t="shared" si="261"/>
        <v>1+1672.00076463762i</v>
      </c>
      <c r="AQ454" s="31">
        <f t="shared" si="281"/>
        <v>1672.0010636805184</v>
      </c>
      <c r="AR454" s="31">
        <f t="shared" si="282"/>
        <v>1.5701982410153239</v>
      </c>
      <c r="AS454" s="58" t="str">
        <f t="shared" si="283"/>
        <v>-0.0202586473107453+0.420569100726798i</v>
      </c>
      <c r="AT454" s="49">
        <f t="shared" si="284"/>
        <v>-7.513187454122896</v>
      </c>
      <c r="AU454" s="61">
        <f t="shared" si="285"/>
        <v>92.7577833939893</v>
      </c>
      <c r="AV454" s="58" t="str">
        <f t="shared" si="262"/>
        <v>-0.0521505774922032+0.00179365547728674i</v>
      </c>
      <c r="AW454" s="64">
        <f t="shared" si="286"/>
        <v>-25.649683187983893</v>
      </c>
      <c r="AX454" s="61">
        <f t="shared" si="287"/>
        <v>178.03015806239924</v>
      </c>
    </row>
    <row r="455" spans="14:50" x14ac:dyDescent="0.4">
      <c r="N455" s="10">
        <v>37</v>
      </c>
      <c r="O455" s="50">
        <f t="shared" si="288"/>
        <v>234422.88153199267</v>
      </c>
      <c r="P455" s="48" t="str">
        <f t="shared" si="253"/>
        <v>5120.19230769231</v>
      </c>
      <c r="Q455" s="17" t="str">
        <f t="shared" si="254"/>
        <v>1+6883.07969986097i</v>
      </c>
      <c r="R455" s="17">
        <f t="shared" si="263"/>
        <v>6883.0797725028715</v>
      </c>
      <c r="S455" s="17">
        <f t="shared" si="264"/>
        <v>1.5706510429922138</v>
      </c>
      <c r="T455" s="17" t="str">
        <f t="shared" si="255"/>
        <v>1+0.0147144948250361i</v>
      </c>
      <c r="U455" s="17">
        <f t="shared" si="265"/>
        <v>1.0001082523196956</v>
      </c>
      <c r="V455" s="17">
        <f t="shared" si="266"/>
        <v>1.4713432986699682E-2</v>
      </c>
      <c r="W455" s="31" t="str">
        <f t="shared" si="256"/>
        <v>1-23.861342959518i</v>
      </c>
      <c r="X455" s="17">
        <f t="shared" si="267"/>
        <v>23.882288161558964</v>
      </c>
      <c r="Y455" s="17">
        <f t="shared" si="268"/>
        <v>-1.5289120468952544</v>
      </c>
      <c r="Z455" s="31" t="str">
        <f t="shared" si="257"/>
        <v>-20.9816349543052+145.279110155773i</v>
      </c>
      <c r="AA455" s="17">
        <f t="shared" si="269"/>
        <v>146.7864055456395</v>
      </c>
      <c r="AB455" s="17">
        <f t="shared" si="270"/>
        <v>1.7142275166312393</v>
      </c>
      <c r="AC455" s="66" t="str">
        <f t="shared" si="271"/>
        <v>0.0104798834172848+0.120588725149929i</v>
      </c>
      <c r="AD455" s="64">
        <f t="shared" si="272"/>
        <v>-18.341188416274335</v>
      </c>
      <c r="AE455" s="61">
        <f t="shared" si="273"/>
        <v>85.033132399043794</v>
      </c>
      <c r="AF455" s="31" t="str">
        <f t="shared" si="258"/>
        <v>-10.0808080808081</v>
      </c>
      <c r="AG455" s="31" t="str">
        <f t="shared" si="274"/>
        <v>1472922.40490852i</v>
      </c>
      <c r="AH455" s="31">
        <f t="shared" si="275"/>
        <v>1472922.4049085199</v>
      </c>
      <c r="AI455" s="31">
        <f t="shared" si="276"/>
        <v>1.5707963267948966</v>
      </c>
      <c r="AJ455" s="31" t="str">
        <f t="shared" si="259"/>
        <v>-41497.3496497689+1977.74741119966i</v>
      </c>
      <c r="AK455" s="31">
        <f t="shared" si="277"/>
        <v>41544.452250302704</v>
      </c>
      <c r="AL455" s="31">
        <f t="shared" si="278"/>
        <v>3.0939690819232339</v>
      </c>
      <c r="AM455" s="31" t="str">
        <f t="shared" si="260"/>
        <v>1+1459904.12752498i</v>
      </c>
      <c r="AN455" s="31">
        <f t="shared" si="279"/>
        <v>1459904.1275253224</v>
      </c>
      <c r="AO455" s="31">
        <f t="shared" si="280"/>
        <v>1.5707956418184101</v>
      </c>
      <c r="AP455" s="31" t="str">
        <f t="shared" si="261"/>
        <v>1+1710.94666554174i</v>
      </c>
      <c r="AQ455" s="31">
        <f t="shared" si="281"/>
        <v>1710.9469577775924</v>
      </c>
      <c r="AR455" s="31">
        <f t="shared" si="282"/>
        <v>1.5702118551066373</v>
      </c>
      <c r="AS455" s="58" t="str">
        <f t="shared" si="283"/>
        <v>-0.0193488802464276+0.411038671595449i</v>
      </c>
      <c r="AT455" s="49">
        <f t="shared" si="284"/>
        <v>-7.7127335331569924</v>
      </c>
      <c r="AU455" s="61">
        <f t="shared" si="285"/>
        <v>92.695102654588752</v>
      </c>
      <c r="AV455" s="58" t="str">
        <f t="shared" si="262"/>
        <v>-0.0497694034042531+0.00197438055632057i</v>
      </c>
      <c r="AW455" s="64">
        <f t="shared" si="286"/>
        <v>-26.053921949431324</v>
      </c>
      <c r="AX455" s="61">
        <f t="shared" si="287"/>
        <v>177.72823505363255</v>
      </c>
    </row>
    <row r="456" spans="14:50" x14ac:dyDescent="0.4">
      <c r="N456" s="10">
        <v>38</v>
      </c>
      <c r="O456" s="50">
        <f t="shared" si="288"/>
        <v>239883.29190194907</v>
      </c>
      <c r="P456" s="48" t="str">
        <f t="shared" si="253"/>
        <v>5120.19230769231</v>
      </c>
      <c r="Q456" s="17" t="str">
        <f t="shared" si="254"/>
        <v>1+7043.40722217763i</v>
      </c>
      <c r="R456" s="17">
        <f t="shared" si="263"/>
        <v>7043.4072931660003</v>
      </c>
      <c r="S456" s="17">
        <f t="shared" si="264"/>
        <v>1.5706543500552681</v>
      </c>
      <c r="T456" s="17" t="str">
        <f t="shared" si="255"/>
        <v>1+0.0150572394394109i</v>
      </c>
      <c r="U456" s="17">
        <f t="shared" si="265"/>
        <v>1.0001133538052251</v>
      </c>
      <c r="V456" s="17">
        <f t="shared" si="266"/>
        <v>1.5056101666099102E-2</v>
      </c>
      <c r="W456" s="31" t="str">
        <f t="shared" si="256"/>
        <v>1-24.4171450368824i</v>
      </c>
      <c r="X456" s="17">
        <f t="shared" si="267"/>
        <v>24.437613871901462</v>
      </c>
      <c r="Y456" s="17">
        <f t="shared" si="268"/>
        <v>-1.529864372582274</v>
      </c>
      <c r="Z456" s="31" t="str">
        <f t="shared" si="257"/>
        <v>-22.0175974934864+148.663095347186i</v>
      </c>
      <c r="AA456" s="17">
        <f t="shared" si="269"/>
        <v>150.2846982150601</v>
      </c>
      <c r="AB456" s="17">
        <f t="shared" si="270"/>
        <v>1.717831471508136</v>
      </c>
      <c r="AC456" s="66" t="str">
        <f t="shared" si="271"/>
        <v>0.0107321497405066+0.11773343249514i</v>
      </c>
      <c r="AD456" s="64">
        <f t="shared" si="272"/>
        <v>-18.54606537758556</v>
      </c>
      <c r="AE456" s="61">
        <f t="shared" si="273"/>
        <v>84.791520740799172</v>
      </c>
      <c r="AF456" s="31" t="str">
        <f t="shared" si="258"/>
        <v>-10.0808080808081</v>
      </c>
      <c r="AG456" s="31" t="str">
        <f t="shared" si="274"/>
        <v>1507231.1751162i</v>
      </c>
      <c r="AH456" s="31">
        <f t="shared" si="275"/>
        <v>1507231.1751162</v>
      </c>
      <c r="AI456" s="31">
        <f t="shared" si="276"/>
        <v>1.5707963267948966</v>
      </c>
      <c r="AJ456" s="31" t="str">
        <f t="shared" si="259"/>
        <v>-43453.1066152708+2023.81506638201i</v>
      </c>
      <c r="AK456" s="31">
        <f t="shared" si="277"/>
        <v>43500.210366629326</v>
      </c>
      <c r="AL456" s="31">
        <f t="shared" si="278"/>
        <v>3.0950515942497607</v>
      </c>
      <c r="AM456" s="31" t="str">
        <f t="shared" si="260"/>
        <v>1+1493909.66309806i</v>
      </c>
      <c r="AN456" s="31">
        <f t="shared" si="279"/>
        <v>1493909.6630983949</v>
      </c>
      <c r="AO456" s="31">
        <f t="shared" si="280"/>
        <v>1.5707956574103785</v>
      </c>
      <c r="AP456" s="31" t="str">
        <f t="shared" si="261"/>
        <v>1+1750.79973301498i</v>
      </c>
      <c r="AQ456" s="31">
        <f t="shared" si="281"/>
        <v>1750.8000185987332</v>
      </c>
      <c r="AR456" s="31">
        <f t="shared" si="282"/>
        <v>1.5702251593036074</v>
      </c>
      <c r="AS456" s="58" t="str">
        <f t="shared" si="283"/>
        <v>-0.0184798818848052+0.401722326815569i</v>
      </c>
      <c r="AT456" s="49">
        <f t="shared" si="284"/>
        <v>-7.9122999977036308</v>
      </c>
      <c r="AU456" s="61">
        <f t="shared" si="285"/>
        <v>92.633842434698082</v>
      </c>
      <c r="AV456" s="58" t="str">
        <f t="shared" si="262"/>
        <v>-0.047494477305506+0.00213564423908654i</v>
      </c>
      <c r="AW456" s="64">
        <f t="shared" si="286"/>
        <v>-26.458365375289183</v>
      </c>
      <c r="AX456" s="61">
        <f t="shared" si="287"/>
        <v>177.42536317549724</v>
      </c>
    </row>
    <row r="457" spans="14:50" x14ac:dyDescent="0.4">
      <c r="N457" s="10">
        <v>39</v>
      </c>
      <c r="O457" s="50">
        <f t="shared" si="288"/>
        <v>245470.89156850305</v>
      </c>
      <c r="P457" s="48" t="str">
        <f t="shared" si="253"/>
        <v>5120.19230769231</v>
      </c>
      <c r="Q457" s="17" t="str">
        <f t="shared" si="254"/>
        <v>1+7207.46925223401i</v>
      </c>
      <c r="R457" s="17">
        <f t="shared" si="263"/>
        <v>7207.469321606487</v>
      </c>
      <c r="S457" s="17">
        <f t="shared" si="264"/>
        <v>1.5706575818403796</v>
      </c>
      <c r="T457" s="17" t="str">
        <f t="shared" si="255"/>
        <v>1+0.0154079676014425i</v>
      </c>
      <c r="U457" s="17">
        <f t="shared" si="265"/>
        <v>1.0001186956884702</v>
      </c>
      <c r="V457" s="17">
        <f t="shared" si="266"/>
        <v>1.5406748463188347E-2</v>
      </c>
      <c r="W457" s="31" t="str">
        <f t="shared" si="256"/>
        <v>1-24.9858934077445i</v>
      </c>
      <c r="X457" s="17">
        <f t="shared" si="267"/>
        <v>25.005896692243816</v>
      </c>
      <c r="Y457" s="17">
        <f t="shared" si="268"/>
        <v>-1.5307950924769498</v>
      </c>
      <c r="Z457" s="31" t="str">
        <f t="shared" si="257"/>
        <v>-23.1023834429743+152.12590367954i</v>
      </c>
      <c r="AA457" s="17">
        <f t="shared" si="269"/>
        <v>153.87010980389562</v>
      </c>
      <c r="AB457" s="17">
        <f t="shared" si="270"/>
        <v>1.7215083405997151</v>
      </c>
      <c r="AC457" s="66" t="str">
        <f t="shared" si="271"/>
        <v>0.0109715002694+0.11494064512356i</v>
      </c>
      <c r="AD457" s="64">
        <f t="shared" si="272"/>
        <v>-18.751136298823099</v>
      </c>
      <c r="AE457" s="61">
        <f t="shared" si="273"/>
        <v>84.54743075208161</v>
      </c>
      <c r="AF457" s="31" t="str">
        <f t="shared" si="258"/>
        <v>-10.0808080808081</v>
      </c>
      <c r="AG457" s="31" t="str">
        <f t="shared" si="274"/>
        <v>1542339.09924349i</v>
      </c>
      <c r="AH457" s="31">
        <f t="shared" si="275"/>
        <v>1542339.09924349</v>
      </c>
      <c r="AI457" s="31">
        <f t="shared" si="276"/>
        <v>1.5707963267948966</v>
      </c>
      <c r="AJ457" s="31" t="str">
        <f t="shared" si="259"/>
        <v>-45501.0355668973+2070.95577510092i</v>
      </c>
      <c r="AK457" s="31">
        <f t="shared" si="277"/>
        <v>45548.140417392206</v>
      </c>
      <c r="AL457" s="31">
        <f t="shared" si="278"/>
        <v>3.0961095677084964</v>
      </c>
      <c r="AM457" s="31" t="str">
        <f t="shared" si="260"/>
        <v>1+1528707.28934874i</v>
      </c>
      <c r="AN457" s="31">
        <f t="shared" si="279"/>
        <v>1528707.289349067</v>
      </c>
      <c r="AO457" s="31">
        <f t="shared" si="280"/>
        <v>1.5707956726474304</v>
      </c>
      <c r="AP457" s="31" t="str">
        <f t="shared" si="261"/>
        <v>1+1791.58109768124i</v>
      </c>
      <c r="AQ457" s="31">
        <f t="shared" si="281"/>
        <v>1791.5813767643144</v>
      </c>
      <c r="AR457" s="31">
        <f t="shared" si="282"/>
        <v>1.5702381606602771</v>
      </c>
      <c r="AS457" s="58" t="str">
        <f t="shared" si="283"/>
        <v>-0.0176498329068315+0.392615382883897i</v>
      </c>
      <c r="AT457" s="49">
        <f t="shared" si="284"/>
        <v>-8.1118859341532499</v>
      </c>
      <c r="AU457" s="61">
        <f t="shared" si="285"/>
        <v>92.573970816559537</v>
      </c>
      <c r="AV457" s="58" t="str">
        <f t="shared" si="262"/>
        <v>-0.0453211105406008+0.00227889659844701i</v>
      </c>
      <c r="AW457" s="64">
        <f t="shared" si="286"/>
        <v>-26.863022232976348</v>
      </c>
      <c r="AX457" s="61">
        <f t="shared" si="287"/>
        <v>177.12140156864115</v>
      </c>
    </row>
    <row r="458" spans="14:50" x14ac:dyDescent="0.4">
      <c r="N458" s="10">
        <v>40</v>
      </c>
      <c r="O458" s="50">
        <f t="shared" si="288"/>
        <v>251188.64315095844</v>
      </c>
      <c r="P458" s="48" t="str">
        <f t="shared" si="253"/>
        <v>5120.19230769231</v>
      </c>
      <c r="Q458" s="17" t="str">
        <f t="shared" si="254"/>
        <v>1+7375.35277789009i</v>
      </c>
      <c r="R458" s="17">
        <f t="shared" si="263"/>
        <v>7375.3528456834565</v>
      </c>
      <c r="S458" s="17">
        <f t="shared" si="264"/>
        <v>1.5706607400610837</v>
      </c>
      <c r="T458" s="17" t="str">
        <f t="shared" si="255"/>
        <v>1+0.0157668652718451i</v>
      </c>
      <c r="U458" s="17">
        <f t="shared" si="265"/>
        <v>1.0001242892963358</v>
      </c>
      <c r="V458" s="17">
        <f t="shared" si="266"/>
        <v>1.5765558950437811E-2</v>
      </c>
      <c r="W458" s="31" t="str">
        <f t="shared" si="256"/>
        <v>1-25.567889630019i</v>
      </c>
      <c r="X458" s="17">
        <f t="shared" si="267"/>
        <v>25.587437936081706</v>
      </c>
      <c r="Y458" s="17">
        <f t="shared" si="268"/>
        <v>-1.5317046936058012</v>
      </c>
      <c r="Z458" s="31" t="str">
        <f t="shared" si="257"/>
        <v>-24.2382937792079+155.669371179651i</v>
      </c>
      <c r="AA458" s="17">
        <f t="shared" si="269"/>
        <v>157.5450665961811</v>
      </c>
      <c r="AB458" s="17">
        <f t="shared" si="270"/>
        <v>1.7252597232373428</v>
      </c>
      <c r="AC458" s="66" t="str">
        <f t="shared" si="271"/>
        <v>0.0111984479706156+0.112208910220764i</v>
      </c>
      <c r="AD458" s="64">
        <f t="shared" si="272"/>
        <v>-18.956411211169673</v>
      </c>
      <c r="AE458" s="61">
        <f t="shared" si="273"/>
        <v>84.300753427730754</v>
      </c>
      <c r="AF458" s="31" t="str">
        <f t="shared" si="258"/>
        <v>-10.0808080808081</v>
      </c>
      <c r="AG458" s="31" t="str">
        <f t="shared" si="274"/>
        <v>1578264.79197648i</v>
      </c>
      <c r="AH458" s="31">
        <f t="shared" si="275"/>
        <v>1578264.79197648</v>
      </c>
      <c r="AI458" s="31">
        <f t="shared" si="276"/>
        <v>1.5707963267948966</v>
      </c>
      <c r="AJ458" s="31" t="str">
        <f t="shared" si="259"/>
        <v>-47645.4804365259+2119.19453198413i</v>
      </c>
      <c r="AK458" s="31">
        <f t="shared" si="277"/>
        <v>47692.586336785753</v>
      </c>
      <c r="AL458" s="31">
        <f t="shared" si="278"/>
        <v>3.0971435540743095</v>
      </c>
      <c r="AM458" s="31" t="str">
        <f t="shared" si="260"/>
        <v>1+1564315.45643908i</v>
      </c>
      <c r="AN458" s="31">
        <f t="shared" si="279"/>
        <v>1564315.4564393994</v>
      </c>
      <c r="AO458" s="31">
        <f t="shared" si="280"/>
        <v>1.5707956875376445</v>
      </c>
      <c r="AP458" s="31" t="str">
        <f t="shared" si="261"/>
        <v>1+1833.31238235988i</v>
      </c>
      <c r="AQ458" s="31">
        <f t="shared" si="281"/>
        <v>1833.3126550902491</v>
      </c>
      <c r="AR458" s="31">
        <f t="shared" si="282"/>
        <v>1.5702508660701198</v>
      </c>
      <c r="AS458" s="58" t="str">
        <f t="shared" si="283"/>
        <v>-0.0168569945121355+0.383713250344494i</v>
      </c>
      <c r="AT458" s="49">
        <f t="shared" si="284"/>
        <v>-8.311490469674121</v>
      </c>
      <c r="AU458" s="61">
        <f t="shared" si="285"/>
        <v>92.515456581231788</v>
      </c>
      <c r="AV458" s="58" t="str">
        <f t="shared" si="262"/>
        <v>-0.043244817834408+0.00240548788581449i</v>
      </c>
      <c r="AW458" s="64">
        <f t="shared" si="286"/>
        <v>-27.267901680843785</v>
      </c>
      <c r="AX458" s="61">
        <f t="shared" si="287"/>
        <v>176.81621000896254</v>
      </c>
    </row>
    <row r="459" spans="14:50" x14ac:dyDescent="0.4">
      <c r="N459" s="10">
        <v>41</v>
      </c>
      <c r="O459" s="50">
        <f t="shared" si="288"/>
        <v>257039.57827688678</v>
      </c>
      <c r="P459" s="48" t="str">
        <f t="shared" si="253"/>
        <v>5120.19230769231</v>
      </c>
      <c r="Q459" s="17" t="str">
        <f t="shared" si="254"/>
        <v>1+7547.14681321331i</v>
      </c>
      <c r="R459" s="17">
        <f t="shared" si="263"/>
        <v>7547.1468794635121</v>
      </c>
      <c r="S459" s="17">
        <f t="shared" si="264"/>
        <v>1.5706638263919104</v>
      </c>
      <c r="T459" s="17" t="str">
        <f t="shared" si="255"/>
        <v>1+0.0161341227429138i</v>
      </c>
      <c r="U459" s="17">
        <f t="shared" si="265"/>
        <v>1.0001301464892873</v>
      </c>
      <c r="V459" s="17">
        <f t="shared" si="266"/>
        <v>1.6132723004144506E-2</v>
      </c>
      <c r="W459" s="31" t="str">
        <f t="shared" si="256"/>
        <v>1-26.1634422858061i</v>
      </c>
      <c r="X459" s="17">
        <f t="shared" si="267"/>
        <v>26.182545946540543</v>
      </c>
      <c r="Y459" s="17">
        <f t="shared" si="268"/>
        <v>-1.5325936522273078</v>
      </c>
      <c r="Z459" s="31" t="str">
        <f t="shared" si="257"/>
        <v>-25.4277379203039+159.295376640888i</v>
      </c>
      <c r="AA459" s="17">
        <f t="shared" si="269"/>
        <v>161.31207913515351</v>
      </c>
      <c r="AB459" s="17">
        <f t="shared" si="270"/>
        <v>1.7290872344900015</v>
      </c>
      <c r="AC459" s="66" t="str">
        <f t="shared" si="271"/>
        <v>0.0114134800118551+0.109536807704043i</v>
      </c>
      <c r="AD459" s="64">
        <f t="shared" si="272"/>
        <v>-19.161900511568128</v>
      </c>
      <c r="AE459" s="61">
        <f t="shared" si="273"/>
        <v>84.051379726676188</v>
      </c>
      <c r="AF459" s="31" t="str">
        <f t="shared" si="258"/>
        <v>-10.0808080808081</v>
      </c>
      <c r="AG459" s="31" t="str">
        <f t="shared" si="274"/>
        <v>1615027.30159297i</v>
      </c>
      <c r="AH459" s="31">
        <f t="shared" si="275"/>
        <v>1615027.30159297</v>
      </c>
      <c r="AI459" s="31">
        <f t="shared" si="276"/>
        <v>1.5707963267948966</v>
      </c>
      <c r="AJ459" s="31" t="str">
        <f t="shared" si="259"/>
        <v>-49890.9898792348+2168.55691385905i</v>
      </c>
      <c r="AK459" s="31">
        <f t="shared" si="277"/>
        <v>49938.096782101689</v>
      </c>
      <c r="AL459" s="31">
        <f t="shared" si="278"/>
        <v>3.0981540930138971</v>
      </c>
      <c r="AM459" s="31" t="str">
        <f t="shared" si="260"/>
        <v>1+1600753.04429058i</v>
      </c>
      <c r="AN459" s="31">
        <f t="shared" si="279"/>
        <v>1600753.0442908925</v>
      </c>
      <c r="AO459" s="31">
        <f t="shared" si="280"/>
        <v>1.5707957020889161</v>
      </c>
      <c r="AP459" s="31" t="str">
        <f t="shared" si="261"/>
        <v>1+1876.0157135304i</v>
      </c>
      <c r="AQ459" s="31">
        <f t="shared" si="281"/>
        <v>1876.0159800526692</v>
      </c>
      <c r="AR459" s="31">
        <f t="shared" si="282"/>
        <v>1.570263282269696</v>
      </c>
      <c r="AS459" s="58" t="str">
        <f t="shared" si="283"/>
        <v>-0.0160997049143145+0.375011432476023i</v>
      </c>
      <c r="AT459" s="49">
        <f t="shared" si="284"/>
        <v>-8.511112770407026</v>
      </c>
      <c r="AU459" s="61">
        <f t="shared" si="285"/>
        <v>92.458269194519517</v>
      </c>
      <c r="AV459" s="58" t="str">
        <f t="shared" si="262"/>
        <v>-0.0412613088261801+0.00251667520749113i</v>
      </c>
      <c r="AW459" s="64">
        <f t="shared" si="286"/>
        <v>-27.673013281975159</v>
      </c>
      <c r="AX459" s="61">
        <f t="shared" si="287"/>
        <v>176.50964892119569</v>
      </c>
    </row>
    <row r="460" spans="14:50" x14ac:dyDescent="0.4">
      <c r="N460" s="10">
        <v>42</v>
      </c>
      <c r="O460" s="50">
        <f t="shared" si="288"/>
        <v>263026.79918953858</v>
      </c>
      <c r="P460" s="48" t="str">
        <f t="shared" si="253"/>
        <v>5120.19230769231</v>
      </c>
      <c r="Q460" s="17" t="str">
        <f t="shared" si="254"/>
        <v>1+7722.94244567519i</v>
      </c>
      <c r="R460" s="17">
        <f t="shared" si="263"/>
        <v>7722.9425104173533</v>
      </c>
      <c r="S460" s="17">
        <f t="shared" si="264"/>
        <v>1.5706668424692727</v>
      </c>
      <c r="T460" s="17" t="str">
        <f t="shared" si="255"/>
        <v>1+0.0165099347394212i</v>
      </c>
      <c r="U460" s="17">
        <f t="shared" si="265"/>
        <v>1.0001362796864735</v>
      </c>
      <c r="V460" s="17">
        <f t="shared" si="266"/>
        <v>1.6508434903345231E-2</v>
      </c>
      <c r="W460" s="31" t="str">
        <f t="shared" si="256"/>
        <v>1-26.7728671450073i</v>
      </c>
      <c r="X460" s="17">
        <f t="shared" si="267"/>
        <v>26.791536259875269</v>
      </c>
      <c r="Y460" s="17">
        <f t="shared" si="268"/>
        <v>-1.5334624340559138</v>
      </c>
      <c r="Z460" s="31" t="str">
        <f t="shared" si="257"/>
        <v>-26.6732388367575+163.005842619344i</v>
      </c>
      <c r="AA460" s="17">
        <f t="shared" si="269"/>
        <v>165.17374609206229</v>
      </c>
      <c r="AB460" s="17">
        <f t="shared" si="270"/>
        <v>1.732992504468825</v>
      </c>
      <c r="AC460" s="66" t="str">
        <f t="shared" si="271"/>
        <v>0.0116170588381369+0.106922949585963i</v>
      </c>
      <c r="AD460" s="64">
        <f t="shared" si="272"/>
        <v>-19.367614978602006</v>
      </c>
      <c r="AE460" s="61">
        <f t="shared" si="273"/>
        <v>83.799200604567233</v>
      </c>
      <c r="AF460" s="31" t="str">
        <f t="shared" si="258"/>
        <v>-10.0808080808081</v>
      </c>
      <c r="AG460" s="31" t="str">
        <f t="shared" si="274"/>
        <v>1652646.12006218i</v>
      </c>
      <c r="AH460" s="31">
        <f t="shared" si="275"/>
        <v>1652646.1200621801</v>
      </c>
      <c r="AI460" s="31">
        <f t="shared" si="276"/>
        <v>1.5707963267948966</v>
      </c>
      <c r="AJ460" s="31" t="str">
        <f t="shared" si="259"/>
        <v>-52242.3269216132+2219.06909331395i</v>
      </c>
      <c r="AK460" s="31">
        <f t="shared" si="277"/>
        <v>52289.434782043812</v>
      </c>
      <c r="AL460" s="31">
        <f t="shared" si="278"/>
        <v>3.099141712331468</v>
      </c>
      <c r="AM460" s="31" t="str">
        <f t="shared" si="260"/>
        <v>1+1638039.37259463i</v>
      </c>
      <c r="AN460" s="31">
        <f t="shared" si="279"/>
        <v>1638039.3725949354</v>
      </c>
      <c r="AO460" s="31">
        <f t="shared" si="280"/>
        <v>1.5707957163089603</v>
      </c>
      <c r="AP460" s="31" t="str">
        <f t="shared" si="261"/>
        <v>1+1919.71373306423i</v>
      </c>
      <c r="AQ460" s="31">
        <f t="shared" si="281"/>
        <v>1919.7139935197122</v>
      </c>
      <c r="AR460" s="31">
        <f t="shared" si="282"/>
        <v>1.5702754158422232</v>
      </c>
      <c r="AS460" s="58" t="str">
        <f t="shared" si="283"/>
        <v>-0.0153763759835736+0.366505523954753i</v>
      </c>
      <c r="AT460" s="49">
        <f t="shared" si="284"/>
        <v>-8.7107520397388765</v>
      </c>
      <c r="AU460" s="61">
        <f t="shared" si="285"/>
        <v>92.402378793101889</v>
      </c>
      <c r="AV460" s="58" t="str">
        <f t="shared" si="262"/>
        <v>-0.0393664799253095+0.00261362876217811i</v>
      </c>
      <c r="AW460" s="64">
        <f t="shared" si="286"/>
        <v>-28.078367018340884</v>
      </c>
      <c r="AX460" s="61">
        <f t="shared" si="287"/>
        <v>176.20157939766912</v>
      </c>
    </row>
    <row r="461" spans="14:50" x14ac:dyDescent="0.4">
      <c r="N461" s="10">
        <v>43</v>
      </c>
      <c r="O461" s="50">
        <f t="shared" si="288"/>
        <v>269153.48039269145</v>
      </c>
      <c r="P461" s="48" t="str">
        <f t="shared" si="253"/>
        <v>5120.19230769231</v>
      </c>
      <c r="Q461" s="17" t="str">
        <f t="shared" si="254"/>
        <v>1+7902.83288444703i</v>
      </c>
      <c r="R461" s="17">
        <f t="shared" si="263"/>
        <v>7902.8329477154803</v>
      </c>
      <c r="S461" s="17">
        <f t="shared" si="264"/>
        <v>1.5706697898923347</v>
      </c>
      <c r="T461" s="17" t="str">
        <f t="shared" si="255"/>
        <v>1+0.0168945005218623i</v>
      </c>
      <c r="U461" s="17">
        <f t="shared" si="265"/>
        <v>1.0001427018920266</v>
      </c>
      <c r="V461" s="17">
        <f t="shared" si="266"/>
        <v>1.6892893430936404E-2</v>
      </c>
      <c r="W461" s="31" t="str">
        <f t="shared" si="256"/>
        <v>1-27.3964873327497i</v>
      </c>
      <c r="X461" s="17">
        <f t="shared" si="267"/>
        <v>27.414731772780755</v>
      </c>
      <c r="Y461" s="17">
        <f t="shared" si="268"/>
        <v>-1.5343114944823237</v>
      </c>
      <c r="Z461" s="31" t="str">
        <f t="shared" si="257"/>
        <v>-27.9774384029997+166.802736453195i</v>
      </c>
      <c r="AA461" s="17">
        <f t="shared" si="269"/>
        <v>169.13275835233006</v>
      </c>
      <c r="AB461" s="17">
        <f t="shared" si="270"/>
        <v>1.7369771775456533</v>
      </c>
      <c r="AC461" s="66" t="str">
        <f t="shared" si="271"/>
        <v>0.0118096231994459+0.1043659793551i</v>
      </c>
      <c r="AD461" s="64">
        <f t="shared" si="272"/>
        <v>-19.573565788644519</v>
      </c>
      <c r="AE461" s="61">
        <f t="shared" si="273"/>
        <v>83.544107051667496</v>
      </c>
      <c r="AF461" s="31" t="str">
        <f t="shared" si="258"/>
        <v>-10.0808080808081</v>
      </c>
      <c r="AG461" s="31" t="str">
        <f t="shared" si="274"/>
        <v>1691141.19337961i</v>
      </c>
      <c r="AH461" s="31">
        <f t="shared" si="275"/>
        <v>1691141.1933796101</v>
      </c>
      <c r="AI461" s="31">
        <f t="shared" si="276"/>
        <v>1.5707963267948966</v>
      </c>
      <c r="AJ461" s="31" t="str">
        <f t="shared" si="259"/>
        <v>-54704.4790647774+2270.75785257496i</v>
      </c>
      <c r="AK461" s="31">
        <f t="shared" si="277"/>
        <v>54751.587839748536</v>
      </c>
      <c r="AL461" s="31">
        <f t="shared" si="278"/>
        <v>3.1001069282107965</v>
      </c>
      <c r="AM461" s="31" t="str">
        <f t="shared" si="260"/>
        <v>1+1676194.21105605i</v>
      </c>
      <c r="AN461" s="31">
        <f t="shared" si="279"/>
        <v>1676194.2110563484</v>
      </c>
      <c r="AO461" s="31">
        <f t="shared" si="280"/>
        <v>1.5707957302053168</v>
      </c>
      <c r="AP461" s="31" t="str">
        <f t="shared" si="261"/>
        <v>1+1964.42961022976i</v>
      </c>
      <c r="AQ461" s="31">
        <f t="shared" si="281"/>
        <v>1964.4298647565524</v>
      </c>
      <c r="AR461" s="31">
        <f t="shared" si="282"/>
        <v>1.5702872732210684</v>
      </c>
      <c r="AS461" s="58" t="str">
        <f t="shared" si="283"/>
        <v>-0.0146854900309881+0.358191209497389i</v>
      </c>
      <c r="AT461" s="49">
        <f t="shared" si="284"/>
        <v>-8.9104075166506433</v>
      </c>
      <c r="AU461" s="61">
        <f t="shared" si="285"/>
        <v>92.347756170863846</v>
      </c>
      <c r="AV461" s="58" t="str">
        <f t="shared" si="262"/>
        <v>-0.037556406479348+0.00269743766812432i</v>
      </c>
      <c r="AW461" s="64">
        <f t="shared" si="286"/>
        <v>-28.483973305295159</v>
      </c>
      <c r="AX461" s="61">
        <f t="shared" si="287"/>
        <v>175.89186322253136</v>
      </c>
    </row>
    <row r="462" spans="14:50" x14ac:dyDescent="0.4">
      <c r="N462" s="10">
        <v>44</v>
      </c>
      <c r="O462" s="50">
        <f t="shared" si="288"/>
        <v>275422.87033381703</v>
      </c>
      <c r="P462" s="48" t="str">
        <f t="shared" si="253"/>
        <v>5120.19230769231</v>
      </c>
      <c r="Q462" s="17" t="str">
        <f t="shared" si="254"/>
        <v>1+8086.91350982056i</v>
      </c>
      <c r="R462" s="17">
        <f t="shared" si="263"/>
        <v>8086.9135716488454</v>
      </c>
      <c r="S462" s="17">
        <f t="shared" si="264"/>
        <v>1.5706726702238589</v>
      </c>
      <c r="T462" s="17" t="str">
        <f t="shared" si="255"/>
        <v>1+0.0172880239921053i</v>
      </c>
      <c r="U462" s="17">
        <f t="shared" si="265"/>
        <v>1.000149426722603</v>
      </c>
      <c r="V462" s="17">
        <f t="shared" si="266"/>
        <v>1.7286301977047964E-2</v>
      </c>
      <c r="W462" s="31" t="str">
        <f t="shared" si="256"/>
        <v>1-28.0346335007113i</v>
      </c>
      <c r="X462" s="17">
        <f t="shared" si="267"/>
        <v>28.05246291360536</v>
      </c>
      <c r="Y462" s="17">
        <f t="shared" si="268"/>
        <v>-1.5351412787900933</v>
      </c>
      <c r="Z462" s="31" t="str">
        <f t="shared" si="257"/>
        <v>-29.3431030011676+170.688071305808i</v>
      </c>
      <c r="AA462" s="17">
        <f t="shared" si="269"/>
        <v>173.19190333221044</v>
      </c>
      <c r="AB462" s="17">
        <f t="shared" si="270"/>
        <v>1.7410429114803732</v>
      </c>
      <c r="AC462" s="66" t="str">
        <f t="shared" si="271"/>
        <v>0.0119915891322242+0.101864571373987i</v>
      </c>
      <c r="AD462" s="64">
        <f t="shared" si="272"/>
        <v>-19.779764532261357</v>
      </c>
      <c r="AE462" s="61">
        <f t="shared" si="273"/>
        <v>83.285990136320166</v>
      </c>
      <c r="AF462" s="31" t="str">
        <f t="shared" si="258"/>
        <v>-10.0808080808081</v>
      </c>
      <c r="AG462" s="31" t="str">
        <f t="shared" si="274"/>
        <v>1730532.93214267i</v>
      </c>
      <c r="AH462" s="31">
        <f t="shared" si="275"/>
        <v>1730532.93214267</v>
      </c>
      <c r="AI462" s="31">
        <f t="shared" si="276"/>
        <v>1.5707963267948966</v>
      </c>
      <c r="AJ462" s="31" t="str">
        <f t="shared" si="259"/>
        <v>-57282.6688635296+2323.65059770646i</v>
      </c>
      <c r="AK462" s="31">
        <f t="shared" si="277"/>
        <v>57329.778511947909</v>
      </c>
      <c r="AL462" s="31">
        <f t="shared" si="278"/>
        <v>3.1010502454536191</v>
      </c>
      <c r="AM462" s="31" t="str">
        <f t="shared" si="260"/>
        <v>1+1715237.78987523i</v>
      </c>
      <c r="AN462" s="31">
        <f t="shared" si="279"/>
        <v>1715237.7898755218</v>
      </c>
      <c r="AO462" s="31">
        <f t="shared" si="280"/>
        <v>1.5707957437853537</v>
      </c>
      <c r="AP462" s="31" t="str">
        <f t="shared" si="261"/>
        <v>1+2010.18705397693i</v>
      </c>
      <c r="AQ462" s="31">
        <f t="shared" si="281"/>
        <v>2010.1873027099859</v>
      </c>
      <c r="AR462" s="31">
        <f t="shared" si="282"/>
        <v>1.5702988606931572</v>
      </c>
      <c r="AS462" s="58" t="str">
        <f t="shared" si="283"/>
        <v>-0.0140255967288324+0.350064262487369i</v>
      </c>
      <c r="AT462" s="49">
        <f t="shared" si="284"/>
        <v>-9.1100784741385237</v>
      </c>
      <c r="AU462" s="61">
        <f t="shared" si="285"/>
        <v>92.294372765432882</v>
      </c>
      <c r="AV462" s="58" t="str">
        <f t="shared" si="262"/>
        <v>-0.0358273352449331+0.00276911540657671i</v>
      </c>
      <c r="AW462" s="64">
        <f t="shared" si="286"/>
        <v>-28.889843006399886</v>
      </c>
      <c r="AX462" s="61">
        <f t="shared" si="287"/>
        <v>175.58036290175303</v>
      </c>
    </row>
    <row r="463" spans="14:50" x14ac:dyDescent="0.4">
      <c r="N463" s="10">
        <v>45</v>
      </c>
      <c r="O463" s="50">
        <f t="shared" si="288"/>
        <v>281838.29312644573</v>
      </c>
      <c r="P463" s="48" t="str">
        <f t="shared" si="253"/>
        <v>5120.19230769231</v>
      </c>
      <c r="Q463" s="17" t="str">
        <f t="shared" si="254"/>
        <v>1+8275.28192377993i</v>
      </c>
      <c r="R463" s="17">
        <f t="shared" si="263"/>
        <v>8275.2819842008321</v>
      </c>
      <c r="S463" s="17">
        <f t="shared" si="264"/>
        <v>1.5706754849910352</v>
      </c>
      <c r="T463" s="17" t="str">
        <f t="shared" si="255"/>
        <v>1+0.0176907138015029i</v>
      </c>
      <c r="U463" s="17">
        <f t="shared" si="265"/>
        <v>1.0001564684362176</v>
      </c>
      <c r="V463" s="17">
        <f t="shared" si="266"/>
        <v>1.7688868644715233E-2</v>
      </c>
      <c r="W463" s="31" t="str">
        <f t="shared" si="256"/>
        <v>1-28.6876440024371i</v>
      </c>
      <c r="X463" s="17">
        <f t="shared" si="267"/>
        <v>28.705067817557325</v>
      </c>
      <c r="Y463" s="17">
        <f t="shared" si="268"/>
        <v>-1.5359522223685047</v>
      </c>
      <c r="Z463" s="31" t="str">
        <f t="shared" si="257"/>
        <v>-30.7731293889715+174.663907233151i</v>
      </c>
      <c r="AA463" s="17">
        <f t="shared" si="269"/>
        <v>177.3540695398365</v>
      </c>
      <c r="AB463" s="17">
        <f t="shared" si="270"/>
        <v>1.7451913764516007</v>
      </c>
      <c r="AC463" s="66" t="str">
        <f t="shared" si="271"/>
        <v>0.0121633508970835+0.0994174302942251i</v>
      </c>
      <c r="AD463" s="64">
        <f t="shared" si="272"/>
        <v>-19.986223230855519</v>
      </c>
      <c r="AE463" s="61">
        <f t="shared" si="273"/>
        <v>83.024741054295305</v>
      </c>
      <c r="AF463" s="31" t="str">
        <f t="shared" si="258"/>
        <v>-10.0808080808081</v>
      </c>
      <c r="AG463" s="31" t="str">
        <f t="shared" si="274"/>
        <v>1770842.22237266i</v>
      </c>
      <c r="AH463" s="31">
        <f t="shared" si="275"/>
        <v>1770842.2223726599</v>
      </c>
      <c r="AI463" s="31">
        <f t="shared" si="276"/>
        <v>1.5707963267948966</v>
      </c>
      <c r="AJ463" s="31" t="str">
        <f t="shared" si="259"/>
        <v>-59982.3650040962+2377.775373142i</v>
      </c>
      <c r="AK463" s="31">
        <f t="shared" si="277"/>
        <v>60029.475486711912</v>
      </c>
      <c r="AL463" s="31">
        <f t="shared" si="278"/>
        <v>3.10197215771433</v>
      </c>
      <c r="AM463" s="31" t="str">
        <f t="shared" si="260"/>
        <v>1+1755190.81047445i</v>
      </c>
      <c r="AN463" s="31">
        <f t="shared" si="279"/>
        <v>1755190.810474735</v>
      </c>
      <c r="AO463" s="31">
        <f t="shared" si="280"/>
        <v>1.5707957570562709</v>
      </c>
      <c r="AP463" s="31" t="str">
        <f t="shared" si="261"/>
        <v>1+2057.01032550808i</v>
      </c>
      <c r="AQ463" s="31">
        <f t="shared" si="281"/>
        <v>2057.010568579281</v>
      </c>
      <c r="AR463" s="31">
        <f t="shared" si="282"/>
        <v>1.570310184402308</v>
      </c>
      <c r="AS463" s="58" t="str">
        <f t="shared" si="283"/>
        <v>-0.0133953101616056+0.342120543588144i</v>
      </c>
      <c r="AT463" s="49">
        <f t="shared" si="284"/>
        <v>-9.309764217703556</v>
      </c>
      <c r="AU463" s="61">
        <f t="shared" si="285"/>
        <v>92.24220064492313</v>
      </c>
      <c r="AV463" s="58" t="str">
        <f t="shared" si="262"/>
        <v>-0.0341756771522676+0.0028296049065026i</v>
      </c>
      <c r="AW463" s="64">
        <f t="shared" si="286"/>
        <v>-29.295987448559071</v>
      </c>
      <c r="AX463" s="61">
        <f t="shared" si="287"/>
        <v>175.26694169921845</v>
      </c>
    </row>
    <row r="464" spans="14:50" x14ac:dyDescent="0.4">
      <c r="N464" s="10">
        <v>46</v>
      </c>
      <c r="O464" s="50">
        <f t="shared" si="288"/>
        <v>288403.1503126609</v>
      </c>
      <c r="P464" s="48" t="str">
        <f t="shared" si="253"/>
        <v>5120.19230769231</v>
      </c>
      <c r="Q464" s="17" t="str">
        <f t="shared" si="254"/>
        <v>1+8468.03800175161i</v>
      </c>
      <c r="R464" s="17">
        <f t="shared" si="263"/>
        <v>8468.0380607971656</v>
      </c>
      <c r="S464" s="17">
        <f t="shared" si="264"/>
        <v>1.5706782356862898</v>
      </c>
      <c r="T464" s="17" t="str">
        <f t="shared" si="255"/>
        <v>1+0.0181027834615223i</v>
      </c>
      <c r="U464" s="17">
        <f t="shared" si="265"/>
        <v>1.000163841962433</v>
      </c>
      <c r="V464" s="17">
        <f t="shared" si="266"/>
        <v>1.8100806357895231E-2</v>
      </c>
      <c r="W464" s="31" t="str">
        <f t="shared" si="256"/>
        <v>1-29.3558650727389i</v>
      </c>
      <c r="X464" s="17">
        <f t="shared" si="267"/>
        <v>29.372892505996951</v>
      </c>
      <c r="Y464" s="17">
        <f t="shared" si="268"/>
        <v>-1.5367447509217373</v>
      </c>
      <c r="Z464" s="31" t="str">
        <f t="shared" si="257"/>
        <v>-32.2705508441071+178.732352276059i</v>
      </c>
      <c r="AA464" s="17">
        <f t="shared" si="269"/>
        <v>181.622251395349</v>
      </c>
      <c r="AB464" s="17">
        <f t="shared" si="270"/>
        <v>1.7494242539851006</v>
      </c>
      <c r="AC464" s="66" t="str">
        <f t="shared" si="271"/>
        <v>0.0123252818750485+0.0970232904887768i</v>
      </c>
      <c r="AD464" s="64">
        <f t="shared" si="272"/>
        <v>-20.192954353532642</v>
      </c>
      <c r="AE464" s="61">
        <f t="shared" si="273"/>
        <v>82.760251184344853</v>
      </c>
      <c r="AF464" s="31" t="str">
        <f t="shared" si="258"/>
        <v>-10.0808080808081</v>
      </c>
      <c r="AG464" s="31" t="str">
        <f t="shared" si="274"/>
        <v>1812090.43658882i</v>
      </c>
      <c r="AH464" s="31">
        <f t="shared" si="275"/>
        <v>1812090.4365888201</v>
      </c>
      <c r="AI464" s="31">
        <f t="shared" si="276"/>
        <v>1.5707963267948966</v>
      </c>
      <c r="AJ464" s="31" t="str">
        <f t="shared" si="259"/>
        <v>-62809.2939039464+2433.16087655397i</v>
      </c>
      <c r="AK464" s="31">
        <f t="shared" si="277"/>
        <v>62856.405183270799</v>
      </c>
      <c r="AL464" s="31">
        <f t="shared" si="278"/>
        <v>3.1028731477309401</v>
      </c>
      <c r="AM464" s="31" t="str">
        <f t="shared" si="260"/>
        <v>1+1796074.45647408i</v>
      </c>
      <c r="AN464" s="31">
        <f t="shared" si="279"/>
        <v>1796074.4564743584</v>
      </c>
      <c r="AO464" s="31">
        <f t="shared" si="280"/>
        <v>1.5707957700251054</v>
      </c>
      <c r="AP464" s="31" t="str">
        <f t="shared" si="261"/>
        <v>1+2104.92425114157i</v>
      </c>
      <c r="AQ464" s="31">
        <f t="shared" si="281"/>
        <v>2104.9244886797956</v>
      </c>
      <c r="AR464" s="31">
        <f t="shared" si="282"/>
        <v>1.5703212503524901</v>
      </c>
      <c r="AS464" s="58" t="str">
        <f t="shared" si="283"/>
        <v>-0.0127933060025592+0.334355999346578i</v>
      </c>
      <c r="AT464" s="49">
        <f t="shared" si="284"/>
        <v>-9.5094640839074778</v>
      </c>
      <c r="AU464" s="61">
        <f t="shared" si="285"/>
        <v>92.191212494889143</v>
      </c>
      <c r="AV464" s="58" t="str">
        <f t="shared" si="262"/>
        <v>-0.0325980003538636+0.00287978329396199i</v>
      </c>
      <c r="AW464" s="64">
        <f t="shared" si="286"/>
        <v>-29.702418437440123</v>
      </c>
      <c r="AX464" s="61">
        <f t="shared" si="287"/>
        <v>174.951463679234</v>
      </c>
    </row>
    <row r="465" spans="14:50" x14ac:dyDescent="0.4">
      <c r="N465" s="10">
        <v>47</v>
      </c>
      <c r="O465" s="50">
        <f t="shared" si="288"/>
        <v>295120.92266663886</v>
      </c>
      <c r="P465" s="48" t="str">
        <f t="shared" si="253"/>
        <v>5120.19230769231</v>
      </c>
      <c r="Q465" s="17" t="str">
        <f t="shared" si="254"/>
        <v>1+8665.28394555953i</v>
      </c>
      <c r="R465" s="17">
        <f t="shared" si="263"/>
        <v>8665.2840032610438</v>
      </c>
      <c r="S465" s="17">
        <f t="shared" si="264"/>
        <v>1.5706809237680779</v>
      </c>
      <c r="T465" s="17" t="str">
        <f t="shared" si="255"/>
        <v>1+0.0185244514569517i</v>
      </c>
      <c r="U465" s="17">
        <f t="shared" si="265"/>
        <v>1.0001715629339702</v>
      </c>
      <c r="V465" s="17">
        <f t="shared" si="266"/>
        <v>1.8522332971872883E-2</v>
      </c>
      <c r="W465" s="31" t="str">
        <f t="shared" si="256"/>
        <v>1-30.039651011273i</v>
      </c>
      <c r="X465" s="17">
        <f t="shared" si="267"/>
        <v>30.056291069908731</v>
      </c>
      <c r="Y465" s="17">
        <f t="shared" si="268"/>
        <v>-1.5375192806743379</v>
      </c>
      <c r="Z465" s="31" t="str">
        <f t="shared" si="257"/>
        <v>-33.8385435982434+182.895563577946i</v>
      </c>
      <c r="AA465" s="17">
        <f t="shared" si="269"/>
        <v>185.99955432566151</v>
      </c>
      <c r="AB465" s="17">
        <f t="shared" si="270"/>
        <v>1.7537432357741238</v>
      </c>
      <c r="AC465" s="66" t="str">
        <f t="shared" si="271"/>
        <v>0.0124777354245624+0.0946809155013596i</v>
      </c>
      <c r="AD465" s="64">
        <f t="shared" si="272"/>
        <v>-20.399970834169157</v>
      </c>
      <c r="AE465" s="61">
        <f t="shared" si="273"/>
        <v>82.492412150300538</v>
      </c>
      <c r="AF465" s="31" t="str">
        <f t="shared" si="258"/>
        <v>-10.0808080808081</v>
      </c>
      <c r="AG465" s="31" t="str">
        <f t="shared" si="274"/>
        <v>1854299.44514031i</v>
      </c>
      <c r="AH465" s="31">
        <f t="shared" si="275"/>
        <v>1854299.4451403101</v>
      </c>
      <c r="AI465" s="31">
        <f t="shared" si="276"/>
        <v>1.5707963267948966</v>
      </c>
      <c r="AJ465" s="31" t="str">
        <f t="shared" si="259"/>
        <v>-65769.4518582895+2489.83647406937i</v>
      </c>
      <c r="AK465" s="31">
        <f t="shared" si="277"/>
        <v>65816.563898516208</v>
      </c>
      <c r="AL465" s="31">
        <f t="shared" si="278"/>
        <v>3.1037536875522931</v>
      </c>
      <c r="AM465" s="31" t="str">
        <f t="shared" si="260"/>
        <v>1+1837910.40492439i</v>
      </c>
      <c r="AN465" s="31">
        <f t="shared" si="279"/>
        <v>1837910.4049246616</v>
      </c>
      <c r="AO465" s="31">
        <f t="shared" si="280"/>
        <v>1.5707957826987333</v>
      </c>
      <c r="AP465" s="31" t="str">
        <f t="shared" si="261"/>
        <v>1+2153.95423547499i</v>
      </c>
      <c r="AQ465" s="31">
        <f t="shared" si="281"/>
        <v>2153.954467606186</v>
      </c>
      <c r="AR465" s="31">
        <f t="shared" si="282"/>
        <v>1.5703320644110057</v>
      </c>
      <c r="AS465" s="58" t="str">
        <f t="shared" si="283"/>
        <v>-0.0122183188107051+0.326766660789375i</v>
      </c>
      <c r="AT465" s="49">
        <f t="shared" si="284"/>
        <v>-9.7091774389921763</v>
      </c>
      <c r="AU465" s="61">
        <f t="shared" si="285"/>
        <v>92.141381605490167</v>
      </c>
      <c r="AV465" s="58" t="str">
        <f t="shared" si="262"/>
        <v>-0.0310910235483132+0.00292046632801251i</v>
      </c>
      <c r="AW465" s="64">
        <f t="shared" si="286"/>
        <v>-30.109148273161324</v>
      </c>
      <c r="AX465" s="61">
        <f t="shared" si="287"/>
        <v>174.63379375579072</v>
      </c>
    </row>
    <row r="466" spans="14:50" x14ac:dyDescent="0.4">
      <c r="N466" s="10">
        <v>48</v>
      </c>
      <c r="O466" s="50">
        <f t="shared" si="288"/>
        <v>301995.17204020242</v>
      </c>
      <c r="P466" s="48" t="str">
        <f t="shared" si="253"/>
        <v>5120.19230769231</v>
      </c>
      <c r="Q466" s="17" t="str">
        <f t="shared" si="254"/>
        <v>1+8867.12433761399i</v>
      </c>
      <c r="R466" s="17">
        <f t="shared" si="263"/>
        <v>8867.1243940020559</v>
      </c>
      <c r="S466" s="17">
        <f t="shared" si="264"/>
        <v>1.5706835506616559</v>
      </c>
      <c r="T466" s="17" t="str">
        <f t="shared" si="255"/>
        <v>1+0.0189559413617437i</v>
      </c>
      <c r="U466" s="17">
        <f t="shared" si="265"/>
        <v>1.0001796477198033</v>
      </c>
      <c r="V466" s="17">
        <f t="shared" si="266"/>
        <v>1.8953671386104178E-2</v>
      </c>
      <c r="W466" s="31" t="str">
        <f t="shared" si="256"/>
        <v>1-30.7393643703952i</v>
      </c>
      <c r="X466" s="17">
        <f t="shared" si="267"/>
        <v>30.755625857652809</v>
      </c>
      <c r="Y466" s="17">
        <f t="shared" si="268"/>
        <v>-1.5382762185730088</v>
      </c>
      <c r="Z466" s="31" t="str">
        <f t="shared" si="257"/>
        <v>-35.4804335742366+187.155748528551i</v>
      </c>
      <c r="AA466" s="17">
        <f t="shared" si="269"/>
        <v>190.48920015029208</v>
      </c>
      <c r="AB466" s="17">
        <f t="shared" si="270"/>
        <v>1.7581500223857203</v>
      </c>
      <c r="AC466" s="66" t="str">
        <f t="shared" si="271"/>
        <v>0.0126210457014399+0.0923890975129286i</v>
      </c>
      <c r="AD466" s="64">
        <f t="shared" si="272"/>
        <v>-20.60728608865454</v>
      </c>
      <c r="AE466" s="61">
        <f t="shared" si="273"/>
        <v>82.221115890055998</v>
      </c>
      <c r="AF466" s="31" t="str">
        <f t="shared" si="258"/>
        <v>-10.0808080808081</v>
      </c>
      <c r="AG466" s="31" t="str">
        <f t="shared" si="274"/>
        <v>1897491.62780217i</v>
      </c>
      <c r="AH466" s="31">
        <f t="shared" si="275"/>
        <v>1897491.6278021701</v>
      </c>
      <c r="AI466" s="31">
        <f t="shared" si="276"/>
        <v>1.5707963267948966</v>
      </c>
      <c r="AJ466" s="31" t="str">
        <f t="shared" si="259"/>
        <v>-68869.1177590223+2547.83221584021i</v>
      </c>
      <c r="AK466" s="31">
        <f t="shared" si="277"/>
        <v>68916.230525951964</v>
      </c>
      <c r="AL466" s="31">
        <f t="shared" si="278"/>
        <v>3.1046142387615068</v>
      </c>
      <c r="AM466" s="31" t="str">
        <f t="shared" si="260"/>
        <v>1+1880720.83779901i</v>
      </c>
      <c r="AN466" s="31">
        <f t="shared" si="279"/>
        <v>1880720.8377992758</v>
      </c>
      <c r="AO466" s="31">
        <f t="shared" si="280"/>
        <v>1.570795795083874</v>
      </c>
      <c r="AP466" s="31" t="str">
        <f t="shared" si="261"/>
        <v>1+2204.126274855i</v>
      </c>
      <c r="AQ466" s="31">
        <f t="shared" si="281"/>
        <v>2204.1265017022456</v>
      </c>
      <c r="AR466" s="31">
        <f t="shared" si="282"/>
        <v>1.5703426323116016</v>
      </c>
      <c r="AS466" s="58" t="str">
        <f t="shared" si="283"/>
        <v>-0.0116691394434566+0.319348642015221i</v>
      </c>
      <c r="AT466" s="49">
        <f t="shared" si="284"/>
        <v>-9.9089036775597528</v>
      </c>
      <c r="AU466" s="61">
        <f t="shared" si="285"/>
        <v>92.092681858866086</v>
      </c>
      <c r="AV466" s="58" t="str">
        <f t="shared" si="262"/>
        <v>-0.0296516095699779+0.0029524125436334i</v>
      </c>
      <c r="AW466" s="64">
        <f t="shared" si="286"/>
        <v>-30.516189766214303</v>
      </c>
      <c r="AX466" s="61">
        <f t="shared" si="287"/>
        <v>174.31379774892207</v>
      </c>
    </row>
    <row r="467" spans="14:50" x14ac:dyDescent="0.4">
      <c r="N467" s="10">
        <v>49</v>
      </c>
      <c r="O467" s="50">
        <f t="shared" si="288"/>
        <v>309029.54325135931</v>
      </c>
      <c r="P467" s="48" t="str">
        <f t="shared" ref="P467:P530" si="289">COMPLEX(Adc,0)</f>
        <v>5120.19230769231</v>
      </c>
      <c r="Q467" s="17" t="str">
        <f t="shared" ref="Q467:Q530" si="290">IMSUM(COMPLEX(1,0),IMDIV(COMPLEX(0,2*PI()*O467),COMPLEX(wp_lf,0)))</f>
        <v>1+9073.66619636251i</v>
      </c>
      <c r="R467" s="17">
        <f t="shared" si="263"/>
        <v>9073.6662514670261</v>
      </c>
      <c r="S467" s="17">
        <f t="shared" si="264"/>
        <v>1.5706861177598372</v>
      </c>
      <c r="T467" s="17" t="str">
        <f t="shared" ref="T467:T530" si="291">IMSUM(COMPLEX(1,0),IMDIV(COMPLEX(0,2*PI()*O467),COMPLEX(wz_esr,0)))</f>
        <v>1+0.0193974819575572i</v>
      </c>
      <c r="U467" s="17">
        <f t="shared" si="265"/>
        <v>1.0001881134598101</v>
      </c>
      <c r="V467" s="17">
        <f t="shared" si="266"/>
        <v>1.9395049659543615E-2</v>
      </c>
      <c r="W467" s="31" t="str">
        <f t="shared" ref="W467:W530" si="292">IMSUB(COMPLEX(1,0),IMDIV(COMPLEX(0,2*PI()*O467),COMPLEX(wz_rhp,0)))</f>
        <v>1-31.45537614739i</v>
      </c>
      <c r="X467" s="17">
        <f t="shared" si="267"/>
        <v>31.471267667092661</v>
      </c>
      <c r="Y467" s="17">
        <f t="shared" si="268"/>
        <v>-1.5390159624847288</v>
      </c>
      <c r="Z467" s="31" t="str">
        <f t="shared" ref="Z467:Z530" si="293">IMSUM(COMPLEX(1,0),IMDIV(COMPLEX(0,2*PI()*O467),COMPLEX(Q*(wsl/2),0)),IMDIV(IMPOWER(COMPLEX(0,2*PI()*O467),2),IMPOWER(COMPLEX(wsl/2,0),2)))</f>
        <v>-37.1997034408576+191.515165934326i</v>
      </c>
      <c r="AA467" s="17">
        <f t="shared" si="269"/>
        <v>195.09453277562696</v>
      </c>
      <c r="AB467" s="17">
        <f t="shared" si="270"/>
        <v>1.7626463218468935</v>
      </c>
      <c r="AC467" s="66" t="str">
        <f t="shared" si="271"/>
        <v>0.0127555284438773+0.0901466568251456i</v>
      </c>
      <c r="AD467" s="64">
        <f t="shared" si="272"/>
        <v>-20.814914032281514</v>
      </c>
      <c r="AE467" s="61">
        <f t="shared" si="273"/>
        <v>81.946254731787221</v>
      </c>
      <c r="AF467" s="31" t="str">
        <f t="shared" ref="AF467:AF530" si="294">COMPLEX(Adc_ea_iso,0)</f>
        <v>-10.0808080808081</v>
      </c>
      <c r="AG467" s="31" t="str">
        <f t="shared" si="274"/>
        <v>1941689.88564136i</v>
      </c>
      <c r="AH467" s="31">
        <f t="shared" si="275"/>
        <v>1941689.88564136</v>
      </c>
      <c r="AI467" s="31">
        <f t="shared" si="276"/>
        <v>1.5707963267948966</v>
      </c>
      <c r="AJ467" s="31" t="str">
        <f t="shared" ref="AJ467:AJ530" si="295">IMSUM(IMPRODUCT(COMPLEX(wpA_ea_iso,0),IMPOWER(COMPLEX(0,2*PI()*O467),2)),COMPLEX(0,wpB_ea_iso*2*PI()*O467),COMPLEX(1,0))</f>
        <v>-72114.8664130994+2607.17885197643i</v>
      </c>
      <c r="AK467" s="31">
        <f t="shared" si="277"/>
        <v>72161.97987406778</v>
      </c>
      <c r="AL467" s="31">
        <f t="shared" si="278"/>
        <v>3.1054552526956525</v>
      </c>
      <c r="AM467" s="31" t="str">
        <f t="shared" ref="AM467:AM530" si="296">IMSUM(COMPLEX(1,0),IMDIV(COMPLEX(0,2*PI()*O467),COMPLEX(wz1_ea_iso,0)))</f>
        <v>1+1924528.45375611i</v>
      </c>
      <c r="AN467" s="31">
        <f t="shared" si="279"/>
        <v>1924528.4537563699</v>
      </c>
      <c r="AO467" s="31">
        <f t="shared" si="280"/>
        <v>1.5707958071870944</v>
      </c>
      <c r="AP467" s="31" t="str">
        <f t="shared" ref="AP467:AP530" si="297">IMSUM(COMPLEX(1,0),IMDIV(COMPLEX(0,2*PI()*O467),COMPLEX(wz2_ea_iso,0)))</f>
        <v>1+2255.466971161i</v>
      </c>
      <c r="AQ467" s="31">
        <f t="shared" si="281"/>
        <v>2255.4671928445723</v>
      </c>
      <c r="AR467" s="31">
        <f t="shared" si="282"/>
        <v>1.5703529596575094</v>
      </c>
      <c r="AS467" s="58" t="str">
        <f t="shared" si="283"/>
        <v>-0.0111446125802217+0.312098138785119i</v>
      </c>
      <c r="AT467" s="49">
        <f t="shared" si="284"/>
        <v>-10.108642221310012</v>
      </c>
      <c r="AU467" s="61">
        <f t="shared" si="285"/>
        <v>92.045087716725391</v>
      </c>
      <c r="AV467" s="58" t="str">
        <f t="shared" ref="AV467:AV530" si="298">IMPRODUCT(AC467,AS467)</f>
        <v>-0.0282767592355918+0.0029763271208363i</v>
      </c>
      <c r="AW467" s="64">
        <f t="shared" si="286"/>
        <v>-30.923556253591524</v>
      </c>
      <c r="AX467" s="61">
        <f t="shared" si="287"/>
        <v>173.99134244851265</v>
      </c>
    </row>
    <row r="468" spans="14:50" x14ac:dyDescent="0.4">
      <c r="N468" s="10">
        <v>50</v>
      </c>
      <c r="O468" s="50">
        <f t="shared" si="288"/>
        <v>316227.7660168382</v>
      </c>
      <c r="P468" s="48" t="str">
        <f t="shared" si="289"/>
        <v>5120.19230769231</v>
      </c>
      <c r="Q468" s="17" t="str">
        <f t="shared" si="290"/>
        <v>1+9285.01903303251i</v>
      </c>
      <c r="R468" s="17">
        <f t="shared" ref="R468:R531" si="299">IMABS(Q468)</f>
        <v>9285.019086882694</v>
      </c>
      <c r="S468" s="17">
        <f t="shared" ref="S468:S531" si="300">IMARGUMENT(Q468)</f>
        <v>1.5706886264237314</v>
      </c>
      <c r="T468" s="17" t="str">
        <f t="shared" si="291"/>
        <v>1+0.0198493073550606i</v>
      </c>
      <c r="U468" s="17">
        <f t="shared" ref="U468:U531" si="301">IMABS(T468)</f>
        <v>1.0001969781010516</v>
      </c>
      <c r="V468" s="17">
        <f t="shared" ref="V468:V531" si="302">IMARGUMENT(T468)</f>
        <v>1.9846701128503508E-2</v>
      </c>
      <c r="W468" s="31" t="str">
        <f t="shared" si="292"/>
        <v>1-32.1880659811794i</v>
      </c>
      <c r="X468" s="17">
        <f t="shared" ref="X468:X531" si="303">IMABS(W468)</f>
        <v>32.203595942204323</v>
      </c>
      <c r="Y468" s="17">
        <f t="shared" ref="Y468:Y531" si="304">IMARGUMENT(W468)</f>
        <v>-1.5397389013912328</v>
      </c>
      <c r="Z468" s="31" t="str">
        <f t="shared" si="293"/>
        <v>-39+195.976127216081i</v>
      </c>
      <c r="AA468" s="17">
        <f t="shared" ref="AA468:AA531" si="305">IMABS(Z468)</f>
        <v>199.81902421594791</v>
      </c>
      <c r="AB468" s="17">
        <f t="shared" ref="AB468:AB531" si="306">IMARGUMENT(Z468)</f>
        <v>1.7672338481043708</v>
      </c>
      <c r="AC468" s="66" t="str">
        <f t="shared" ref="AC468:AC531" si="307">(IMDIV(IMPRODUCT(P468,T468,W468),IMPRODUCT(Q468,Z468)))</f>
        <v>0.0128814817245935+0.0879524413607848i</v>
      </c>
      <c r="AD468" s="64">
        <f t="shared" ref="AD468:AD531" si="308">20*LOG(IMABS(AC468))</f>
        <v>-21.02286909724716</v>
      </c>
      <c r="AE468" s="61">
        <f t="shared" ref="AE468:AE531" si="309">(180/PI())*IMARGUMENT(AC468)</f>
        <v>81.667721477768822</v>
      </c>
      <c r="AF468" s="31" t="str">
        <f t="shared" si="294"/>
        <v>-10.0808080808081</v>
      </c>
      <c r="AG468" s="31" t="str">
        <f t="shared" ref="AG468:AG531" si="310">COMPLEX(0,1*2*PI()*O468)</f>
        <v>1986917.65315922i</v>
      </c>
      <c r="AH468" s="31">
        <f t="shared" ref="AH468:AH531" si="311">IMABS(AG468)</f>
        <v>1986917.65315922</v>
      </c>
      <c r="AI468" s="31">
        <f t="shared" ref="AI468:AI531" si="312">IMARGUMENT(AG468)</f>
        <v>1.5707963267948966</v>
      </c>
      <c r="AJ468" s="31" t="str">
        <f t="shared" si="295"/>
        <v>-75513.5824885811+2667.90784885006i</v>
      </c>
      <c r="AK468" s="31">
        <f t="shared" ref="AK468:AK531" si="313">IMABS(AJ468)</f>
        <v>75560.69661239034</v>
      </c>
      <c r="AL468" s="31">
        <f t="shared" ref="AL468:AL531" si="314">IMARGUMENT(AJ468)</f>
        <v>3.1062771706616541</v>
      </c>
      <c r="AM468" s="31" t="str">
        <f t="shared" si="296"/>
        <v>1+1969356.48017354i</v>
      </c>
      <c r="AN468" s="31">
        <f t="shared" ref="AN468:AN531" si="315">IMABS(AM468)</f>
        <v>1969356.4801737936</v>
      </c>
      <c r="AO468" s="31">
        <f t="shared" ref="AO468:AO531" si="316">IMARGUMENT(AM468)</f>
        <v>1.5707958190148121</v>
      </c>
      <c r="AP468" s="31" t="str">
        <f t="shared" si="297"/>
        <v>1+2308.00354590975i</v>
      </c>
      <c r="AQ468" s="31">
        <f t="shared" ref="AQ468:AQ531" si="317">IMABS(AP468)</f>
        <v>2308.0037625471887</v>
      </c>
      <c r="AR468" s="31">
        <f t="shared" ref="AR468:AR531" si="318">IMARGUMENT(AP468)</f>
        <v>1.5703630519244154</v>
      </c>
      <c r="AS468" s="58" t="str">
        <f t="shared" ref="AS468:AS531" si="319">IMDIV(IMPRODUCT(AF468,AM468,AP468),IMPRODUCT(AG468,AJ468))</f>
        <v>-0.0106436343524321+0.305011427113106i</v>
      </c>
      <c r="AT468" s="49">
        <f t="shared" ref="AT468:AT531" si="320">20*LOG(IMABS(AS468))</f>
        <v>-10.308392517834379</v>
      </c>
      <c r="AU468" s="61">
        <f t="shared" ref="AU468:AU531" si="321">(180/PI())*IMARGUMENT(AS468)</f>
        <v>91.998574208145257</v>
      </c>
      <c r="AV468" s="58" t="str">
        <f t="shared" si="298"/>
        <v>-0.0269636054389289+0.00299286549790174i</v>
      </c>
      <c r="AW468" s="64">
        <f t="shared" ref="AW468:AW531" si="322">20*LOG(IMABS(AV468))</f>
        <v>-31.33126161508152</v>
      </c>
      <c r="AX468" s="61">
        <f t="shared" ref="AX468:AX531" si="323">(180/PI())*IMARGUMENT(AV468)</f>
        <v>173.66629568591409</v>
      </c>
    </row>
    <row r="469" spans="14:50" x14ac:dyDescent="0.4">
      <c r="N469" s="10">
        <v>51</v>
      </c>
      <c r="O469" s="50">
        <f t="shared" si="288"/>
        <v>323593.65692962846</v>
      </c>
      <c r="P469" s="48" t="str">
        <f t="shared" si="289"/>
        <v>5120.19230769231</v>
      </c>
      <c r="Q469" s="17" t="str">
        <f t="shared" si="290"/>
        <v>1+9501.29490969559i</v>
      </c>
      <c r="R469" s="17">
        <f t="shared" si="299"/>
        <v>9501.2949623199966</v>
      </c>
      <c r="S469" s="17">
        <f t="shared" si="300"/>
        <v>1.5706910779834649</v>
      </c>
      <c r="T469" s="17" t="str">
        <f t="shared" si="291"/>
        <v>1+0.0203116571180604i</v>
      </c>
      <c r="U469" s="17">
        <f t="shared" si="301"/>
        <v>1.0002062604357571</v>
      </c>
      <c r="V469" s="17">
        <f t="shared" si="302"/>
        <v>2.030886452709282E-2</v>
      </c>
      <c r="W469" s="31" t="str">
        <f t="shared" si="292"/>
        <v>1-32.9378223536113i</v>
      </c>
      <c r="X469" s="17">
        <f t="shared" si="303"/>
        <v>32.952998974267224</v>
      </c>
      <c r="Y469" s="17">
        <f t="shared" si="304"/>
        <v>-1.540445415579871</v>
      </c>
      <c r="Z469" s="31" t="str">
        <f t="shared" si="293"/>
        <v>-40.885141922036+200.540997634537i</v>
      </c>
      <c r="AA469" s="17">
        <f t="shared" si="305"/>
        <v>204.66628096059304</v>
      </c>
      <c r="AB469" s="17">
        <f t="shared" si="306"/>
        <v>1.7719143193516005</v>
      </c>
      <c r="AC469" s="66" t="str">
        <f t="shared" si="307"/>
        <v>0.012999186672109+0.0858053261809333i</v>
      </c>
      <c r="AD469" s="64">
        <f t="shared" si="308"/>
        <v>-21.231166250230164</v>
      </c>
      <c r="AE469" s="61">
        <f t="shared" si="309"/>
        <v>81.385409496153784</v>
      </c>
      <c r="AF469" s="31" t="str">
        <f t="shared" si="294"/>
        <v>-10.0808080808081</v>
      </c>
      <c r="AG469" s="31" t="str">
        <f t="shared" si="310"/>
        <v>2033198.91071675i</v>
      </c>
      <c r="AH469" s="31">
        <f t="shared" si="311"/>
        <v>2033198.91071675</v>
      </c>
      <c r="AI469" s="31">
        <f t="shared" si="312"/>
        <v>1.5707963267948966</v>
      </c>
      <c r="AJ469" s="31" t="str">
        <f t="shared" si="295"/>
        <v>-79072.4751179378+2730.05140577909i</v>
      </c>
      <c r="AK469" s="31">
        <f t="shared" si="313"/>
        <v>79119.589874790749</v>
      </c>
      <c r="AL469" s="31">
        <f t="shared" si="314"/>
        <v>3.1070804241484247</v>
      </c>
      <c r="AM469" s="31" t="str">
        <f t="shared" si="296"/>
        <v>1+2015228.68546428i</v>
      </c>
      <c r="AN469" s="31">
        <f t="shared" si="315"/>
        <v>2015228.6854645279</v>
      </c>
      <c r="AO469" s="31">
        <f t="shared" si="316"/>
        <v>1.5707958305732979</v>
      </c>
      <c r="AP469" s="31" t="str">
        <f t="shared" si="297"/>
        <v>1+2361.76385468858i</v>
      </c>
      <c r="AQ469" s="31">
        <f t="shared" si="317"/>
        <v>2361.7640663947491</v>
      </c>
      <c r="AR469" s="31">
        <f t="shared" si="318"/>
        <v>1.5703729144633651</v>
      </c>
      <c r="AS469" s="58" t="str">
        <f t="shared" si="319"/>
        <v>-0.0101651500756581+0.298084861859468i</v>
      </c>
      <c r="AT469" s="49">
        <f t="shared" si="320"/>
        <v>-10.508154039462339</v>
      </c>
      <c r="AU469" s="61">
        <f t="shared" si="321"/>
        <v>91.953116917583714</v>
      </c>
      <c r="AV469" s="58" t="str">
        <f t="shared" si="298"/>
        <v>-0.0257094074848336+0.00300263674552107i</v>
      </c>
      <c r="AW469" s="64">
        <f t="shared" si="322"/>
        <v>-31.739320289692493</v>
      </c>
      <c r="AX469" s="61">
        <f t="shared" si="323"/>
        <v>173.3385264137375</v>
      </c>
    </row>
    <row r="470" spans="14:50" x14ac:dyDescent="0.4">
      <c r="N470" s="10">
        <v>52</v>
      </c>
      <c r="O470" s="50">
        <f t="shared" si="288"/>
        <v>331131.12148259126</v>
      </c>
      <c r="P470" s="48" t="str">
        <f t="shared" si="289"/>
        <v>5120.19230769231</v>
      </c>
      <c r="Q470" s="17" t="str">
        <f t="shared" si="290"/>
        <v>1+9722.60849868433i</v>
      </c>
      <c r="R470" s="17">
        <f t="shared" si="299"/>
        <v>9722.6085501108591</v>
      </c>
      <c r="S470" s="17">
        <f t="shared" si="300"/>
        <v>1.5706934737388871</v>
      </c>
      <c r="T470" s="17" t="str">
        <f t="shared" si="291"/>
        <v>1+0.0207847763905207i</v>
      </c>
      <c r="U470" s="17">
        <f t="shared" si="301"/>
        <v>1.0002159801410913</v>
      </c>
      <c r="V470" s="17">
        <f t="shared" si="302"/>
        <v>2.0781784110283568E-2</v>
      </c>
      <c r="W470" s="31" t="str">
        <f t="shared" si="292"/>
        <v>1-33.705042795439i</v>
      </c>
      <c r="X470" s="17">
        <f t="shared" si="303"/>
        <v>33.719874107748005</v>
      </c>
      <c r="Y470" s="17">
        <f t="shared" si="304"/>
        <v>-1.5411358768308829</v>
      </c>
      <c r="Z470" s="31" t="str">
        <f t="shared" si="293"/>
        <v>-42.8591278457277+205.212197544414i</v>
      </c>
      <c r="AA470" s="17">
        <f t="shared" si="305"/>
        <v>209.64005070764514</v>
      </c>
      <c r="AB470" s="17">
        <f t="shared" si="306"/>
        <v>1.7766894562165467</v>
      </c>
      <c r="AC470" s="66" t="str">
        <f t="shared" si="307"/>
        <v>0.0131089081631425+0.0837042130188916i</v>
      </c>
      <c r="AD470" s="64">
        <f t="shared" si="308"/>
        <v>-21.439821009997722</v>
      </c>
      <c r="AE470" s="61">
        <f t="shared" si="309"/>
        <v>81.099212821086155</v>
      </c>
      <c r="AF470" s="31" t="str">
        <f t="shared" si="294"/>
        <v>-10.0808080808081</v>
      </c>
      <c r="AG470" s="31" t="str">
        <f t="shared" si="310"/>
        <v>2080558.19724932i</v>
      </c>
      <c r="AH470" s="31">
        <f t="shared" si="311"/>
        <v>2080558.1972493201</v>
      </c>
      <c r="AI470" s="31">
        <f t="shared" si="312"/>
        <v>1.5707963267948966</v>
      </c>
      <c r="AJ470" s="31" t="str">
        <f t="shared" si="295"/>
        <v>-82799.0931895856+2793.64247209997i</v>
      </c>
      <c r="AK470" s="31">
        <f t="shared" si="313"/>
        <v>82846.208551023039</v>
      </c>
      <c r="AL470" s="31">
        <f t="shared" si="314"/>
        <v>3.1078654350352437</v>
      </c>
      <c r="AM470" s="31" t="str">
        <f t="shared" si="296"/>
        <v>1+2062169.39167876i</v>
      </c>
      <c r="AN470" s="31">
        <f t="shared" si="315"/>
        <v>2062169.3916790027</v>
      </c>
      <c r="AO470" s="31">
        <f t="shared" si="316"/>
        <v>1.5707958418686805</v>
      </c>
      <c r="AP470" s="31" t="str">
        <f t="shared" si="297"/>
        <v>1+2416.77640192481i</v>
      </c>
      <c r="AQ470" s="31">
        <f t="shared" si="317"/>
        <v>2416.7766088119588</v>
      </c>
      <c r="AR470" s="31">
        <f t="shared" si="318"/>
        <v>1.5703825525035995</v>
      </c>
      <c r="AS470" s="58" t="str">
        <f t="shared" si="319"/>
        <v>-0.00970815207960957+0.291314875328282i</v>
      </c>
      <c r="AT470" s="49">
        <f t="shared" si="320"/>
        <v>-10.70792628215931</v>
      </c>
      <c r="AU470" s="61">
        <f t="shared" si="321"/>
        <v>91.908691973103089</v>
      </c>
      <c r="AV470" s="58" t="str">
        <f t="shared" si="298"/>
        <v>-0.0245115456540958+0.00300620671754432i</v>
      </c>
      <c r="AW470" s="64">
        <f t="shared" si="322"/>
        <v>-32.147747292157028</v>
      </c>
      <c r="AX470" s="61">
        <f t="shared" si="323"/>
        <v>173.00790479418924</v>
      </c>
    </row>
    <row r="471" spans="14:50" x14ac:dyDescent="0.4">
      <c r="N471" s="10">
        <v>53</v>
      </c>
      <c r="O471" s="50">
        <f t="shared" si="288"/>
        <v>338844.15613920329</v>
      </c>
      <c r="P471" s="48" t="str">
        <f t="shared" si="289"/>
        <v>5120.19230769231</v>
      </c>
      <c r="Q471" s="17" t="str">
        <f t="shared" si="290"/>
        <v>1+9949.07714339298i</v>
      </c>
      <c r="R471" s="17">
        <f t="shared" si="299"/>
        <v>9949.0771936488982</v>
      </c>
      <c r="S471" s="17">
        <f t="shared" si="300"/>
        <v>1.5706958149602592</v>
      </c>
      <c r="T471" s="17" t="str">
        <f t="shared" si="291"/>
        <v>1+0.0212689160265423i</v>
      </c>
      <c r="U471" s="17">
        <f t="shared" si="301"/>
        <v>1.0002261578207921</v>
      </c>
      <c r="V471" s="17">
        <f t="shared" si="302"/>
        <v>2.1265709779654668E-2</v>
      </c>
      <c r="W471" s="31" t="str">
        <f t="shared" si="292"/>
        <v>1-34.4901340970957i</v>
      </c>
      <c r="X471" s="17">
        <f t="shared" si="303"/>
        <v>34.504627950981352</v>
      </c>
      <c r="Y471" s="17">
        <f t="shared" si="304"/>
        <v>-1.5418106486011101</v>
      </c>
      <c r="Z471" s="31" t="str">
        <f t="shared" si="293"/>
        <v>-44.9261448598757+209.992203677733i</v>
      </c>
      <c r="AA471" s="17">
        <f t="shared" si="305"/>
        <v>214.74422948568613</v>
      </c>
      <c r="AB471" s="17">
        <f t="shared" si="306"/>
        <v>1.7815609798037655</v>
      </c>
      <c r="AC471" s="66" t="str">
        <f t="shared" si="307"/>
        <v>0.0132108954880507+0.0816480298306i</v>
      </c>
      <c r="AD471" s="64">
        <f t="shared" si="308"/>
        <v>-21.648849464995436</v>
      </c>
      <c r="AE471" s="61">
        <f t="shared" si="309"/>
        <v>80.809026261521055</v>
      </c>
      <c r="AF471" s="31" t="str">
        <f t="shared" si="294"/>
        <v>-10.0808080808081</v>
      </c>
      <c r="AG471" s="31" t="str">
        <f t="shared" si="310"/>
        <v>2129020.62327751i</v>
      </c>
      <c r="AH471" s="31">
        <f t="shared" si="311"/>
        <v>2129020.6232775101</v>
      </c>
      <c r="AI471" s="31">
        <f t="shared" si="312"/>
        <v>1.5707963267948966</v>
      </c>
      <c r="AJ471" s="31" t="str">
        <f t="shared" si="295"/>
        <v>-86701.3413600902+2858.71476463778i</v>
      </c>
      <c r="AK471" s="31">
        <f t="shared" si="313"/>
        <v>86748.457298930938</v>
      </c>
      <c r="AL471" s="31">
        <f t="shared" si="314"/>
        <v>3.1086326157963931</v>
      </c>
      <c r="AM471" s="31" t="str">
        <f t="shared" si="296"/>
        <v>1+2110203.48740074i</v>
      </c>
      <c r="AN471" s="31">
        <f t="shared" si="315"/>
        <v>2110203.4874009769</v>
      </c>
      <c r="AO471" s="31">
        <f t="shared" si="316"/>
        <v>1.5707958529069488</v>
      </c>
      <c r="AP471" s="31" t="str">
        <f t="shared" si="297"/>
        <v>1+2473.07035599916i</v>
      </c>
      <c r="AQ471" s="31">
        <f t="shared" si="317"/>
        <v>2473.0705581769821</v>
      </c>
      <c r="AR471" s="31">
        <f t="shared" si="318"/>
        <v>1.5703919711553278</v>
      </c>
      <c r="AS471" s="58" t="str">
        <f t="shared" si="319"/>
        <v>-0.00927167763198856+0.284697975871058i</v>
      </c>
      <c r="AT471" s="49">
        <f t="shared" si="320"/>
        <v>-10.907708764472016</v>
      </c>
      <c r="AU471" s="61">
        <f t="shared" si="321"/>
        <v>91.865276034804538</v>
      </c>
      <c r="AV471" s="58" t="str">
        <f t="shared" si="298"/>
        <v>-0.0233675159908267+0.00300410099301582i</v>
      </c>
      <c r="AW471" s="64">
        <f t="shared" si="322"/>
        <v>-32.556558229467441</v>
      </c>
      <c r="AX471" s="61">
        <f t="shared" si="323"/>
        <v>172.67430229632561</v>
      </c>
    </row>
    <row r="472" spans="14:50" x14ac:dyDescent="0.4">
      <c r="N472" s="10">
        <v>54</v>
      </c>
      <c r="O472" s="50">
        <f t="shared" si="288"/>
        <v>346736.85045253241</v>
      </c>
      <c r="P472" s="48" t="str">
        <f t="shared" si="289"/>
        <v>5120.19230769231</v>
      </c>
      <c r="Q472" s="17" t="str">
        <f t="shared" si="290"/>
        <v>1+10180.8209204947i</v>
      </c>
      <c r="R472" s="17">
        <f t="shared" si="299"/>
        <v>10180.820969606653</v>
      </c>
      <c r="S472" s="17">
        <f t="shared" si="300"/>
        <v>1.5706981028889273</v>
      </c>
      <c r="T472" s="17" t="str">
        <f t="shared" si="291"/>
        <v>1+0.0217643327233686i</v>
      </c>
      <c r="U472" s="17">
        <f t="shared" si="301"/>
        <v>1.0002368150487631</v>
      </c>
      <c r="V472" s="17">
        <f t="shared" si="302"/>
        <v>2.1760897211860378E-2</v>
      </c>
      <c r="W472" s="31" t="str">
        <f t="shared" si="292"/>
        <v>1-35.2935125243815i</v>
      </c>
      <c r="X472" s="17">
        <f t="shared" si="303"/>
        <v>35.307676591765052</v>
      </c>
      <c r="Y472" s="17">
        <f t="shared" si="304"/>
        <v>-1.54247008620419</v>
      </c>
      <c r="Z472" s="31" t="str">
        <f t="shared" si="293"/>
        <v>-47.090577384697+214.883550457017i</v>
      </c>
      <c r="AA472" s="17">
        <f t="shared" si="305"/>
        <v>219.98286918630168</v>
      </c>
      <c r="AB472" s="17">
        <f t="shared" si="306"/>
        <v>1.7865306095842217</v>
      </c>
      <c r="AC472" s="66" t="str">
        <f t="shared" si="307"/>
        <v>0.0133053829912081+0.0796357303614202i</v>
      </c>
      <c r="AD472" s="64">
        <f t="shared" si="308"/>
        <v>-21.858268290865063</v>
      </c>
      <c r="AE472" s="61">
        <f t="shared" si="309"/>
        <v>80.514745519126478</v>
      </c>
      <c r="AF472" s="31" t="str">
        <f t="shared" si="294"/>
        <v>-10.0808080808081</v>
      </c>
      <c r="AG472" s="31" t="str">
        <f t="shared" si="310"/>
        <v>2178611.88422108i</v>
      </c>
      <c r="AH472" s="31">
        <f t="shared" si="311"/>
        <v>2178611.8842210802</v>
      </c>
      <c r="AI472" s="31">
        <f t="shared" si="312"/>
        <v>1.5707963267948966</v>
      </c>
      <c r="AJ472" s="31" t="str">
        <f t="shared" si="295"/>
        <v>-90787.4968210048+2925.30278558337i</v>
      </c>
      <c r="AK472" s="31">
        <f t="shared" si="313"/>
        <v>90834.613311288427</v>
      </c>
      <c r="AL472" s="31">
        <f t="shared" si="314"/>
        <v>3.1093823697020682</v>
      </c>
      <c r="AM472" s="31" t="str">
        <f t="shared" si="296"/>
        <v>1+2159356.44094359i</v>
      </c>
      <c r="AN472" s="31">
        <f t="shared" si="315"/>
        <v>2159356.4409438213</v>
      </c>
      <c r="AO472" s="31">
        <f t="shared" si="316"/>
        <v>1.5707958636939554</v>
      </c>
      <c r="AP472" s="31" t="str">
        <f t="shared" si="297"/>
        <v>1+2530.67556471121i</v>
      </c>
      <c r="AQ472" s="31">
        <f t="shared" si="317"/>
        <v>2530.6757622869036</v>
      </c>
      <c r="AR472" s="31">
        <f t="shared" si="318"/>
        <v>1.5704011754124372</v>
      </c>
      <c r="AS472" s="58" t="str">
        <f t="shared" si="319"/>
        <v>-0.00885480695229404+0.278230746497932i</v>
      </c>
      <c r="AT472" s="49">
        <f t="shared" si="320"/>
        <v>-11.107501026522167</v>
      </c>
      <c r="AU472" s="61">
        <f t="shared" si="321"/>
        <v>91.822846283471762</v>
      </c>
      <c r="AV472" s="58" t="str">
        <f t="shared" si="298"/>
        <v>-0.0222749253041795+0.0029968076232294i</v>
      </c>
      <c r="AW472" s="64">
        <f t="shared" si="322"/>
        <v>-32.965769317387213</v>
      </c>
      <c r="AX472" s="61">
        <f t="shared" si="323"/>
        <v>172.33759180259824</v>
      </c>
    </row>
    <row r="473" spans="14:50" x14ac:dyDescent="0.4">
      <c r="N473" s="10">
        <v>55</v>
      </c>
      <c r="O473" s="50">
        <f t="shared" si="288"/>
        <v>354813.38923357555</v>
      </c>
      <c r="P473" s="48" t="str">
        <f t="shared" si="289"/>
        <v>5120.19230769231</v>
      </c>
      <c r="Q473" s="17" t="str">
        <f t="shared" si="290"/>
        <v>1+10417.9627036074i</v>
      </c>
      <c r="R473" s="17">
        <f t="shared" si="299"/>
        <v>10417.962751601428</v>
      </c>
      <c r="S473" s="17">
        <f t="shared" si="300"/>
        <v>1.5707003387379819</v>
      </c>
      <c r="T473" s="17" t="str">
        <f t="shared" si="291"/>
        <v>1+0.0222712891574897i</v>
      </c>
      <c r="U473" s="17">
        <f t="shared" si="301"/>
        <v>1.000247974414713</v>
      </c>
      <c r="V473" s="17">
        <f t="shared" si="302"/>
        <v>2.226760798987315E-2</v>
      </c>
      <c r="W473" s="31" t="str">
        <f t="shared" si="292"/>
        <v>1-36.1156040391724i</v>
      </c>
      <c r="X473" s="17">
        <f t="shared" si="303"/>
        <v>36.129445817979082</v>
      </c>
      <c r="Y473" s="17">
        <f t="shared" si="304"/>
        <v>-1.5431145369872623</v>
      </c>
      <c r="Z473" s="31" t="str">
        <f t="shared" si="293"/>
        <v>-49.3570164717666+219.888831339072i</v>
      </c>
      <c r="AA473" s="17">
        <f t="shared" si="305"/>
        <v>225.36018553120044</v>
      </c>
      <c r="AB473" s="17">
        <f t="shared" si="306"/>
        <v>1.7916000611263247</v>
      </c>
      <c r="AC473" s="66" t="str">
        <f t="shared" si="307"/>
        <v>0.0133925906881821+0.0776662937290636i</v>
      </c>
      <c r="AD473" s="64">
        <f t="shared" si="308"/>
        <v>-22.068094767829439</v>
      </c>
      <c r="AE473" s="61">
        <f t="shared" si="309"/>
        <v>80.216267315643364</v>
      </c>
      <c r="AF473" s="31" t="str">
        <f t="shared" si="294"/>
        <v>-10.0808080808081</v>
      </c>
      <c r="AG473" s="31" t="str">
        <f t="shared" si="310"/>
        <v>2229358.27402299i</v>
      </c>
      <c r="AH473" s="31">
        <f t="shared" si="311"/>
        <v>2229358.2740229899</v>
      </c>
      <c r="AI473" s="31">
        <f t="shared" si="312"/>
        <v>1.5707963267948966</v>
      </c>
      <c r="AJ473" s="31" t="str">
        <f t="shared" si="295"/>
        <v>-95066.2268559013+2993.44184078682i</v>
      </c>
      <c r="AK473" s="31">
        <f t="shared" si="313"/>
        <v>95113.343872833429</v>
      </c>
      <c r="AL473" s="31">
        <f t="shared" si="314"/>
        <v>3.1101150910155928</v>
      </c>
      <c r="AM473" s="31" t="str">
        <f t="shared" si="296"/>
        <v>1+2209654.31385387i</v>
      </c>
      <c r="AN473" s="31">
        <f t="shared" si="315"/>
        <v>2209654.3138540965</v>
      </c>
      <c r="AO473" s="31">
        <f t="shared" si="316"/>
        <v>1.57079587423542</v>
      </c>
      <c r="AP473" s="31" t="str">
        <f t="shared" si="297"/>
        <v>1+2589.62257110511i</v>
      </c>
      <c r="AQ473" s="31">
        <f t="shared" si="317"/>
        <v>2589.6227641834325</v>
      </c>
      <c r="AR473" s="31">
        <f t="shared" si="318"/>
        <v>1.5704101701551405</v>
      </c>
      <c r="AS473" s="58" t="str">
        <f t="shared" si="319"/>
        <v>-0.00845666131184304+0.271909843497939i</v>
      </c>
      <c r="AT473" s="49">
        <f t="shared" si="320"/>
        <v>-11.307302629042969</v>
      </c>
      <c r="AU473" s="61">
        <f t="shared" si="321"/>
        <v>91.781380409423662</v>
      </c>
      <c r="AV473" s="58" t="str">
        <f t="shared" si="298"/>
        <v>-0.0212314863764727+0.00298477969664274i</v>
      </c>
      <c r="AW473" s="64">
        <f t="shared" si="322"/>
        <v>-33.37539739687243</v>
      </c>
      <c r="AX473" s="61">
        <f t="shared" si="323"/>
        <v>171.997647725067</v>
      </c>
    </row>
    <row r="474" spans="14:50" x14ac:dyDescent="0.4">
      <c r="N474" s="10">
        <v>56</v>
      </c>
      <c r="O474" s="50">
        <f t="shared" si="288"/>
        <v>363078.05477010203</v>
      </c>
      <c r="P474" s="48" t="str">
        <f t="shared" si="289"/>
        <v>5120.19230769231</v>
      </c>
      <c r="Q474" s="17" t="str">
        <f t="shared" si="290"/>
        <v>1+10660.6282284438i</v>
      </c>
      <c r="R474" s="17">
        <f t="shared" si="299"/>
        <v>10660.628275345351</v>
      </c>
      <c r="S474" s="17">
        <f t="shared" si="300"/>
        <v>1.5707025236928993</v>
      </c>
      <c r="T474" s="17" t="str">
        <f t="shared" si="291"/>
        <v>1+0.0227900541239176i</v>
      </c>
      <c r="U474" s="17">
        <f t="shared" si="301"/>
        <v>1.0002596595719389</v>
      </c>
      <c r="V474" s="17">
        <f t="shared" si="302"/>
        <v>2.2786109737050753E-2</v>
      </c>
      <c r="W474" s="31" t="str">
        <f t="shared" si="292"/>
        <v>1-36.9568445252718i</v>
      </c>
      <c r="X474" s="17">
        <f t="shared" si="303"/>
        <v>36.97037134334888</v>
      </c>
      <c r="Y474" s="17">
        <f t="shared" si="304"/>
        <v>-1.543744340504227</v>
      </c>
      <c r="Z474" s="31" t="str">
        <f t="shared" si="293"/>
        <v>-51.7302695422566+225.010700190078i</v>
      </c>
      <c r="AA474" s="17">
        <f t="shared" si="305"/>
        <v>230.88056649909646</v>
      </c>
      <c r="AB474" s="17">
        <f t="shared" si="306"/>
        <v>1.7967710436617232</v>
      </c>
      <c r="AC474" s="66" t="str">
        <f t="shared" si="307"/>
        <v>0.0134727248615323+0.0757387240224077i</v>
      </c>
      <c r="AD474" s="64">
        <f t="shared" si="308"/>
        <v>-22.278346797879173</v>
      </c>
      <c r="AE474" s="61">
        <f t="shared" si="309"/>
        <v>79.91348953007288</v>
      </c>
      <c r="AF474" s="31" t="str">
        <f t="shared" si="294"/>
        <v>-10.0808080808081</v>
      </c>
      <c r="AG474" s="31" t="str">
        <f t="shared" si="310"/>
        <v>2281286.69909085i</v>
      </c>
      <c r="AH474" s="31">
        <f t="shared" si="311"/>
        <v>2281286.6990908501</v>
      </c>
      <c r="AI474" s="31">
        <f t="shared" si="312"/>
        <v>1.5707963267948966</v>
      </c>
      <c r="AJ474" s="31" t="str">
        <f t="shared" si="295"/>
        <v>-99546.6072248462+3063.16805847716i</v>
      </c>
      <c r="AK474" s="31">
        <f t="shared" si="313"/>
        <v>99593.724744746214</v>
      </c>
      <c r="AL474" s="31">
        <f t="shared" si="314"/>
        <v>3.1108311651869562</v>
      </c>
      <c r="AM474" s="31" t="str">
        <f t="shared" si="296"/>
        <v>1+2261123.77472961i</v>
      </c>
      <c r="AN474" s="31">
        <f t="shared" si="315"/>
        <v>2261123.7747298307</v>
      </c>
      <c r="AO474" s="31">
        <f t="shared" si="316"/>
        <v>1.5707958845369312</v>
      </c>
      <c r="AP474" s="31" t="str">
        <f t="shared" si="297"/>
        <v>1+2649.94262966393i</v>
      </c>
      <c r="AQ474" s="31">
        <f t="shared" si="317"/>
        <v>2649.9428183472533</v>
      </c>
      <c r="AR474" s="31">
        <f t="shared" si="318"/>
        <v>1.5704189601525635</v>
      </c>
      <c r="AS474" s="58" t="str">
        <f t="shared" si="319"/>
        <v>-0.00807640121639822+0.265731995069531i</v>
      </c>
      <c r="AT474" s="49">
        <f t="shared" si="320"/>
        <v>-11.50711315245978</v>
      </c>
      <c r="AU474" s="61">
        <f t="shared" si="321"/>
        <v>91.740856601573611</v>
      </c>
      <c r="AV474" s="58" t="str">
        <f t="shared" si="298"/>
        <v>-0.0202350133699549+0.00296843773365483i</v>
      </c>
      <c r="AW474" s="64">
        <f t="shared" si="322"/>
        <v>-33.785459950338947</v>
      </c>
      <c r="AX474" s="61">
        <f t="shared" si="323"/>
        <v>171.65434613164649</v>
      </c>
    </row>
    <row r="475" spans="14:50" x14ac:dyDescent="0.4">
      <c r="N475" s="10">
        <v>57</v>
      </c>
      <c r="O475" s="50">
        <f t="shared" si="288"/>
        <v>371535.2290971732</v>
      </c>
      <c r="P475" s="48" t="str">
        <f t="shared" si="289"/>
        <v>5120.19230769231</v>
      </c>
      <c r="Q475" s="17" t="str">
        <f t="shared" si="290"/>
        <v>1+10908.9461594769i</v>
      </c>
      <c r="R475" s="17">
        <f t="shared" si="299"/>
        <v>10908.94620531084</v>
      </c>
      <c r="S475" s="17">
        <f t="shared" si="300"/>
        <v>1.5707046589121718</v>
      </c>
      <c r="T475" s="17" t="str">
        <f t="shared" si="291"/>
        <v>1+0.023320902678704i</v>
      </c>
      <c r="U475" s="17">
        <f t="shared" si="301"/>
        <v>1.0002718952873511</v>
      </c>
      <c r="V475" s="17">
        <f t="shared" si="302"/>
        <v>2.3316676254074461E-2</v>
      </c>
      <c r="W475" s="31" t="str">
        <f t="shared" si="292"/>
        <v>1-37.8176800195199i</v>
      </c>
      <c r="X475" s="17">
        <f t="shared" si="303"/>
        <v>37.830899038468466</v>
      </c>
      <c r="Y475" s="17">
        <f t="shared" si="304"/>
        <v>-1.5443598286855957</v>
      </c>
      <c r="Z475" s="31" t="str">
        <f t="shared" si="293"/>
        <v>-54.2153705841157+230.251872692692i</v>
      </c>
      <c r="AA475" s="17">
        <f t="shared" si="305"/>
        <v>236.54858123874817</v>
      </c>
      <c r="AB475" s="17">
        <f t="shared" si="306"/>
        <v>1.8020452574794685</v>
      </c>
      <c r="AC475" s="66" t="str">
        <f t="shared" si="307"/>
        <v>0.0135459786370318+0.0738520499159403i</v>
      </c>
      <c r="AD475" s="64">
        <f t="shared" si="308"/>
        <v>-22.489042921685026</v>
      </c>
      <c r="AE475" s="61">
        <f t="shared" si="309"/>
        <v>79.606311346057609</v>
      </c>
      <c r="AF475" s="31" t="str">
        <f t="shared" si="294"/>
        <v>-10.0808080808081</v>
      </c>
      <c r="AG475" s="31" t="str">
        <f t="shared" si="310"/>
        <v>2334424.69256296i</v>
      </c>
      <c r="AH475" s="31">
        <f t="shared" si="311"/>
        <v>2334424.6925629601</v>
      </c>
      <c r="AI475" s="31">
        <f t="shared" si="312"/>
        <v>1.5707963267948966</v>
      </c>
      <c r="AJ475" s="31" t="str">
        <f t="shared" si="295"/>
        <v>-104238.141415294+3134.51840841792i</v>
      </c>
      <c r="AK475" s="31">
        <f t="shared" si="313"/>
        <v>104285.25941554512</v>
      </c>
      <c r="AL475" s="31">
        <f t="shared" si="314"/>
        <v>3.1115309690427071</v>
      </c>
      <c r="AM475" s="31" t="str">
        <f t="shared" si="296"/>
        <v>1+2313792.11336022i</v>
      </c>
      <c r="AN475" s="31">
        <f t="shared" si="315"/>
        <v>2313792.1133604357</v>
      </c>
      <c r="AO475" s="31">
        <f t="shared" si="316"/>
        <v>1.5707958946039515</v>
      </c>
      <c r="AP475" s="31" t="str">
        <f t="shared" si="297"/>
        <v>1+2711.66772288114i</v>
      </c>
      <c r="AQ475" s="31">
        <f t="shared" si="317"/>
        <v>2711.6679072695069</v>
      </c>
      <c r="AR475" s="31">
        <f t="shared" si="318"/>
        <v>1.5704275500652738</v>
      </c>
      <c r="AS475" s="58" t="str">
        <f t="shared" si="319"/>
        <v>-0.00771322466794438+0.259693999962601i</v>
      </c>
      <c r="AT475" s="49">
        <f t="shared" si="320"/>
        <v>-11.706932196009681</v>
      </c>
      <c r="AU475" s="61">
        <f t="shared" si="321"/>
        <v>91.701253536694566</v>
      </c>
      <c r="AV475" s="58" t="str">
        <f t="shared" si="298"/>
        <v>-0.0192834174246828+0.00294817192246884i</v>
      </c>
      <c r="AW475" s="64">
        <f t="shared" si="322"/>
        <v>-34.195975117694715</v>
      </c>
      <c r="AX475" s="61">
        <f t="shared" si="323"/>
        <v>171.30756488275219</v>
      </c>
    </row>
    <row r="476" spans="14:50" x14ac:dyDescent="0.4">
      <c r="N476" s="10">
        <v>58</v>
      </c>
      <c r="O476" s="50">
        <f t="shared" si="288"/>
        <v>380189.39632056188</v>
      </c>
      <c r="P476" s="48" t="str">
        <f t="shared" si="289"/>
        <v>5120.19230769231</v>
      </c>
      <c r="Q476" s="17" t="str">
        <f t="shared" si="290"/>
        <v>1+11163.0481581608i</v>
      </c>
      <c r="R476" s="17">
        <f t="shared" si="299"/>
        <v>11163.048202951433</v>
      </c>
      <c r="S476" s="17">
        <f t="shared" si="300"/>
        <v>1.5707067455279204</v>
      </c>
      <c r="T476" s="17" t="str">
        <f t="shared" si="291"/>
        <v>1+0.0238641162847793i</v>
      </c>
      <c r="U476" s="17">
        <f t="shared" si="301"/>
        <v>1.0002847074938481</v>
      </c>
      <c r="V476" s="17">
        <f t="shared" si="302"/>
        <v>2.3859587658810449E-2</v>
      </c>
      <c r="W476" s="31" t="str">
        <f t="shared" si="292"/>
        <v>1-38.6985669482906i</v>
      </c>
      <c r="X476" s="17">
        <f t="shared" si="303"/>
        <v>38.711485167212707</v>
      </c>
      <c r="Y476" s="17">
        <f t="shared" si="304"/>
        <v>-1.5449613260049795</v>
      </c>
      <c r="Z476" s="31" t="str">
        <f t="shared" si="293"/>
        <v>-56.8175908298374+235.615127785952i</v>
      </c>
      <c r="AA476" s="17">
        <f t="shared" si="305"/>
        <v>242.36898949596943</v>
      </c>
      <c r="AB476" s="17">
        <f t="shared" si="306"/>
        <v>1.8074243911423782</v>
      </c>
      <c r="AC476" s="66" t="str">
        <f t="shared" si="307"/>
        <v>0.0136125325420751+0.0720053242994718i</v>
      </c>
      <c r="AD476" s="64">
        <f t="shared" si="308"/>
        <v>-22.700202335159283</v>
      </c>
      <c r="AE476" s="61">
        <f t="shared" si="309"/>
        <v>79.294633409812107</v>
      </c>
      <c r="AF476" s="31" t="str">
        <f t="shared" si="294"/>
        <v>-10.0808080808081</v>
      </c>
      <c r="AG476" s="31" t="str">
        <f t="shared" si="310"/>
        <v>2388800.42890683i</v>
      </c>
      <c r="AH476" s="31">
        <f t="shared" si="311"/>
        <v>2388800.42890683</v>
      </c>
      <c r="AI476" s="31">
        <f t="shared" si="312"/>
        <v>1.5707963267948966</v>
      </c>
      <c r="AJ476" s="31" t="str">
        <f t="shared" si="295"/>
        <v>-109150.78080027+3207.53072150908i</v>
      </c>
      <c r="AK476" s="31">
        <f t="shared" si="313"/>
        <v>109197.89925927155</v>
      </c>
      <c r="AL476" s="31">
        <f t="shared" si="314"/>
        <v>3.1122148709722413</v>
      </c>
      <c r="AM476" s="31" t="str">
        <f t="shared" si="296"/>
        <v>1+2367687.25519599i</v>
      </c>
      <c r="AN476" s="31">
        <f t="shared" si="315"/>
        <v>2367687.2551962016</v>
      </c>
      <c r="AO476" s="31">
        <f t="shared" si="316"/>
        <v>1.5707959044418187</v>
      </c>
      <c r="AP476" s="31" t="str">
        <f t="shared" si="297"/>
        <v>1+2774.83057821818i</v>
      </c>
      <c r="AQ476" s="31">
        <f t="shared" si="317"/>
        <v>2774.8307584093559</v>
      </c>
      <c r="AR476" s="31">
        <f t="shared" si="318"/>
        <v>1.5704359444477516</v>
      </c>
      <c r="AS476" s="58" t="str">
        <f t="shared" si="319"/>
        <v>-0.0073663655022754+0.253792726132915i</v>
      </c>
      <c r="AT476" s="49">
        <f t="shared" si="320"/>
        <v>-11.906759376902308</v>
      </c>
      <c r="AU476" s="61">
        <f t="shared" si="321"/>
        <v>91.662550368887253</v>
      </c>
      <c r="AV476" s="58" t="str">
        <f t="shared" si="298"/>
        <v>-0.0183747024401641+0.00292434420652648i</v>
      </c>
      <c r="AW476" s="64">
        <f t="shared" si="322"/>
        <v>-34.606961712061597</v>
      </c>
      <c r="AX476" s="61">
        <f t="shared" si="323"/>
        <v>170.95718377869935</v>
      </c>
    </row>
    <row r="477" spans="14:50" x14ac:dyDescent="0.4">
      <c r="N477" s="10">
        <v>59</v>
      </c>
      <c r="O477" s="50">
        <f t="shared" si="288"/>
        <v>389045.14499428123</v>
      </c>
      <c r="P477" s="48" t="str">
        <f t="shared" si="289"/>
        <v>5120.19230769231</v>
      </c>
      <c r="Q477" s="17" t="str">
        <f t="shared" si="290"/>
        <v>1+11423.0689527385i</v>
      </c>
      <c r="R477" s="17">
        <f t="shared" si="299"/>
        <v>11423.068996509573</v>
      </c>
      <c r="S477" s="17">
        <f t="shared" si="300"/>
        <v>1.5707087846464964</v>
      </c>
      <c r="T477" s="17" t="str">
        <f t="shared" si="291"/>
        <v>1+0.0244199829611877i</v>
      </c>
      <c r="U477" s="17">
        <f t="shared" si="301"/>
        <v>1.0002981233451478</v>
      </c>
      <c r="V477" s="17">
        <f t="shared" si="302"/>
        <v>2.4415130529140957E-2</v>
      </c>
      <c r="W477" s="31" t="str">
        <f t="shared" si="292"/>
        <v>1-39.5999723694934i</v>
      </c>
      <c r="X477" s="17">
        <f t="shared" si="303"/>
        <v>39.612596628656412</v>
      </c>
      <c r="Y477" s="17">
        <f t="shared" si="304"/>
        <v>-1.5455491496422524</v>
      </c>
      <c r="Z477" s="31" t="str">
        <f t="shared" si="293"/>
        <v>-59.5424499374486+241.103309138699i</v>
      </c>
      <c r="AA477" s="17">
        <f t="shared" si="305"/>
        <v>248.34675158371738</v>
      </c>
      <c r="AB477" s="17">
        <f t="shared" si="306"/>
        <v>1.8129101185195926</v>
      </c>
      <c r="AC477" s="66" t="str">
        <f t="shared" si="307"/>
        <v>0.0136725550480205+0.0701976239227725i</v>
      </c>
      <c r="AD477" s="64">
        <f t="shared" si="308"/>
        <v>-22.911844905574586</v>
      </c>
      <c r="AE477" s="61">
        <f t="shared" si="309"/>
        <v>78.978357998944745</v>
      </c>
      <c r="AF477" s="31" t="str">
        <f t="shared" si="294"/>
        <v>-10.0808080808081</v>
      </c>
      <c r="AG477" s="31" t="str">
        <f t="shared" si="310"/>
        <v>2444442.73885762i</v>
      </c>
      <c r="AH477" s="31">
        <f t="shared" si="311"/>
        <v>2444442.7388576199</v>
      </c>
      <c r="AI477" s="31">
        <f t="shared" si="312"/>
        <v>1.5707963267948966</v>
      </c>
      <c r="AJ477" s="31" t="str">
        <f t="shared" si="295"/>
        <v>-114294.945746556+3282.24370984547i</v>
      </c>
      <c r="AK477" s="31">
        <f t="shared" si="313"/>
        <v>114342.06464367782</v>
      </c>
      <c r="AL477" s="31">
        <f t="shared" si="314"/>
        <v>3.1128832311105064</v>
      </c>
      <c r="AM477" s="31" t="str">
        <f t="shared" si="296"/>
        <v>1+2422837.77615451i</v>
      </c>
      <c r="AN477" s="31">
        <f t="shared" si="315"/>
        <v>2422837.776154717</v>
      </c>
      <c r="AO477" s="31">
        <f t="shared" si="316"/>
        <v>1.5707959140557484</v>
      </c>
      <c r="AP477" s="31" t="str">
        <f t="shared" si="297"/>
        <v>1+2839.46468545701i</v>
      </c>
      <c r="AQ477" s="31">
        <f t="shared" si="317"/>
        <v>2839.4648615465335</v>
      </c>
      <c r="AR477" s="31">
        <f t="shared" si="318"/>
        <v>1.5704441477508049</v>
      </c>
      <c r="AS477" s="58" t="str">
        <f t="shared" si="319"/>
        <v>-0.00703509179919873+0.248025109410026i</v>
      </c>
      <c r="AT477" s="49">
        <f t="shared" si="320"/>
        <v>-12.106594329515548</v>
      </c>
      <c r="AU477" s="61">
        <f t="shared" si="321"/>
        <v>91.624726719250503</v>
      </c>
      <c r="AV477" s="58" t="str">
        <f t="shared" si="298"/>
        <v>-0.0175069610336619+0.00289729023331755i</v>
      </c>
      <c r="AW477" s="64">
        <f t="shared" si="322"/>
        <v>-35.018439235090149</v>
      </c>
      <c r="AX477" s="61">
        <f t="shared" si="323"/>
        <v>170.60308471819525</v>
      </c>
    </row>
    <row r="478" spans="14:50" x14ac:dyDescent="0.4">
      <c r="N478" s="10">
        <v>60</v>
      </c>
      <c r="O478" s="50">
        <f t="shared" si="288"/>
        <v>398107.17055349716</v>
      </c>
      <c r="P478" s="48" t="str">
        <f t="shared" si="289"/>
        <v>5120.19230769231</v>
      </c>
      <c r="Q478" s="17" t="str">
        <f t="shared" si="290"/>
        <v>1+11689.1464096771i</v>
      </c>
      <c r="R478" s="17">
        <f t="shared" si="299"/>
        <v>11689.146452451821</v>
      </c>
      <c r="S478" s="17">
        <f t="shared" si="300"/>
        <v>1.5707107773490678</v>
      </c>
      <c r="T478" s="17" t="str">
        <f t="shared" si="291"/>
        <v>1+0.0249887974357987i</v>
      </c>
      <c r="U478" s="17">
        <f t="shared" si="301"/>
        <v>1.0003121712731917</v>
      </c>
      <c r="V478" s="17">
        <f t="shared" si="302"/>
        <v>2.4983598048815166E-2</v>
      </c>
      <c r="W478" s="31" t="str">
        <f t="shared" si="292"/>
        <v>1-40.522374220214i</v>
      </c>
      <c r="X478" s="17">
        <f t="shared" si="303"/>
        <v>40.534711204633794</v>
      </c>
      <c r="Y478" s="17">
        <f t="shared" si="304"/>
        <v>-1.5461236096434405</v>
      </c>
      <c r="Z478" s="31" t="str">
        <f t="shared" si="293"/>
        <v>-62.3957276984446+246.719326657331i</v>
      </c>
      <c r="AA478" s="17">
        <f t="shared" si="305"/>
        <v>254.48703892588566</v>
      </c>
      <c r="AB478" s="17">
        <f t="shared" si="306"/>
        <v>1.8185040956296343</v>
      </c>
      <c r="AC478" s="66" t="str">
        <f t="shared" si="307"/>
        <v>0.0137262030981749+0.0684280490546844i</v>
      </c>
      <c r="AD478" s="64">
        <f t="shared" si="308"/>
        <v>-23.12399118714778</v>
      </c>
      <c r="AE478" s="61">
        <f t="shared" si="309"/>
        <v>78.657389202499829</v>
      </c>
      <c r="AF478" s="31" t="str">
        <f t="shared" si="294"/>
        <v>-10.0808080808081</v>
      </c>
      <c r="AG478" s="31" t="str">
        <f t="shared" si="310"/>
        <v>2501381.12470457i</v>
      </c>
      <c r="AH478" s="31">
        <f t="shared" si="311"/>
        <v>2501381.12470457</v>
      </c>
      <c r="AI478" s="31">
        <f t="shared" si="312"/>
        <v>1.5707963267948966</v>
      </c>
      <c r="AJ478" s="31" t="str">
        <f t="shared" si="295"/>
        <v>-119681.547717695+3358.69698724245i</v>
      </c>
      <c r="AK478" s="31">
        <f t="shared" si="313"/>
        <v>119728.66703323401</v>
      </c>
      <c r="AL478" s="31">
        <f t="shared" si="314"/>
        <v>3.1135364015171731</v>
      </c>
      <c r="AM478" s="31" t="str">
        <f t="shared" si="296"/>
        <v>1+2479272.91777199i</v>
      </c>
      <c r="AN478" s="31">
        <f t="shared" si="315"/>
        <v>2479272.9177721916</v>
      </c>
      <c r="AO478" s="31">
        <f t="shared" si="316"/>
        <v>1.5707959234508384</v>
      </c>
      <c r="AP478" s="31" t="str">
        <f t="shared" si="297"/>
        <v>1+2905.60431445683i</v>
      </c>
      <c r="AQ478" s="31">
        <f t="shared" si="317"/>
        <v>2905.6044865380672</v>
      </c>
      <c r="AR478" s="31">
        <f t="shared" si="318"/>
        <v>1.5704521643239291</v>
      </c>
      <c r="AS478" s="58" t="str">
        <f t="shared" si="319"/>
        <v>-0.00671870436227533+0.242388152179358i</v>
      </c>
      <c r="AT478" s="49">
        <f t="shared" si="320"/>
        <v>-12.306436704628991</v>
      </c>
      <c r="AU478" s="61">
        <f t="shared" si="321"/>
        <v>91.58776266575083</v>
      </c>
      <c r="AV478" s="58" t="str">
        <f t="shared" si="298"/>
        <v>-0.0166783706682366+0.00286732117371949i</v>
      </c>
      <c r="AW478" s="64">
        <f t="shared" si="322"/>
        <v>-35.430427891776773</v>
      </c>
      <c r="AX478" s="61">
        <f t="shared" si="323"/>
        <v>170.24515186825067</v>
      </c>
    </row>
    <row r="479" spans="14:50" x14ac:dyDescent="0.4">
      <c r="N479" s="10">
        <v>61</v>
      </c>
      <c r="O479" s="50">
        <f t="shared" si="288"/>
        <v>407380.27780411334</v>
      </c>
      <c r="P479" s="48" t="str">
        <f t="shared" si="289"/>
        <v>5120.19230769231</v>
      </c>
      <c r="Q479" s="17" t="str">
        <f t="shared" si="290"/>
        <v>1+11961.4216067664i</v>
      </c>
      <c r="R479" s="17">
        <f t="shared" si="299"/>
        <v>11961.42164856745</v>
      </c>
      <c r="S479" s="17">
        <f t="shared" si="300"/>
        <v>1.5707127246921913</v>
      </c>
      <c r="T479" s="17" t="str">
        <f t="shared" si="291"/>
        <v>1+0.0255708613015761i</v>
      </c>
      <c r="U479" s="17">
        <f t="shared" si="301"/>
        <v>1.0003268810482424</v>
      </c>
      <c r="V479" s="17">
        <f t="shared" si="302"/>
        <v>2.5565290156368419E-2</v>
      </c>
      <c r="W479" s="31" t="str">
        <f t="shared" si="292"/>
        <v>1-41.4662615701233i</v>
      </c>
      <c r="X479" s="17">
        <f t="shared" si="303"/>
        <v>41.478317813068124</v>
      </c>
      <c r="Y479" s="17">
        <f t="shared" si="304"/>
        <v>-1.5466850090773769</v>
      </c>
      <c r="Z479" s="31" t="str">
        <f t="shared" si="293"/>
        <v>-65.3834762975025+252.466158028673i</v>
      </c>
      <c r="AA479" s="17">
        <f t="shared" si="305"/>
        <v>260.79524520685754</v>
      </c>
      <c r="AB479" s="17">
        <f t="shared" si="306"/>
        <v>1.8242079572886569</v>
      </c>
      <c r="AC479" s="66" t="str">
        <f t="shared" si="307"/>
        <v>0.0137736226231144+0.0666957231562366i</v>
      </c>
      <c r="AD479" s="64">
        <f t="shared" si="308"/>
        <v>-23.336662435983897</v>
      </c>
      <c r="AE479" s="61">
        <f t="shared" si="309"/>
        <v>78.331633112522411</v>
      </c>
      <c r="AF479" s="31" t="str">
        <f t="shared" si="294"/>
        <v>-10.0808080808081</v>
      </c>
      <c r="AG479" s="31" t="str">
        <f t="shared" si="310"/>
        <v>2559645.77593354i</v>
      </c>
      <c r="AH479" s="31">
        <f t="shared" si="311"/>
        <v>2559645.77593354</v>
      </c>
      <c r="AI479" s="31">
        <f t="shared" si="312"/>
        <v>1.5707963267948966</v>
      </c>
      <c r="AJ479" s="31" t="str">
        <f t="shared" si="295"/>
        <v>-125322.012418663+3436.9310902397i</v>
      </c>
      <c r="AK479" s="31">
        <f t="shared" si="313"/>
        <v>125369.13213380148</v>
      </c>
      <c r="AL479" s="31">
        <f t="shared" si="314"/>
        <v>3.1141747263523065</v>
      </c>
      <c r="AM479" s="31" t="str">
        <f t="shared" si="296"/>
        <v>1+2537022.60270754i</v>
      </c>
      <c r="AN479" s="31">
        <f t="shared" si="315"/>
        <v>2537022.6027077371</v>
      </c>
      <c r="AO479" s="31">
        <f t="shared" si="316"/>
        <v>1.5707959326320702</v>
      </c>
      <c r="AP479" s="31" t="str">
        <f t="shared" si="297"/>
        <v>1+2973.2845333244i</v>
      </c>
      <c r="AQ479" s="31">
        <f t="shared" si="317"/>
        <v>2973.2847014885901</v>
      </c>
      <c r="AR479" s="31">
        <f t="shared" si="318"/>
        <v>1.5704599984176133</v>
      </c>
      <c r="AS479" s="58" t="str">
        <f t="shared" si="319"/>
        <v>-0.00641653526514668+0.236878922079306i</v>
      </c>
      <c r="AT479" s="49">
        <f t="shared" si="320"/>
        <v>-12.506286168689849</v>
      </c>
      <c r="AU479" s="61">
        <f t="shared" si="321"/>
        <v>91.551638733289565</v>
      </c>
      <c r="AV479" s="58" t="str">
        <f t="shared" si="298"/>
        <v>-0.0158871899438392+0.00283472542042403i</v>
      </c>
      <c r="AW479" s="64">
        <f t="shared" si="322"/>
        <v>-35.84294860467373</v>
      </c>
      <c r="AX479" s="61">
        <f t="shared" si="323"/>
        <v>169.88327184581198</v>
      </c>
    </row>
    <row r="480" spans="14:50" x14ac:dyDescent="0.4">
      <c r="N480" s="10">
        <v>62</v>
      </c>
      <c r="O480" s="50">
        <f t="shared" si="288"/>
        <v>416869.38347033598</v>
      </c>
      <c r="P480" s="48" t="str">
        <f t="shared" si="289"/>
        <v>5120.19230769231</v>
      </c>
      <c r="Q480" s="17" t="str">
        <f t="shared" si="290"/>
        <v>1+12240.0389079196i</v>
      </c>
      <c r="R480" s="17">
        <f t="shared" si="299"/>
        <v>12240.038948769143</v>
      </c>
      <c r="S480" s="17">
        <f t="shared" si="300"/>
        <v>1.5707146277083743</v>
      </c>
      <c r="T480" s="17" t="str">
        <f t="shared" si="291"/>
        <v>1+0.026166483176486i</v>
      </c>
      <c r="U480" s="17">
        <f t="shared" si="301"/>
        <v>1.0003422838417986</v>
      </c>
      <c r="V480" s="17">
        <f t="shared" si="302"/>
        <v>2.616051369715644E-2</v>
      </c>
      <c r="W480" s="31" t="str">
        <f t="shared" si="292"/>
        <v>1-42.432134880788i</v>
      </c>
      <c r="X480" s="17">
        <f t="shared" si="303"/>
        <v>42.44391676720452</v>
      </c>
      <c r="Y480" s="17">
        <f t="shared" si="304"/>
        <v>-1.547233644189175</v>
      </c>
      <c r="Z480" s="31" t="str">
        <f t="shared" si="293"/>
        <v>-68.5120331499755+258.346850298787i</v>
      </c>
      <c r="AA480" s="17">
        <f t="shared" si="305"/>
        <v>267.27699816042383</v>
      </c>
      <c r="AB480" s="17">
        <f t="shared" si="306"/>
        <v>1.8300233135589847</v>
      </c>
      <c r="AC480" s="66" t="str">
        <f t="shared" si="307"/>
        <v>0.0138149490449992+0.064999792567219i</v>
      </c>
      <c r="AD480" s="64">
        <f t="shared" si="308"/>
        <v>-23.54988062426871</v>
      </c>
      <c r="AE480" s="61">
        <f t="shared" si="309"/>
        <v>78.0009980274273</v>
      </c>
      <c r="AF480" s="31" t="str">
        <f t="shared" si="294"/>
        <v>-10.0808080808081</v>
      </c>
      <c r="AG480" s="31" t="str">
        <f t="shared" si="310"/>
        <v>2619267.58523383i</v>
      </c>
      <c r="AH480" s="31">
        <f t="shared" si="311"/>
        <v>2619267.5852338299</v>
      </c>
      <c r="AI480" s="31">
        <f t="shared" si="312"/>
        <v>1.5707963267948966</v>
      </c>
      <c r="AJ480" s="31" t="str">
        <f t="shared" si="295"/>
        <v>-131228.30403132+3516.98749959413i</v>
      </c>
      <c r="AK480" s="31">
        <f t="shared" si="313"/>
        <v>131275.42412808599</v>
      </c>
      <c r="AL480" s="31">
        <f t="shared" si="314"/>
        <v>3.1147985420485766</v>
      </c>
      <c r="AM480" s="31" t="str">
        <f t="shared" si="296"/>
        <v>1+2596117.45060851i</v>
      </c>
      <c r="AN480" s="31">
        <f t="shared" si="315"/>
        <v>2596117.4506087024</v>
      </c>
      <c r="AO480" s="31">
        <f t="shared" si="316"/>
        <v>1.5707959416043114</v>
      </c>
      <c r="AP480" s="31" t="str">
        <f t="shared" si="297"/>
        <v>1+3042.54122700762i</v>
      </c>
      <c r="AQ480" s="31">
        <f t="shared" si="317"/>
        <v>3042.5413913439256</v>
      </c>
      <c r="AR480" s="31">
        <f t="shared" si="318"/>
        <v>1.570467654185594</v>
      </c>
      <c r="AS480" s="58" t="str">
        <f t="shared" si="319"/>
        <v>-0.00612794646160902+0.231494550713919i</v>
      </c>
      <c r="AT480" s="49">
        <f t="shared" si="320"/>
        <v>-12.706142403112644</v>
      </c>
      <c r="AU480" s="61">
        <f t="shared" si="321"/>
        <v>91.516335883965056</v>
      </c>
      <c r="AV480" s="58" t="str">
        <f t="shared" si="298"/>
        <v>-0.0151317550449639+0.00279977017344016i</v>
      </c>
      <c r="AW480" s="64">
        <f t="shared" si="322"/>
        <v>-36.256023027381353</v>
      </c>
      <c r="AX480" s="61">
        <f t="shared" si="323"/>
        <v>169.51733391139237</v>
      </c>
    </row>
    <row r="481" spans="14:50" x14ac:dyDescent="0.4">
      <c r="N481" s="10">
        <v>63</v>
      </c>
      <c r="O481" s="50">
        <f t="shared" si="288"/>
        <v>426579.51880159322</v>
      </c>
      <c r="P481" s="48" t="str">
        <f t="shared" si="289"/>
        <v>5120.19230769231</v>
      </c>
      <c r="Q481" s="17" t="str">
        <f t="shared" si="290"/>
        <v>1+12525.1460397179i</v>
      </c>
      <c r="R481" s="17">
        <f t="shared" si="299"/>
        <v>12525.146079637592</v>
      </c>
      <c r="S481" s="17">
        <f t="shared" si="300"/>
        <v>1.5707164874066208</v>
      </c>
      <c r="T481" s="17" t="str">
        <f t="shared" si="291"/>
        <v>1+0.0267759788671303i</v>
      </c>
      <c r="U481" s="17">
        <f t="shared" si="301"/>
        <v>1.0003584122924607</v>
      </c>
      <c r="V481" s="17">
        <f t="shared" si="302"/>
        <v>2.6769582578553833E-2</v>
      </c>
      <c r="W481" s="31" t="str">
        <f t="shared" si="292"/>
        <v>1-43.4205062710221i</v>
      </c>
      <c r="X481" s="17">
        <f t="shared" si="303"/>
        <v>43.432020040885384</v>
      </c>
      <c r="Y481" s="17">
        <f t="shared" si="304"/>
        <v>-1.5477698045505601</v>
      </c>
      <c r="Z481" s="31" t="str">
        <f t="shared" si="293"/>
        <v>-71.7880343443998+264.364521488554i</v>
      </c>
      <c r="AA481" s="17">
        <f t="shared" si="305"/>
        <v>273.9381720332251</v>
      </c>
      <c r="AB481" s="17">
        <f t="shared" si="306"/>
        <v>1.8359517459936181</v>
      </c>
      <c r="AC481" s="66" t="str">
        <f t="shared" si="307"/>
        <v>0.0138503077725097+0.0633394262055838i</v>
      </c>
      <c r="AD481" s="64">
        <f t="shared" si="308"/>
        <v>-23.76366845359248</v>
      </c>
      <c r="AE481" s="61">
        <f t="shared" si="309"/>
        <v>77.665394667420884</v>
      </c>
      <c r="AF481" s="31" t="str">
        <f t="shared" si="294"/>
        <v>-10.0808080808081</v>
      </c>
      <c r="AG481" s="31" t="str">
        <f t="shared" si="310"/>
        <v>2680278.16487791i</v>
      </c>
      <c r="AH481" s="31">
        <f t="shared" si="311"/>
        <v>2680278.1648779102</v>
      </c>
      <c r="AI481" s="31">
        <f t="shared" si="312"/>
        <v>1.5707963267948966</v>
      </c>
      <c r="AJ481" s="31" t="str">
        <f t="shared" si="295"/>
        <v>-137412.950592046+3598.90866227369i</v>
      </c>
      <c r="AK481" s="31">
        <f t="shared" si="313"/>
        <v>137460.07105327517</v>
      </c>
      <c r="AL481" s="31">
        <f t="shared" si="314"/>
        <v>3.1154081774800573</v>
      </c>
      <c r="AM481" s="31" t="str">
        <f t="shared" si="296"/>
        <v>1+2656588.79434546i</v>
      </c>
      <c r="AN481" s="31">
        <f t="shared" si="315"/>
        <v>2656588.794345648</v>
      </c>
      <c r="AO481" s="31">
        <f t="shared" si="316"/>
        <v>1.5707959503723197</v>
      </c>
      <c r="AP481" s="31" t="str">
        <f t="shared" si="297"/>
        <v>1+3113.41111632218i</v>
      </c>
      <c r="AQ481" s="31">
        <f t="shared" si="317"/>
        <v>3113.4112769177354</v>
      </c>
      <c r="AR481" s="31">
        <f t="shared" si="318"/>
        <v>1.5704751356870568</v>
      </c>
      <c r="AS481" s="58" t="str">
        <f t="shared" si="319"/>
        <v>-0.00585232845671511+0.226232232381794i</v>
      </c>
      <c r="AT481" s="49">
        <f t="shared" si="320"/>
        <v>-12.906005103609186</v>
      </c>
      <c r="AU481" s="61">
        <f t="shared" si="321"/>
        <v>91.481835507527663</v>
      </c>
      <c r="AV481" s="58" t="str">
        <f t="shared" si="298"/>
        <v>-0.0144104763385824+0.00276270292013484i</v>
      </c>
      <c r="AW481" s="64">
        <f t="shared" si="322"/>
        <v>-36.669673557201691</v>
      </c>
      <c r="AX481" s="61">
        <f t="shared" si="323"/>
        <v>169.1472301749485</v>
      </c>
    </row>
    <row r="482" spans="14:50" x14ac:dyDescent="0.4">
      <c r="N482" s="10">
        <v>64</v>
      </c>
      <c r="O482" s="50">
        <f t="shared" si="288"/>
        <v>436515.83224016649</v>
      </c>
      <c r="P482" s="48" t="str">
        <f t="shared" si="289"/>
        <v>5120.19230769231</v>
      </c>
      <c r="Q482" s="17" t="str">
        <f t="shared" si="290"/>
        <v>1+12816.8941697364i</v>
      </c>
      <c r="R482" s="17">
        <f t="shared" si="299"/>
        <v>12816.894208747412</v>
      </c>
      <c r="S482" s="17">
        <f t="shared" si="300"/>
        <v>1.5707183047729678</v>
      </c>
      <c r="T482" s="17" t="str">
        <f t="shared" si="291"/>
        <v>1+0.027399671536192i</v>
      </c>
      <c r="U482" s="17">
        <f t="shared" si="301"/>
        <v>1.0003753005748848</v>
      </c>
      <c r="V482" s="17">
        <f t="shared" si="302"/>
        <v>2.7392817928363174E-2</v>
      </c>
      <c r="W482" s="31" t="str">
        <f t="shared" si="292"/>
        <v>1-44.4318997884194i</v>
      </c>
      <c r="X482" s="17">
        <f t="shared" si="303"/>
        <v>44.443151540008323</v>
      </c>
      <c r="Y482" s="17">
        <f t="shared" si="304"/>
        <v>-1.5482937732071154</v>
      </c>
      <c r="Z482" s="31" t="str">
        <f t="shared" si="293"/>
        <v>-75.21842871853+270.522362246891i</v>
      </c>
      <c r="AA482" s="17">
        <f t="shared" si="305"/>
        <v>280.78490075950077</v>
      </c>
      <c r="AB482" s="17">
        <f t="shared" si="306"/>
        <v>1.8419948036729983</v>
      </c>
      <c r="AC482" s="66" t="str">
        <f t="shared" si="307"/>
        <v>0.0138798146880088+0.0617138152790141i</v>
      </c>
      <c r="AD482" s="64">
        <f t="shared" si="308"/>
        <v>-23.9780493672733</v>
      </c>
      <c r="AE482" s="61">
        <f t="shared" si="309"/>
        <v>77.324736402186431</v>
      </c>
      <c r="AF482" s="31" t="str">
        <f t="shared" si="294"/>
        <v>-10.0808080808081</v>
      </c>
      <c r="AG482" s="31" t="str">
        <f t="shared" si="310"/>
        <v>2742709.86348268i</v>
      </c>
      <c r="AH482" s="31">
        <f t="shared" si="311"/>
        <v>2742709.8634826802</v>
      </c>
      <c r="AI482" s="31">
        <f t="shared" si="312"/>
        <v>1.5707963267948966</v>
      </c>
      <c r="AJ482" s="31" t="str">
        <f t="shared" si="295"/>
        <v>-143889.070565387+3682.73801396317i</v>
      </c>
      <c r="AK482" s="31">
        <f t="shared" si="313"/>
        <v>143936.19137468663</v>
      </c>
      <c r="AL482" s="31">
        <f t="shared" si="314"/>
        <v>3.1160039541276556</v>
      </c>
      <c r="AM482" s="31" t="str">
        <f t="shared" si="296"/>
        <v>1+2718468.69662528i</v>
      </c>
      <c r="AN482" s="31">
        <f t="shared" si="315"/>
        <v>2718468.6966254637</v>
      </c>
      <c r="AO482" s="31">
        <f t="shared" si="316"/>
        <v>1.5707959589407436</v>
      </c>
      <c r="AP482" s="31" t="str">
        <f t="shared" si="297"/>
        <v>1+3185.93177742148i</v>
      </c>
      <c r="AQ482" s="31">
        <f t="shared" si="317"/>
        <v>3185.9319343614347</v>
      </c>
      <c r="AR482" s="31">
        <f t="shared" si="318"/>
        <v>1.5704824468887897</v>
      </c>
      <c r="AS482" s="58" t="str">
        <f t="shared" si="319"/>
        <v>-0.00558909903628869+0.221089222821636i</v>
      </c>
      <c r="AT482" s="49">
        <f t="shared" si="320"/>
        <v>-13.105873979548914</v>
      </c>
      <c r="AU482" s="61">
        <f t="shared" si="321"/>
        <v>91.448119412024823</v>
      </c>
      <c r="AV482" s="58" t="str">
        <f t="shared" si="298"/>
        <v>-0.0137218351162918+0.00272375281677856i</v>
      </c>
      <c r="AW482" s="64">
        <f t="shared" si="322"/>
        <v>-37.083923346822246</v>
      </c>
      <c r="AX482" s="61">
        <f t="shared" si="323"/>
        <v>168.77285581421123</v>
      </c>
    </row>
    <row r="483" spans="14:50" x14ac:dyDescent="0.4">
      <c r="N483" s="10">
        <v>65</v>
      </c>
      <c r="O483" s="50">
        <f t="shared" si="288"/>
        <v>446683.59215096442</v>
      </c>
      <c r="P483" s="48" t="str">
        <f t="shared" si="289"/>
        <v>5120.19230769231</v>
      </c>
      <c r="Q483" s="17" t="str">
        <f t="shared" si="290"/>
        <v>1+13115.4379866953i</v>
      </c>
      <c r="R483" s="17">
        <f t="shared" si="299"/>
        <v>13115.438024818312</v>
      </c>
      <c r="S483" s="17">
        <f t="shared" si="300"/>
        <v>1.5707200807710067</v>
      </c>
      <c r="T483" s="17" t="str">
        <f t="shared" si="291"/>
        <v>1+0.0280378918737798i</v>
      </c>
      <c r="U483" s="17">
        <f t="shared" si="301"/>
        <v>1.0003929844719652</v>
      </c>
      <c r="V483" s="17">
        <f t="shared" si="302"/>
        <v>2.8030548256479538E-2</v>
      </c>
      <c r="W483" s="31" t="str">
        <f t="shared" si="292"/>
        <v>1-45.4668516872105i</v>
      </c>
      <c r="X483" s="17">
        <f t="shared" si="303"/>
        <v>45.477847380310301</v>
      </c>
      <c r="Y483" s="17">
        <f t="shared" si="304"/>
        <v>-1.548805826822482</v>
      </c>
      <c r="Z483" s="31" t="str">
        <f t="shared" si="293"/>
        <v>-78.8104925987559+276.823637542481i</v>
      </c>
      <c r="AA483" s="17">
        <f t="shared" si="305"/>
        <v>287.823591885567</v>
      </c>
      <c r="AB483" s="17">
        <f t="shared" si="306"/>
        <v>1.8481539990310558</v>
      </c>
      <c r="AC483" s="66" t="str">
        <f t="shared" si="307"/>
        <v>0.0139035766284856+0.0601221730078709i</v>
      </c>
      <c r="AD483" s="64">
        <f t="shared" si="308"/>
        <v>-24.193047561546539</v>
      </c>
      <c r="AE483" s="61">
        <f t="shared" si="309"/>
        <v>76.978939491004823</v>
      </c>
      <c r="AF483" s="31" t="str">
        <f t="shared" si="294"/>
        <v>-10.0808080808081</v>
      </c>
      <c r="AG483" s="31" t="str">
        <f t="shared" si="310"/>
        <v>2806595.78316114i</v>
      </c>
      <c r="AH483" s="31">
        <f t="shared" si="311"/>
        <v>2806595.78316114</v>
      </c>
      <c r="AI483" s="31">
        <f t="shared" si="312"/>
        <v>1.5707963267948966</v>
      </c>
      <c r="AJ483" s="31" t="str">
        <f t="shared" si="295"/>
        <v>-150670.400670076+3768.52000209446i</v>
      </c>
      <c r="AK483" s="31">
        <f t="shared" si="313"/>
        <v>150717.52181179009</v>
      </c>
      <c r="AL483" s="31">
        <f t="shared" si="314"/>
        <v>3.1165861862412116</v>
      </c>
      <c r="AM483" s="31" t="str">
        <f t="shared" si="296"/>
        <v>1+2781789.96699126i</v>
      </c>
      <c r="AN483" s="31">
        <f t="shared" si="315"/>
        <v>2781789.9669914399</v>
      </c>
      <c r="AO483" s="31">
        <f t="shared" si="316"/>
        <v>1.5707959673141263</v>
      </c>
      <c r="AP483" s="31" t="str">
        <f t="shared" si="297"/>
        <v>1+3260.14166171998i</v>
      </c>
      <c r="AQ483" s="31">
        <f t="shared" si="317"/>
        <v>3260.1418150875452</v>
      </c>
      <c r="AR483" s="31">
        <f t="shared" si="318"/>
        <v>1.5704895916672856</v>
      </c>
      <c r="AS483" s="58" t="str">
        <f t="shared" si="319"/>
        <v>-0.00533770205234633+0.216062837974937i</v>
      </c>
      <c r="AT483" s="49">
        <f t="shared" si="320"/>
        <v>-13.305748753347411</v>
      </c>
      <c r="AU483" s="61">
        <f t="shared" si="321"/>
        <v>91.415169814633941</v>
      </c>
      <c r="AV483" s="58" t="str">
        <f t="shared" si="298"/>
        <v>-0.0130643804748056+0.00268313197809697i</v>
      </c>
      <c r="AW483" s="64">
        <f t="shared" si="322"/>
        <v>-37.49879631489393</v>
      </c>
      <c r="AX483" s="61">
        <f t="shared" si="323"/>
        <v>168.39410930563878</v>
      </c>
    </row>
    <row r="484" spans="14:50" x14ac:dyDescent="0.4">
      <c r="N484" s="10">
        <v>66</v>
      </c>
      <c r="O484" s="50">
        <f t="shared" ref="O484:O518" si="324">10^(5+(N484/100))</f>
        <v>457088.18961487547</v>
      </c>
      <c r="P484" s="48" t="str">
        <f t="shared" si="289"/>
        <v>5120.19230769231</v>
      </c>
      <c r="Q484" s="17" t="str">
        <f t="shared" si="290"/>
        <v>1+13420.9357824781i</v>
      </c>
      <c r="R484" s="17">
        <f t="shared" si="299"/>
        <v>13420.935819733326</v>
      </c>
      <c r="S484" s="17">
        <f t="shared" si="300"/>
        <v>1.5707218163423948</v>
      </c>
      <c r="T484" s="17" t="str">
        <f t="shared" si="291"/>
        <v>1+0.0286909782727643i</v>
      </c>
      <c r="U484" s="17">
        <f t="shared" si="301"/>
        <v>1.0004115014504023</v>
      </c>
      <c r="V484" s="17">
        <f t="shared" si="302"/>
        <v>2.8683109619856942E-2</v>
      </c>
      <c r="W484" s="31" t="str">
        <f t="shared" si="292"/>
        <v>1-46.5259107125907i</v>
      </c>
      <c r="X484" s="17">
        <f t="shared" si="303"/>
        <v>46.536656171624131</v>
      </c>
      <c r="Y484" s="17">
        <f t="shared" si="304"/>
        <v>-1.5493062358195699</v>
      </c>
      <c r="Z484" s="31" t="str">
        <f t="shared" si="293"/>
        <v>-82.5718452341618+283.271688394887i</v>
      </c>
      <c r="AA484" s="17">
        <f t="shared" si="305"/>
        <v>295.06094128410888</v>
      </c>
      <c r="AB484" s="17">
        <f t="shared" si="306"/>
        <v>1.8544308034684398</v>
      </c>
      <c r="AC484" s="66" t="str">
        <f t="shared" si="307"/>
        <v>0.0139216918618076+0.0585637343586855i</v>
      </c>
      <c r="AD484" s="64">
        <f t="shared" si="308"/>
        <v>-24.408687995473084</v>
      </c>
      <c r="AE484" s="61">
        <f t="shared" si="309"/>
        <v>76.627923335429401</v>
      </c>
      <c r="AF484" s="31" t="str">
        <f t="shared" si="294"/>
        <v>-10.0808080808081</v>
      </c>
      <c r="AG484" s="31" t="str">
        <f t="shared" si="310"/>
        <v>2871969.7970735i</v>
      </c>
      <c r="AH484" s="31">
        <f t="shared" si="311"/>
        <v>2871969.7970735002</v>
      </c>
      <c r="AI484" s="31">
        <f t="shared" si="312"/>
        <v>1.5707963267948966</v>
      </c>
      <c r="AJ484" s="31" t="str">
        <f t="shared" si="295"/>
        <v>-157771.325016451+3856.3001094131i</v>
      </c>
      <c r="AK484" s="31">
        <f t="shared" si="313"/>
        <v>157818.44647562745</v>
      </c>
      <c r="AL484" s="31">
        <f t="shared" si="314"/>
        <v>3.1171551809983229</v>
      </c>
      <c r="AM484" s="31" t="str">
        <f t="shared" si="296"/>
        <v>1+2846586.17921906i</v>
      </c>
      <c r="AN484" s="31">
        <f t="shared" si="315"/>
        <v>2846586.1792192357</v>
      </c>
      <c r="AO484" s="31">
        <f t="shared" si="316"/>
        <v>1.5707959754969076</v>
      </c>
      <c r="AP484" s="31" t="str">
        <f t="shared" si="297"/>
        <v>1+3336.08011628058i</v>
      </c>
      <c r="AQ484" s="31">
        <f t="shared" si="317"/>
        <v>3336.0802661570733</v>
      </c>
      <c r="AR484" s="31">
        <f t="shared" si="318"/>
        <v>1.5704965738107974</v>
      </c>
      <c r="AS484" s="58" t="str">
        <f t="shared" si="319"/>
        <v>-0.00509760626202162+0.211150452766127i</v>
      </c>
      <c r="AT484" s="49">
        <f t="shared" si="320"/>
        <v>-13.5056291598823</v>
      </c>
      <c r="AU484" s="61">
        <f t="shared" si="321"/>
        <v>91.382969332680403</v>
      </c>
      <c r="AV484" s="58" t="str">
        <f t="shared" si="298"/>
        <v>-0.0124367263291243+0.00264103668089697i</v>
      </c>
      <c r="AW484" s="64">
        <f t="shared" si="322"/>
        <v>-37.914317155355391</v>
      </c>
      <c r="AX484" s="61">
        <f t="shared" si="323"/>
        <v>168.01089266810982</v>
      </c>
    </row>
    <row r="485" spans="14:50" x14ac:dyDescent="0.4">
      <c r="N485" s="10">
        <v>67</v>
      </c>
      <c r="O485" s="50">
        <f t="shared" si="324"/>
        <v>467735.14128719864</v>
      </c>
      <c r="P485" s="48" t="str">
        <f t="shared" si="289"/>
        <v>5120.19230769231</v>
      </c>
      <c r="Q485" s="17" t="str">
        <f t="shared" si="290"/>
        <v>1+13733.5495360598i</v>
      </c>
      <c r="R485" s="17">
        <f t="shared" si="299"/>
        <v>13733.549572466993</v>
      </c>
      <c r="S485" s="17">
        <f t="shared" si="300"/>
        <v>1.5707235124073555</v>
      </c>
      <c r="T485" s="17" t="str">
        <f t="shared" si="291"/>
        <v>1+0.0293592770081991i</v>
      </c>
      <c r="U485" s="17">
        <f t="shared" si="301"/>
        <v>1.0004308907398074</v>
      </c>
      <c r="V485" s="17">
        <f t="shared" si="302"/>
        <v>2.9350845790821031E-2</v>
      </c>
      <c r="W485" s="31" t="str">
        <f t="shared" si="292"/>
        <v>1-47.6096383916741i</v>
      </c>
      <c r="X485" s="17">
        <f t="shared" si="303"/>
        <v>47.620139308762724</v>
      </c>
      <c r="Y485" s="17">
        <f t="shared" si="304"/>
        <v>-1.5497952645188229</v>
      </c>
      <c r="Z485" s="31" t="str">
        <f t="shared" si="293"/>
        <v>-86.5104649579821+289.869933646025i</v>
      </c>
      <c r="AA485" s="17">
        <f t="shared" si="305"/>
        <v>302.50394870017345</v>
      </c>
      <c r="AB485" s="17">
        <f t="shared" si="306"/>
        <v>1.8608266427517992</v>
      </c>
      <c r="AC485" s="66" t="str">
        <f t="shared" si="307"/>
        <v>0.0139342505597535+0.0570377557872482i</v>
      </c>
      <c r="AD485" s="64">
        <f t="shared" si="308"/>
        <v>-24.62499639941441</v>
      </c>
      <c r="AE485" s="61">
        <f t="shared" si="309"/>
        <v>76.271610744581437</v>
      </c>
      <c r="AF485" s="31" t="str">
        <f t="shared" si="294"/>
        <v>-10.0808080808081</v>
      </c>
      <c r="AG485" s="31" t="str">
        <f t="shared" si="310"/>
        <v>2938866.56738729i</v>
      </c>
      <c r="AH485" s="31">
        <f t="shared" si="311"/>
        <v>2938866.5673872898</v>
      </c>
      <c r="AI485" s="31">
        <f t="shared" si="312"/>
        <v>1.5707963267948966</v>
      </c>
      <c r="AJ485" s="31" t="str">
        <f t="shared" si="295"/>
        <v>-165206.905617091+3946.12487809393i</v>
      </c>
      <c r="AK485" s="31">
        <f t="shared" si="313"/>
        <v>165254.02737944975</v>
      </c>
      <c r="AL485" s="31">
        <f t="shared" si="314"/>
        <v>3.1177112386599379</v>
      </c>
      <c r="AM485" s="31" t="str">
        <f t="shared" si="296"/>
        <v>1+2912891.6891181i</v>
      </c>
      <c r="AN485" s="31">
        <f t="shared" si="315"/>
        <v>2912891.6891182717</v>
      </c>
      <c r="AO485" s="31">
        <f t="shared" si="316"/>
        <v>1.5707959834934262</v>
      </c>
      <c r="AP485" s="31" t="str">
        <f t="shared" si="297"/>
        <v>1+3413.78740467708i</v>
      </c>
      <c r="AQ485" s="31">
        <f t="shared" si="317"/>
        <v>3413.787551141967</v>
      </c>
      <c r="AR485" s="31">
        <f t="shared" si="318"/>
        <v>1.5705033970213473</v>
      </c>
      <c r="AS485" s="58" t="str">
        <f t="shared" si="319"/>
        <v>-0.00486830421768454+0.206349499900506i</v>
      </c>
      <c r="AT485" s="49">
        <f t="shared" si="320"/>
        <v>-13.705514945935285</v>
      </c>
      <c r="AU485" s="61">
        <f t="shared" si="321"/>
        <v>91.351500974837961</v>
      </c>
      <c r="AV485" s="58" t="str">
        <f t="shared" si="298"/>
        <v>-0.0118375485529162+0.00259764848742716i</v>
      </c>
      <c r="AW485" s="64">
        <f t="shared" si="322"/>
        <v>-38.330511345349677</v>
      </c>
      <c r="AX485" s="61">
        <f t="shared" si="323"/>
        <v>167.6231117194194</v>
      </c>
    </row>
    <row r="486" spans="14:50" x14ac:dyDescent="0.4">
      <c r="N486" s="10">
        <v>68</v>
      </c>
      <c r="O486" s="50">
        <f t="shared" si="324"/>
        <v>478630.09232263872</v>
      </c>
      <c r="P486" s="48" t="str">
        <f t="shared" si="289"/>
        <v>5120.19230769231</v>
      </c>
      <c r="Q486" s="17" t="str">
        <f t="shared" si="290"/>
        <v>1+14053.4449993906i</v>
      </c>
      <c r="R486" s="17">
        <f t="shared" si="299"/>
        <v>14053.445034969063</v>
      </c>
      <c r="S486" s="17">
        <f t="shared" si="300"/>
        <v>1.5707251698651647</v>
      </c>
      <c r="T486" s="17" t="str">
        <f t="shared" si="291"/>
        <v>1+0.0300431424209196i</v>
      </c>
      <c r="U486" s="17">
        <f t="shared" si="301"/>
        <v>1.0004511934155127</v>
      </c>
      <c r="V486" s="17">
        <f t="shared" si="302"/>
        <v>3.0034108428768306E-2</v>
      </c>
      <c r="W486" s="31" t="str">
        <f t="shared" si="292"/>
        <v>1-48.7186093312209i</v>
      </c>
      <c r="X486" s="17">
        <f t="shared" si="303"/>
        <v>48.728871269178029</v>
      </c>
      <c r="Y486" s="17">
        <f t="shared" si="304"/>
        <v>-1.5502731712735873</v>
      </c>
      <c r="Z486" s="31" t="str">
        <f t="shared" si="293"/>
        <v>-90.634706110711+296.621871772865i</v>
      </c>
      <c r="AA486" s="17">
        <f t="shared" si="305"/>
        <v>310.1599341723765</v>
      </c>
      <c r="AB486" s="17">
        <f t="shared" si="306"/>
        <v>1.867342892199062</v>
      </c>
      <c r="AC486" s="66" t="str">
        <f t="shared" si="307"/>
        <v>0.0139413352692545+0.0555435149902744i</v>
      </c>
      <c r="AD486" s="64">
        <f t="shared" si="308"/>
        <v>-24.841999281910741</v>
      </c>
      <c r="AE486" s="61">
        <f t="shared" si="309"/>
        <v>75.909928213066152</v>
      </c>
      <c r="AF486" s="31" t="str">
        <f t="shared" si="294"/>
        <v>-10.0808080808081</v>
      </c>
      <c r="AG486" s="31" t="str">
        <f t="shared" si="310"/>
        <v>3007321.56365561i</v>
      </c>
      <c r="AH486" s="31">
        <f t="shared" si="311"/>
        <v>3007321.5636556102</v>
      </c>
      <c r="AI486" s="31">
        <f t="shared" si="312"/>
        <v>1.5707963267948966</v>
      </c>
      <c r="AJ486" s="31" t="str">
        <f t="shared" si="295"/>
        <v>-172992.914335354+4038.04193441827i</v>
      </c>
      <c r="AK486" s="31">
        <f t="shared" si="313"/>
        <v>173040.03638725705</v>
      </c>
      <c r="AL486" s="31">
        <f t="shared" si="314"/>
        <v>3.1182546527227641</v>
      </c>
      <c r="AM486" s="31" t="str">
        <f t="shared" si="296"/>
        <v>1+2980741.65274741i</v>
      </c>
      <c r="AN486" s="31">
        <f t="shared" si="315"/>
        <v>2980741.652747578</v>
      </c>
      <c r="AO486" s="31">
        <f t="shared" si="316"/>
        <v>1.5707959913079217</v>
      </c>
      <c r="AP486" s="31" t="str">
        <f t="shared" si="297"/>
        <v>1+3493.30472834236i</v>
      </c>
      <c r="AQ486" s="31">
        <f t="shared" si="317"/>
        <v>3493.3048714733</v>
      </c>
      <c r="AR486" s="31">
        <f t="shared" si="318"/>
        <v>1.5705100649166897</v>
      </c>
      <c r="AS486" s="58" t="str">
        <f t="shared" si="319"/>
        <v>-0.00464931120604696+0.201657468680232i</v>
      </c>
      <c r="AT486" s="49">
        <f t="shared" si="320"/>
        <v>-13.905405869658336</v>
      </c>
      <c r="AU486" s="61">
        <f t="shared" si="321"/>
        <v>91.320748132508911</v>
      </c>
      <c r="AV486" s="58" t="str">
        <f t="shared" si="298"/>
        <v>-0.0112655822408359+0.00255313529375278i</v>
      </c>
      <c r="AW486" s="64">
        <f t="shared" si="322"/>
        <v>-38.747405151569048</v>
      </c>
      <c r="AX486" s="61">
        <f t="shared" si="323"/>
        <v>167.23067634557515</v>
      </c>
    </row>
    <row r="487" spans="14:50" x14ac:dyDescent="0.4">
      <c r="N487" s="10">
        <v>69</v>
      </c>
      <c r="O487" s="50">
        <f t="shared" si="324"/>
        <v>489778.81936844654</v>
      </c>
      <c r="P487" s="48" t="str">
        <f t="shared" si="289"/>
        <v>5120.19230769231</v>
      </c>
      <c r="Q487" s="17" t="str">
        <f t="shared" si="290"/>
        <v>1+14380.7917852795i</v>
      </c>
      <c r="R487" s="17">
        <f t="shared" si="299"/>
        <v>14380.7918200481</v>
      </c>
      <c r="S487" s="17">
        <f t="shared" si="300"/>
        <v>1.5707267895946284</v>
      </c>
      <c r="T487" s="17" t="str">
        <f t="shared" si="291"/>
        <v>1+0.0307429371054197i</v>
      </c>
      <c r="U487" s="17">
        <f t="shared" si="301"/>
        <v>1.0004724524852584</v>
      </c>
      <c r="V487" s="17">
        <f t="shared" si="302"/>
        <v>3.0733257255295986E-2</v>
      </c>
      <c r="W487" s="31" t="str">
        <f t="shared" si="292"/>
        <v>1-49.8534115223022i</v>
      </c>
      <c r="X487" s="17">
        <f t="shared" si="303"/>
        <v>49.863439917558985</v>
      </c>
      <c r="Y487" s="17">
        <f t="shared" si="304"/>
        <v>-1.5507402086026383</v>
      </c>
      <c r="Z487" s="31" t="str">
        <f t="shared" si="293"/>
        <v>-94.95331676078+303.531082742373i</v>
      </c>
      <c r="AA487" s="17">
        <f t="shared" si="305"/>
        <v>318.03655537474037</v>
      </c>
      <c r="AB487" s="17">
        <f t="shared" si="306"/>
        <v>1.8739808716519282</v>
      </c>
      <c r="AC487" s="66" t="str">
        <f t="shared" si="307"/>
        <v>0.0139430213832034+0.0540803106645087i</v>
      </c>
      <c r="AD487" s="64">
        <f t="shared" si="308"/>
        <v>-25.059723934793855</v>
      </c>
      <c r="AE487" s="61">
        <f t="shared" si="309"/>
        <v>75.542806211442112</v>
      </c>
      <c r="AF487" s="31" t="str">
        <f t="shared" si="294"/>
        <v>-10.0808080808081</v>
      </c>
      <c r="AG487" s="31" t="str">
        <f t="shared" si="310"/>
        <v>3077371.08162359i</v>
      </c>
      <c r="AH487" s="31">
        <f t="shared" si="311"/>
        <v>3077371.0816235901</v>
      </c>
      <c r="AI487" s="31">
        <f t="shared" si="312"/>
        <v>1.5707963267948966</v>
      </c>
      <c r="AJ487" s="31" t="str">
        <f t="shared" si="295"/>
        <v>-181145.866339622+4132.10001402603i</v>
      </c>
      <c r="AK487" s="31">
        <f t="shared" si="313"/>
        <v>181192.98866804453</v>
      </c>
      <c r="AL487" s="31">
        <f t="shared" si="314"/>
        <v>3.1187857100685439</v>
      </c>
      <c r="AM487" s="31" t="str">
        <f t="shared" si="296"/>
        <v>1+3050172.04505578i</v>
      </c>
      <c r="AN487" s="31">
        <f t="shared" si="315"/>
        <v>3050172.045055944</v>
      </c>
      <c r="AO487" s="31">
        <f t="shared" si="316"/>
        <v>1.5707959989445377</v>
      </c>
      <c r="AP487" s="31" t="str">
        <f t="shared" si="297"/>
        <v>1+3574.67424841396i</v>
      </c>
      <c r="AQ487" s="31">
        <f t="shared" si="317"/>
        <v>3574.6743882868427</v>
      </c>
      <c r="AR487" s="31">
        <f t="shared" si="318"/>
        <v>1.5705165810322281</v>
      </c>
      <c r="AS487" s="58" t="str">
        <f t="shared" si="319"/>
        <v>-0.00444016423413147+0.19707190383852i</v>
      </c>
      <c r="AT487" s="49">
        <f t="shared" si="320"/>
        <v>-14.105301700065059</v>
      </c>
      <c r="AU487" s="61">
        <f t="shared" si="321"/>
        <v>91.290694571381366</v>
      </c>
      <c r="AV487" s="58" t="str">
        <f t="shared" si="298"/>
        <v>-0.0107196190876948+0.00250765230806582i</v>
      </c>
      <c r="AW487" s="64">
        <f t="shared" si="322"/>
        <v>-39.165025634858893</v>
      </c>
      <c r="AX487" s="61">
        <f t="shared" si="323"/>
        <v>166.83350078282351</v>
      </c>
    </row>
    <row r="488" spans="14:50" x14ac:dyDescent="0.4">
      <c r="N488" s="10">
        <v>70</v>
      </c>
      <c r="O488" s="50">
        <f t="shared" si="324"/>
        <v>501187.23362727347</v>
      </c>
      <c r="P488" s="48" t="str">
        <f t="shared" si="289"/>
        <v>5120.19230769231</v>
      </c>
      <c r="Q488" s="17" t="str">
        <f t="shared" si="290"/>
        <v>1+14715.7634573251i</v>
      </c>
      <c r="R488" s="17">
        <f t="shared" si="299"/>
        <v>14715.76349130227</v>
      </c>
      <c r="S488" s="17">
        <f t="shared" si="300"/>
        <v>1.5707283724545487</v>
      </c>
      <c r="T488" s="17" t="str">
        <f t="shared" si="291"/>
        <v>1+0.031459032102104i</v>
      </c>
      <c r="U488" s="17">
        <f t="shared" si="301"/>
        <v>1.0004947129799344</v>
      </c>
      <c r="V488" s="17">
        <f t="shared" si="302"/>
        <v>3.1448660232799845E-2</v>
      </c>
      <c r="W488" s="31" t="str">
        <f t="shared" si="292"/>
        <v>1-51.0146466520605i</v>
      </c>
      <c r="X488" s="17">
        <f t="shared" si="303"/>
        <v>51.024446817526474</v>
      </c>
      <c r="Y488" s="17">
        <f t="shared" si="304"/>
        <v>-1.5511966233199066</v>
      </c>
      <c r="Z488" s="31" t="str">
        <f t="shared" si="293"/>
        <v>-99.475457260384+310.601229909661i</v>
      </c>
      <c r="AA488" s="17">
        <f t="shared" si="305"/>
        <v>326.14182592632397</v>
      </c>
      <c r="AB488" s="17">
        <f t="shared" si="306"/>
        <v>1.8807418402381331</v>
      </c>
      <c r="AC488" s="66" t="str">
        <f t="shared" si="307"/>
        <v>0.0139393776121297+0.0526474622720442i</v>
      </c>
      <c r="AD488" s="64">
        <f t="shared" si="308"/>
        <v>-25.278198436355595</v>
      </c>
      <c r="AE488" s="61">
        <f t="shared" si="309"/>
        <v>75.170179489093996</v>
      </c>
      <c r="AF488" s="31" t="str">
        <f t="shared" si="294"/>
        <v>-10.0808080808081</v>
      </c>
      <c r="AG488" s="31" t="str">
        <f t="shared" si="310"/>
        <v>3149052.26247287i</v>
      </c>
      <c r="AH488" s="31">
        <f t="shared" si="311"/>
        <v>3149052.2624728698</v>
      </c>
      <c r="AI488" s="31">
        <f t="shared" si="312"/>
        <v>1.5707963267948966</v>
      </c>
      <c r="AJ488" s="31" t="str">
        <f t="shared" si="295"/>
        <v>-189683.055134179+4228.34898775605i</v>
      </c>
      <c r="AK488" s="31">
        <f t="shared" si="313"/>
        <v>189730.17772668175</v>
      </c>
      <c r="AL488" s="31">
        <f t="shared" si="314"/>
        <v>3.1193046911102416</v>
      </c>
      <c r="AM488" s="31" t="str">
        <f t="shared" si="296"/>
        <v>1+3121219.67895624i</v>
      </c>
      <c r="AN488" s="31">
        <f t="shared" si="315"/>
        <v>3121219.6789564001</v>
      </c>
      <c r="AO488" s="31">
        <f t="shared" si="316"/>
        <v>1.570796006407323</v>
      </c>
      <c r="AP488" s="31" t="str">
        <f t="shared" si="297"/>
        <v>1+3657.93910808849i</v>
      </c>
      <c r="AQ488" s="31">
        <f t="shared" si="317"/>
        <v>3657.9392447774762</v>
      </c>
      <c r="AR488" s="31">
        <f t="shared" si="318"/>
        <v>1.5705229488228913</v>
      </c>
      <c r="AS488" s="58" t="str">
        <f t="shared" si="319"/>
        <v>-0.00424042106007489+0.192590404392286i</v>
      </c>
      <c r="AT488" s="49">
        <f t="shared" si="320"/>
        <v>-14.305202216543005</v>
      </c>
      <c r="AU488" s="61">
        <f t="shared" si="321"/>
        <v>91.261324423160715</v>
      </c>
      <c r="AV488" s="58" t="str">
        <f t="shared" si="298"/>
        <v>-0.0101985048795914+0.00246134296351896i</v>
      </c>
      <c r="AW488" s="64">
        <f t="shared" si="322"/>
        <v>-39.583400652898618</v>
      </c>
      <c r="AX488" s="61">
        <f t="shared" si="323"/>
        <v>166.4315039122547</v>
      </c>
    </row>
    <row r="489" spans="14:50" x14ac:dyDescent="0.4">
      <c r="N489" s="10">
        <v>71</v>
      </c>
      <c r="O489" s="50">
        <f t="shared" si="324"/>
        <v>512861.38399136515</v>
      </c>
      <c r="P489" s="48" t="str">
        <f t="shared" si="289"/>
        <v>5120.19230769231</v>
      </c>
      <c r="Q489" s="17" t="str">
        <f t="shared" si="290"/>
        <v>1+15058.537621942i</v>
      </c>
      <c r="R489" s="17">
        <f t="shared" si="299"/>
        <v>15058.537655145754</v>
      </c>
      <c r="S489" s="17">
        <f t="shared" si="300"/>
        <v>1.5707299192841784</v>
      </c>
      <c r="T489" s="17" t="str">
        <f t="shared" si="291"/>
        <v>1+0.0321918070940182i</v>
      </c>
      <c r="U489" s="17">
        <f t="shared" si="301"/>
        <v>1.0005180220485679</v>
      </c>
      <c r="V489" s="17">
        <f t="shared" si="302"/>
        <v>3.2180693746578476E-2</v>
      </c>
      <c r="W489" s="31" t="str">
        <f t="shared" si="292"/>
        <v>1-52.2029304227321i</v>
      </c>
      <c r="X489" s="17">
        <f t="shared" si="303"/>
        <v>52.212507550591823</v>
      </c>
      <c r="Y489" s="17">
        <f t="shared" si="304"/>
        <v>-1.5516426566614583</v>
      </c>
      <c r="Z489" s="31" t="str">
        <f t="shared" si="293"/>
        <v>-104.210719675815+317.836061960338i</v>
      </c>
      <c r="AA489" s="17">
        <f t="shared" si="305"/>
        <v>334.48413471763809</v>
      </c>
      <c r="AB489" s="17">
        <f t="shared" si="306"/>
        <v>1.8876269909275873</v>
      </c>
      <c r="AC489" s="66" t="str">
        <f t="shared" si="307"/>
        <v>0.0139304664579522+0.0512443098105144i</v>
      </c>
      <c r="AD489" s="64">
        <f t="shared" si="308"/>
        <v>-25.497451652388531</v>
      </c>
      <c r="AE489" s="61">
        <f t="shared" si="309"/>
        <v>74.791987389275789</v>
      </c>
      <c r="AF489" s="31" t="str">
        <f t="shared" si="294"/>
        <v>-10.0808080808081</v>
      </c>
      <c r="AG489" s="31" t="str">
        <f t="shared" si="310"/>
        <v>3222403.11251433i</v>
      </c>
      <c r="AH489" s="31">
        <f t="shared" si="311"/>
        <v>3222403.1125143301</v>
      </c>
      <c r="AI489" s="31">
        <f t="shared" si="312"/>
        <v>1.5707963267948966</v>
      </c>
      <c r="AJ489" s="31" t="str">
        <f t="shared" si="295"/>
        <v>-198622.589241058+4326.83988808818i</v>
      </c>
      <c r="AK489" s="31">
        <f t="shared" si="313"/>
        <v>198669.7120857611</v>
      </c>
      <c r="AL489" s="31">
        <f t="shared" si="314"/>
        <v>3.1198118699351998</v>
      </c>
      <c r="AM489" s="31" t="str">
        <f t="shared" si="296"/>
        <v>1+3193922.22484469i</v>
      </c>
      <c r="AN489" s="31">
        <f t="shared" si="315"/>
        <v>3193922.2248448459</v>
      </c>
      <c r="AO489" s="31">
        <f t="shared" si="316"/>
        <v>1.5707960137002344</v>
      </c>
      <c r="AP489" s="31" t="str">
        <f t="shared" si="297"/>
        <v>1+3743.14345549665i</v>
      </c>
      <c r="AQ489" s="31">
        <f t="shared" si="317"/>
        <v>3743.1435890742159</v>
      </c>
      <c r="AR489" s="31">
        <f t="shared" si="318"/>
        <v>1.5705291716649641</v>
      </c>
      <c r="AS489" s="58" t="str">
        <f t="shared" si="319"/>
        <v>-0.00404965926681583+0.188210622513273i</v>
      </c>
      <c r="AT489" s="49">
        <f t="shared" si="320"/>
        <v>-14.505107208389559</v>
      </c>
      <c r="AU489" s="61">
        <f t="shared" si="321"/>
        <v>91.232622177472592</v>
      </c>
      <c r="AV489" s="58" t="str">
        <f t="shared" si="298"/>
        <v>-0.00970113709228245+0.00241433976985572i</v>
      </c>
      <c r="AW489" s="64">
        <f t="shared" si="322"/>
        <v>-40.002558860778088</v>
      </c>
      <c r="AX489" s="61">
        <f t="shared" si="323"/>
        <v>166.02460956674838</v>
      </c>
    </row>
    <row r="490" spans="14:50" x14ac:dyDescent="0.4">
      <c r="N490" s="10">
        <v>72</v>
      </c>
      <c r="O490" s="50">
        <f t="shared" si="324"/>
        <v>524807.46024977288</v>
      </c>
      <c r="P490" s="48" t="str">
        <f t="shared" si="289"/>
        <v>5120.19230769231</v>
      </c>
      <c r="Q490" s="17" t="str">
        <f t="shared" si="290"/>
        <v>1+15409.2960225293i</v>
      </c>
      <c r="R490" s="17">
        <f t="shared" si="299"/>
        <v>15409.296054977245</v>
      </c>
      <c r="S490" s="17">
        <f t="shared" si="300"/>
        <v>1.5707314309036675</v>
      </c>
      <c r="T490" s="17" t="str">
        <f t="shared" si="291"/>
        <v>1+0.0329416506081627i</v>
      </c>
      <c r="U490" s="17">
        <f t="shared" si="301"/>
        <v>1.0005424290577538</v>
      </c>
      <c r="V490" s="17">
        <f t="shared" si="302"/>
        <v>3.2929742790479909E-2</v>
      </c>
      <c r="W490" s="31" t="str">
        <f t="shared" si="292"/>
        <v>1-53.4188928781017i</v>
      </c>
      <c r="X490" s="17">
        <f t="shared" si="303"/>
        <v>53.428252042548657</v>
      </c>
      <c r="Y490" s="17">
        <f t="shared" si="304"/>
        <v>-1.5520785444097764</v>
      </c>
      <c r="Z490" s="31" t="str">
        <f t="shared" si="293"/>
        <v>-109.169148133527+325.239414898126i</v>
      </c>
      <c r="AA490" s="17">
        <f t="shared" si="305"/>
        <v>343.07226630474702</v>
      </c>
      <c r="AB490" s="17">
        <f t="shared" si="306"/>
        <v>1.8946374448881396</v>
      </c>
      <c r="AC490" s="66" t="str">
        <f t="shared" si="307"/>
        <v>0.0139163446909382+0.0498702135867246i</v>
      </c>
      <c r="AD490" s="64">
        <f t="shared" si="308"/>
        <v>-25.717513234905709</v>
      </c>
      <c r="AE490" s="61">
        <f t="shared" si="309"/>
        <v>74.408174175992258</v>
      </c>
      <c r="AF490" s="31" t="str">
        <f t="shared" si="294"/>
        <v>-10.0808080808081</v>
      </c>
      <c r="AG490" s="31" t="str">
        <f t="shared" si="310"/>
        <v>3297462.52333961i</v>
      </c>
      <c r="AH490" s="31">
        <f t="shared" si="311"/>
        <v>3297462.5233396101</v>
      </c>
      <c r="AI490" s="31">
        <f t="shared" si="312"/>
        <v>1.5707963267948966</v>
      </c>
      <c r="AJ490" s="31" t="str">
        <f t="shared" si="295"/>
        <v>-207983.430610648+4427.62493620149i</v>
      </c>
      <c r="AK490" s="31">
        <f t="shared" si="313"/>
        <v>208030.55369620566</v>
      </c>
      <c r="AL490" s="31">
        <f t="shared" si="314"/>
        <v>3.1203075144453063</v>
      </c>
      <c r="AM490" s="31" t="str">
        <f t="shared" si="296"/>
        <v>1+3268318.23057334i</v>
      </c>
      <c r="AN490" s="31">
        <f t="shared" si="315"/>
        <v>3268318.2305734931</v>
      </c>
      <c r="AO490" s="31">
        <f t="shared" si="316"/>
        <v>1.570796020827139</v>
      </c>
      <c r="AP490" s="31" t="str">
        <f t="shared" si="297"/>
        <v>1+3830.33246711129i</v>
      </c>
      <c r="AQ490" s="31">
        <f t="shared" si="317"/>
        <v>3830.3325976482593</v>
      </c>
      <c r="AR490" s="31">
        <f t="shared" si="318"/>
        <v>1.5705352528578778</v>
      </c>
      <c r="AS490" s="58" t="str">
        <f t="shared" si="319"/>
        <v>-0.00386747537680384+0.183930262417816i</v>
      </c>
      <c r="AT490" s="49">
        <f t="shared" si="320"/>
        <v>-14.705016474367007</v>
      </c>
      <c r="AU490" s="61">
        <f t="shared" si="321"/>
        <v>91.204572673934578</v>
      </c>
      <c r="AV490" s="58" t="str">
        <f t="shared" si="298"/>
        <v>-0.00922646259226611+0.00236676510781844i</v>
      </c>
      <c r="AW490" s="64">
        <f t="shared" si="322"/>
        <v>-40.422529709272716</v>
      </c>
      <c r="AX490" s="61">
        <f t="shared" si="323"/>
        <v>165.61274684992682</v>
      </c>
    </row>
    <row r="491" spans="14:50" x14ac:dyDescent="0.4">
      <c r="N491" s="10">
        <v>73</v>
      </c>
      <c r="O491" s="50">
        <f t="shared" si="324"/>
        <v>537031.7963702539</v>
      </c>
      <c r="P491" s="48" t="str">
        <f t="shared" si="289"/>
        <v>5120.19230769231</v>
      </c>
      <c r="Q491" s="17" t="str">
        <f t="shared" si="290"/>
        <v>1+15768.224635834i</v>
      </c>
      <c r="R491" s="17">
        <f t="shared" si="299"/>
        <v>15768.22466754334</v>
      </c>
      <c r="S491" s="17">
        <f t="shared" si="300"/>
        <v>1.5707329081144963</v>
      </c>
      <c r="T491" s="17" t="str">
        <f t="shared" si="291"/>
        <v>1+0.033708960221494i</v>
      </c>
      <c r="U491" s="17">
        <f t="shared" si="301"/>
        <v>1.0005679856957319</v>
      </c>
      <c r="V491" s="17">
        <f t="shared" si="302"/>
        <v>3.3696201156121514E-2</v>
      </c>
      <c r="W491" s="31" t="str">
        <f t="shared" si="292"/>
        <v>1-54.6631787375578i</v>
      </c>
      <c r="X491" s="17">
        <f t="shared" si="303"/>
        <v>54.672324897467007</v>
      </c>
      <c r="Y491" s="17">
        <f t="shared" si="304"/>
        <v>-1.5525045170153922</v>
      </c>
      <c r="Z491" s="31" t="str">
        <f t="shared" si="293"/>
        <v>-114.361260125065+332.815214078746i</v>
      </c>
      <c r="AA491" s="17">
        <f t="shared" si="305"/>
        <v>351.91542242373282</v>
      </c>
      <c r="AB491" s="17">
        <f t="shared" si="306"/>
        <v>1.9017742456485087</v>
      </c>
      <c r="AC491" s="66" t="str">
        <f t="shared" si="307"/>
        <v>0.0138970638308877+0.0485245539921626i</v>
      </c>
      <c r="AD491" s="64">
        <f t="shared" si="308"/>
        <v>-25.938413618344324</v>
      </c>
      <c r="AE491" s="61">
        <f t="shared" si="309"/>
        <v>74.018689372285209</v>
      </c>
      <c r="AF491" s="31" t="str">
        <f t="shared" si="294"/>
        <v>-10.0808080808081</v>
      </c>
      <c r="AG491" s="31" t="str">
        <f t="shared" si="310"/>
        <v>3374270.29244184i</v>
      </c>
      <c r="AH491" s="31">
        <f t="shared" si="311"/>
        <v>3374270.2924418398</v>
      </c>
      <c r="AI491" s="31">
        <f t="shared" si="312"/>
        <v>1.5707963267948966</v>
      </c>
      <c r="AJ491" s="31" t="str">
        <f t="shared" si="295"/>
        <v>-217785.434842521+4530.75756966251i</v>
      </c>
      <c r="AK491" s="31">
        <f t="shared" si="313"/>
        <v>217832.5581580977</v>
      </c>
      <c r="AL491" s="31">
        <f t="shared" si="314"/>
        <v>3.1207918864942226</v>
      </c>
      <c r="AM491" s="31" t="str">
        <f t="shared" si="296"/>
        <v>1+3344447.14188913i</v>
      </c>
      <c r="AN491" s="31">
        <f t="shared" si="315"/>
        <v>3344447.1418892802</v>
      </c>
      <c r="AO491" s="31">
        <f t="shared" si="316"/>
        <v>1.5707960277918156</v>
      </c>
      <c r="AP491" s="31" t="str">
        <f t="shared" si="297"/>
        <v>1+3919.55237170044i</v>
      </c>
      <c r="AQ491" s="31">
        <f t="shared" si="317"/>
        <v>3919.5524992660248</v>
      </c>
      <c r="AR491" s="31">
        <f t="shared" si="318"/>
        <v>1.5705411956259594</v>
      </c>
      <c r="AS491" s="58" t="str">
        <f t="shared" si="319"/>
        <v>-0.00369348400594059+0.179747079275235i</v>
      </c>
      <c r="AT491" s="49">
        <f t="shared" si="320"/>
        <v>-14.904929822278428</v>
      </c>
      <c r="AU491" s="61">
        <f t="shared" si="321"/>
        <v>91.177161094393838</v>
      </c>
      <c r="AV491" s="58" t="str">
        <f t="shared" si="298"/>
        <v>-0.00877347543621359+0.00231873197003812i</v>
      </c>
      <c r="AW491" s="64">
        <f t="shared" si="322"/>
        <v>-40.843343440622746</v>
      </c>
      <c r="AX491" s="61">
        <f t="shared" si="323"/>
        <v>165.19585046667902</v>
      </c>
    </row>
    <row r="492" spans="14:50" x14ac:dyDescent="0.4">
      <c r="N492" s="10">
        <v>74</v>
      </c>
      <c r="O492" s="50">
        <f t="shared" si="324"/>
        <v>549540.87385762564</v>
      </c>
      <c r="P492" s="48" t="str">
        <f t="shared" si="289"/>
        <v>5120.19230769231</v>
      </c>
      <c r="Q492" s="17" t="str">
        <f t="shared" si="290"/>
        <v>1+16135.5137705576i</v>
      </c>
      <c r="R492" s="17">
        <f t="shared" si="299"/>
        <v>16135.513801545148</v>
      </c>
      <c r="S492" s="17">
        <f t="shared" si="300"/>
        <v>1.5707343516999019</v>
      </c>
      <c r="T492" s="17" t="str">
        <f t="shared" si="291"/>
        <v>1+0.0344941427717255i</v>
      </c>
      <c r="U492" s="17">
        <f t="shared" si="301"/>
        <v>1.0005947460813274</v>
      </c>
      <c r="V492" s="17">
        <f t="shared" si="302"/>
        <v>3.4480471625715652E-2</v>
      </c>
      <c r="W492" s="31" t="str">
        <f t="shared" si="292"/>
        <v>1-55.9364477379331i</v>
      </c>
      <c r="X492" s="17">
        <f t="shared" si="303"/>
        <v>55.945385739473828</v>
      </c>
      <c r="Y492" s="17">
        <f t="shared" si="304"/>
        <v>-1.5529207997159136</v>
      </c>
      <c r="Z492" s="31" t="str">
        <f t="shared" si="293"/>
        <v>-119.798068816081+340.567476291199i</v>
      </c>
      <c r="AA492" s="17">
        <f t="shared" si="305"/>
        <v>361.02324468019907</v>
      </c>
      <c r="AB492" s="17">
        <f t="shared" si="306"/>
        <v>1.9090383530779735</v>
      </c>
      <c r="AC492" s="66" t="str">
        <f t="shared" si="307"/>
        <v>0.0138726706334527+0.0472067312787416i</v>
      </c>
      <c r="AD492" s="64">
        <f t="shared" si="308"/>
        <v>-26.160184013049367</v>
      </c>
      <c r="AE492" s="61">
        <f t="shared" si="309"/>
        <v>73.623488109376439</v>
      </c>
      <c r="AF492" s="31" t="str">
        <f t="shared" si="294"/>
        <v>-10.0808080808081</v>
      </c>
      <c r="AG492" s="31" t="str">
        <f t="shared" si="310"/>
        <v>3452867.14431686i</v>
      </c>
      <c r="AH492" s="31">
        <f t="shared" si="311"/>
        <v>3452867.14431686</v>
      </c>
      <c r="AI492" s="31">
        <f t="shared" si="312"/>
        <v>1.5707963267948966</v>
      </c>
      <c r="AJ492" s="31" t="str">
        <f t="shared" si="295"/>
        <v>-228049.393301832+4636.29247075862i</v>
      </c>
      <c r="AK492" s="31">
        <f t="shared" si="313"/>
        <v>228096.51683707946</v>
      </c>
      <c r="AL492" s="31">
        <f t="shared" si="314"/>
        <v>3.1212652420217326</v>
      </c>
      <c r="AM492" s="31" t="str">
        <f t="shared" si="296"/>
        <v>1+3422349.32334854i</v>
      </c>
      <c r="AN492" s="31">
        <f t="shared" si="315"/>
        <v>3422349.3233486856</v>
      </c>
      <c r="AO492" s="31">
        <f t="shared" si="316"/>
        <v>1.5707960345979566</v>
      </c>
      <c r="AP492" s="31" t="str">
        <f t="shared" si="297"/>
        <v>1+4010.85047483847i</v>
      </c>
      <c r="AQ492" s="31">
        <f t="shared" si="317"/>
        <v>4010.8505995003075</v>
      </c>
      <c r="AR492" s="31">
        <f t="shared" si="318"/>
        <v>1.5705470031201416</v>
      </c>
      <c r="AS492" s="58" t="str">
        <f t="shared" si="319"/>
        <v>-0.0035273170550415+0.175658878134901i</v>
      </c>
      <c r="AT492" s="49">
        <f t="shared" si="320"/>
        <v>-15.104847068562153</v>
      </c>
      <c r="AU492" s="61">
        <f t="shared" si="321"/>
        <v>91.150372955327683</v>
      </c>
      <c r="AV492" s="58" t="str">
        <f t="shared" si="298"/>
        <v>-0.00834121476456384+0.00227034465185502i</v>
      </c>
      <c r="AW492" s="64">
        <f t="shared" si="322"/>
        <v>-41.265031081611525</v>
      </c>
      <c r="AX492" s="61">
        <f t="shared" si="323"/>
        <v>164.77386106470414</v>
      </c>
    </row>
    <row r="493" spans="14:50" x14ac:dyDescent="0.4">
      <c r="N493" s="10">
        <v>75</v>
      </c>
      <c r="O493" s="50">
        <f t="shared" si="324"/>
        <v>562341.32519035018</v>
      </c>
      <c r="P493" s="48" t="str">
        <f t="shared" si="289"/>
        <v>5120.19230769231</v>
      </c>
      <c r="Q493" s="17" t="str">
        <f t="shared" si="290"/>
        <v>1+16511.3581682613i</v>
      </c>
      <c r="R493" s="17">
        <f t="shared" si="299"/>
        <v>16511.358198543483</v>
      </c>
      <c r="S493" s="17">
        <f t="shared" si="300"/>
        <v>1.570735762425292</v>
      </c>
      <c r="T493" s="17" t="str">
        <f t="shared" si="291"/>
        <v>1+0.0352976145730386i</v>
      </c>
      <c r="U493" s="17">
        <f t="shared" si="301"/>
        <v>1.0006227668779812</v>
      </c>
      <c r="V493" s="17">
        <f t="shared" si="302"/>
        <v>3.5282966168527601E-2</v>
      </c>
      <c r="W493" s="31" t="str">
        <f t="shared" si="292"/>
        <v>1-57.2393749833057i</v>
      </c>
      <c r="X493" s="17">
        <f t="shared" si="303"/>
        <v>57.248109562495451</v>
      </c>
      <c r="Y493" s="17">
        <f t="shared" si="304"/>
        <v>-1.5533276126525024</v>
      </c>
      <c r="Z493" s="31" t="str">
        <f t="shared" si="293"/>
        <v>-125.491106406736+348.500311887526i</v>
      </c>
      <c r="AA493" s="17">
        <f t="shared" si="305"/>
        <v>370.4058384703049</v>
      </c>
      <c r="AB493" s="17">
        <f t="shared" si="306"/>
        <v>1.9164306371944213</v>
      </c>
      <c r="AC493" s="66" t="str">
        <f t="shared" si="307"/>
        <v>0.0138432075823638+0.0459161653330004i</v>
      </c>
      <c r="AD493" s="64">
        <f t="shared" si="308"/>
        <v>-26.382856395834047</v>
      </c>
      <c r="AE493" s="61">
        <f t="shared" si="309"/>
        <v>73.222531485998942</v>
      </c>
      <c r="AF493" s="31" t="str">
        <f t="shared" si="294"/>
        <v>-10.0808080808081</v>
      </c>
      <c r="AG493" s="31" t="str">
        <f t="shared" si="310"/>
        <v>3533294.75205591i</v>
      </c>
      <c r="AH493" s="31">
        <f t="shared" si="311"/>
        <v>3533294.75205591</v>
      </c>
      <c r="AI493" s="31">
        <f t="shared" si="312"/>
        <v>1.5707963267948966</v>
      </c>
      <c r="AJ493" s="31" t="str">
        <f t="shared" si="295"/>
        <v>-238797.077220583+4744.28559549132i</v>
      </c>
      <c r="AK493" s="31">
        <f t="shared" si="313"/>
        <v>238844.20096561837</v>
      </c>
      <c r="AL493" s="31">
        <f t="shared" si="314"/>
        <v>3.1217278311852463</v>
      </c>
      <c r="AM493" s="31" t="str">
        <f t="shared" si="296"/>
        <v>1+3502066.07971935i</v>
      </c>
      <c r="AN493" s="31">
        <f t="shared" si="315"/>
        <v>3502066.0797194932</v>
      </c>
      <c r="AO493" s="31">
        <f t="shared" si="316"/>
        <v>1.570796041249171</v>
      </c>
      <c r="AP493" s="31" t="str">
        <f t="shared" si="297"/>
        <v>1+4104.27518398815i</v>
      </c>
      <c r="AQ493" s="31">
        <f t="shared" si="317"/>
        <v>4104.275305812339</v>
      </c>
      <c r="AR493" s="31">
        <f t="shared" si="318"/>
        <v>1.5705526784196333</v>
      </c>
      <c r="AS493" s="58" t="str">
        <f t="shared" si="319"/>
        <v>-0.00336862293717869+0.171663512871948i</v>
      </c>
      <c r="AT493" s="49">
        <f t="shared" si="320"/>
        <v>-15.30476803790447</v>
      </c>
      <c r="AU493" s="61">
        <f t="shared" si="321"/>
        <v>91.124194100404694</v>
      </c>
      <c r="AV493" s="58" t="str">
        <f t="shared" si="298"/>
        <v>-0.00792876278525808+0.00222169939527612i</v>
      </c>
      <c r="AW493" s="64">
        <f t="shared" si="322"/>
        <v>-41.68762443373852</v>
      </c>
      <c r="AX493" s="61">
        <f t="shared" si="323"/>
        <v>164.34672558640364</v>
      </c>
    </row>
    <row r="494" spans="14:50" x14ac:dyDescent="0.4">
      <c r="N494" s="10">
        <v>76</v>
      </c>
      <c r="O494" s="50">
        <f t="shared" si="324"/>
        <v>575439.93733715697</v>
      </c>
      <c r="P494" s="48" t="str">
        <f t="shared" si="289"/>
        <v>5120.19230769231</v>
      </c>
      <c r="Q494" s="17" t="str">
        <f t="shared" si="290"/>
        <v>1+16895.9571066193i</v>
      </c>
      <c r="R494" s="17">
        <f t="shared" si="299"/>
        <v>16895.957136212175</v>
      </c>
      <c r="S494" s="17">
        <f t="shared" si="300"/>
        <v>1.5707371410386519</v>
      </c>
      <c r="T494" s="17" t="str">
        <f t="shared" si="291"/>
        <v>1+0.0361198016368173i</v>
      </c>
      <c r="U494" s="17">
        <f t="shared" si="301"/>
        <v>1.0006521074131023</v>
      </c>
      <c r="V494" s="17">
        <f t="shared" si="302"/>
        <v>3.6104106140988274E-2</v>
      </c>
      <c r="W494" s="31" t="str">
        <f t="shared" si="292"/>
        <v>1-58.572651302947i</v>
      </c>
      <c r="X494" s="17">
        <f t="shared" si="303"/>
        <v>58.581187088148184</v>
      </c>
      <c r="Y494" s="17">
        <f t="shared" si="304"/>
        <v>-1.5537251709838438</v>
      </c>
      <c r="Z494" s="31" t="str">
        <f t="shared" si="293"/>
        <v>-131.452448593037+356.617926962162i</v>
      </c>
      <c r="AA494" s="17">
        <f t="shared" si="305"/>
        <v>380.07379819173923</v>
      </c>
      <c r="AB494" s="17">
        <f t="shared" si="306"/>
        <v>1.9239518718146813</v>
      </c>
      <c r="AC494" s="66" t="str">
        <f t="shared" si="307"/>
        <v>0.0138087133881964+0.0446522954469058i</v>
      </c>
      <c r="AD494" s="64">
        <f t="shared" si="308"/>
        <v>-26.606463497407233</v>
      </c>
      <c r="AE494" s="61">
        <f t="shared" si="309"/>
        <v>72.815786937118659</v>
      </c>
      <c r="AF494" s="31" t="str">
        <f t="shared" si="294"/>
        <v>-10.0808080808081</v>
      </c>
      <c r="AG494" s="31" t="str">
        <f t="shared" si="310"/>
        <v>3615595.75944117i</v>
      </c>
      <c r="AH494" s="31">
        <f t="shared" si="311"/>
        <v>3615595.7594411699</v>
      </c>
      <c r="AI494" s="31">
        <f t="shared" si="312"/>
        <v>1.5707963267948966</v>
      </c>
      <c r="AJ494" s="31" t="str">
        <f t="shared" si="295"/>
        <v>-250051.283877336+4854.79420324478i</v>
      </c>
      <c r="AK494" s="31">
        <f t="shared" si="313"/>
        <v>250098.40782272076</v>
      </c>
      <c r="AL494" s="31">
        <f t="shared" si="314"/>
        <v>3.1221798984885267</v>
      </c>
      <c r="AM494" s="31" t="str">
        <f t="shared" si="296"/>
        <v>1+3583639.67788094i</v>
      </c>
      <c r="AN494" s="31">
        <f t="shared" si="315"/>
        <v>3583639.6778810802</v>
      </c>
      <c r="AO494" s="31">
        <f t="shared" si="316"/>
        <v>1.5707960477489853</v>
      </c>
      <c r="AP494" s="31" t="str">
        <f t="shared" si="297"/>
        <v>1+4199.87603416686i</v>
      </c>
      <c r="AQ494" s="31">
        <f t="shared" si="317"/>
        <v>4199.8761532179915</v>
      </c>
      <c r="AR494" s="31">
        <f t="shared" si="318"/>
        <v>1.5705582245335519</v>
      </c>
      <c r="AS494" s="58" t="str">
        <f t="shared" si="319"/>
        <v>-0.00321706583933412+0.167758885151591i</v>
      </c>
      <c r="AT494" s="49">
        <f t="shared" si="320"/>
        <v>-15.504692562869709</v>
      </c>
      <c r="AU494" s="61">
        <f t="shared" si="321"/>
        <v>91.098610693203028</v>
      </c>
      <c r="AV494" s="58" t="str">
        <f t="shared" si="298"/>
        <v>-0.0075352428437587+0.00217288498905158i</v>
      </c>
      <c r="AW494" s="64">
        <f t="shared" si="322"/>
        <v>-42.11115606027694</v>
      </c>
      <c r="AX494" s="61">
        <f t="shared" si="323"/>
        <v>163.9143976303217</v>
      </c>
    </row>
    <row r="495" spans="14:50" x14ac:dyDescent="0.4">
      <c r="N495" s="10">
        <v>77</v>
      </c>
      <c r="O495" s="50">
        <f t="shared" si="324"/>
        <v>588843.65535558888</v>
      </c>
      <c r="P495" s="48" t="str">
        <f t="shared" si="289"/>
        <v>5120.19230769231</v>
      </c>
      <c r="Q495" s="17" t="str">
        <f t="shared" si="290"/>
        <v>1+17289.5145050798i</v>
      </c>
      <c r="R495" s="17">
        <f t="shared" si="299"/>
        <v>17289.514533999059</v>
      </c>
      <c r="S495" s="17">
        <f t="shared" si="300"/>
        <v>1.570738488270941</v>
      </c>
      <c r="T495" s="17" t="str">
        <f t="shared" si="291"/>
        <v>1+0.0369611398975261i</v>
      </c>
      <c r="U495" s="17">
        <f t="shared" si="301"/>
        <v>1.0006828298029924</v>
      </c>
      <c r="V495" s="17">
        <f t="shared" si="302"/>
        <v>3.6944322490484752E-2</v>
      </c>
      <c r="W495" s="31" t="str">
        <f t="shared" si="292"/>
        <v>1-59.9369836176098i</v>
      </c>
      <c r="X495" s="17">
        <f t="shared" si="303"/>
        <v>59.945325131970257</v>
      </c>
      <c r="Y495" s="17">
        <f t="shared" si="304"/>
        <v>-1.5541136849976573</v>
      </c>
      <c r="Z495" s="31" t="str">
        <f t="shared" si="293"/>
        <v>-137.694740181013+364.92462558207i</v>
      </c>
      <c r="AA495" s="17">
        <f t="shared" si="305"/>
        <v>390.0382338050087</v>
      </c>
      <c r="AB495" s="17">
        <f t="shared" si="306"/>
        <v>1.9316027280634744</v>
      </c>
      <c r="AC495" s="66" t="str">
        <f t="shared" si="307"/>
        <v>0.0137692234941439+0.0434145800832847i</v>
      </c>
      <c r="AD495" s="64">
        <f t="shared" si="308"/>
        <v>-26.83103878646136</v>
      </c>
      <c r="AE495" s="61">
        <f t="shared" si="309"/>
        <v>72.403228611108148</v>
      </c>
      <c r="AF495" s="31" t="str">
        <f t="shared" si="294"/>
        <v>-10.0808080808081</v>
      </c>
      <c r="AG495" s="31" t="str">
        <f t="shared" si="310"/>
        <v>3699813.80355616i</v>
      </c>
      <c r="AH495" s="31">
        <f t="shared" si="311"/>
        <v>3699813.8035561601</v>
      </c>
      <c r="AI495" s="31">
        <f t="shared" si="312"/>
        <v>1.5707963267948966</v>
      </c>
      <c r="AJ495" s="31" t="str">
        <f t="shared" si="295"/>
        <v>-261835.884953286+4967.87688714561i</v>
      </c>
      <c r="AK495" s="31">
        <f t="shared" si="313"/>
        <v>261883.00909000624</v>
      </c>
      <c r="AL495" s="31">
        <f t="shared" si="314"/>
        <v>3.1226216829076701</v>
      </c>
      <c r="AM495" s="31" t="str">
        <f t="shared" si="296"/>
        <v>1+3667113.36923482i</v>
      </c>
      <c r="AN495" s="31">
        <f t="shared" si="315"/>
        <v>3667113.3692349568</v>
      </c>
      <c r="AO495" s="31">
        <f t="shared" si="316"/>
        <v>1.5707960541008457</v>
      </c>
      <c r="AP495" s="31" t="str">
        <f t="shared" si="297"/>
        <v>1+4297.70371421084i</v>
      </c>
      <c r="AQ495" s="31">
        <f t="shared" si="317"/>
        <v>4297.7038305520373</v>
      </c>
      <c r="AR495" s="31">
        <f t="shared" si="318"/>
        <v>1.5705636444025191</v>
      </c>
      <c r="AS495" s="58" t="str">
        <f t="shared" si="319"/>
        <v>-0.00307232501686021+0.16394294341199i</v>
      </c>
      <c r="AT495" s="49">
        <f t="shared" si="320"/>
        <v>-15.704620483546554</v>
      </c>
      <c r="AU495" s="61">
        <f t="shared" si="321"/>
        <v>91.073609210083589</v>
      </c>
      <c r="AV495" s="58" t="str">
        <f t="shared" si="298"/>
        <v>-0.00715981757565305+0.00212398332764112i</v>
      </c>
      <c r="AW495" s="64">
        <f t="shared" si="322"/>
        <v>-42.535659270007919</v>
      </c>
      <c r="AX495" s="61">
        <f t="shared" si="323"/>
        <v>163.47683782119174</v>
      </c>
    </row>
    <row r="496" spans="14:50" x14ac:dyDescent="0.4">
      <c r="N496" s="10">
        <v>78</v>
      </c>
      <c r="O496" s="50">
        <f t="shared" si="324"/>
        <v>602559.58607435878</v>
      </c>
      <c r="P496" s="48" t="str">
        <f t="shared" si="289"/>
        <v>5120.19230769231</v>
      </c>
      <c r="Q496" s="17" t="str">
        <f t="shared" si="290"/>
        <v>1+17692.2390329846i</v>
      </c>
      <c r="R496" s="17">
        <f t="shared" si="299"/>
        <v>17692.239061245575</v>
      </c>
      <c r="S496" s="17">
        <f t="shared" si="300"/>
        <v>1.5707398048364791</v>
      </c>
      <c r="T496" s="17" t="str">
        <f t="shared" si="291"/>
        <v>1+0.037822075443847i</v>
      </c>
      <c r="U496" s="17">
        <f t="shared" si="301"/>
        <v>1.0007149990835953</v>
      </c>
      <c r="V496" s="17">
        <f t="shared" si="302"/>
        <v>3.7804055962840734E-2</v>
      </c>
      <c r="W496" s="31" t="str">
        <f t="shared" si="292"/>
        <v>1-61.3330953143464i</v>
      </c>
      <c r="X496" s="17">
        <f t="shared" si="303"/>
        <v>61.341246978185076</v>
      </c>
      <c r="Y496" s="17">
        <f t="shared" si="304"/>
        <v>-1.5544933602197988</v>
      </c>
      <c r="Z496" s="31" t="str">
        <f t="shared" si="293"/>
        <v>-144.231221908041+373.42481206881i</v>
      </c>
      <c r="AA496" s="17">
        <f t="shared" si="305"/>
        <v>400.31079880726753</v>
      </c>
      <c r="AB496" s="17">
        <f t="shared" si="306"/>
        <v>1.9393837677597912</v>
      </c>
      <c r="AC496" s="66" t="str">
        <f t="shared" si="307"/>
        <v>0.0137247705890861+0.0422024966338422i</v>
      </c>
      <c r="AD496" s="64">
        <f t="shared" si="308"/>
        <v>-27.056616450212047</v>
      </c>
      <c r="AE496" s="61">
        <f t="shared" si="309"/>
        <v>71.984837754294361</v>
      </c>
      <c r="AF496" s="31" t="str">
        <f t="shared" si="294"/>
        <v>-10.0808080808081</v>
      </c>
      <c r="AG496" s="31" t="str">
        <f t="shared" si="310"/>
        <v>3785993.53792262i</v>
      </c>
      <c r="AH496" s="31">
        <f t="shared" si="311"/>
        <v>3785993.5379226198</v>
      </c>
      <c r="AI496" s="31">
        <f t="shared" si="312"/>
        <v>1.5707963267948966</v>
      </c>
      <c r="AJ496" s="31" t="str">
        <f t="shared" si="295"/>
        <v>-274175.877167304+5083.59360512964i</v>
      </c>
      <c r="AK496" s="31">
        <f t="shared" si="313"/>
        <v>274223.00148675108</v>
      </c>
      <c r="AL496" s="31">
        <f t="shared" si="314"/>
        <v>3.1230534180144058</v>
      </c>
      <c r="AM496" s="31" t="str">
        <f t="shared" si="296"/>
        <v>1+3752531.41263706i</v>
      </c>
      <c r="AN496" s="31">
        <f t="shared" si="315"/>
        <v>3752531.4126371932</v>
      </c>
      <c r="AO496" s="31">
        <f t="shared" si="316"/>
        <v>1.5707960603081201</v>
      </c>
      <c r="AP496" s="31" t="str">
        <f t="shared" si="297"/>
        <v>1+4397.81009365092i</v>
      </c>
      <c r="AQ496" s="31">
        <f t="shared" si="317"/>
        <v>4397.8102073438677</v>
      </c>
      <c r="AR496" s="31">
        <f t="shared" si="318"/>
        <v>1.5705689409002195</v>
      </c>
      <c r="AS496" s="58" t="str">
        <f t="shared" si="319"/>
        <v>-0.00293409411930806+0.160213681865563i</v>
      </c>
      <c r="AT496" s="49">
        <f t="shared" si="320"/>
        <v>-15.904551647210422</v>
      </c>
      <c r="AU496" s="61">
        <f t="shared" si="321"/>
        <v>91.049176433215067</v>
      </c>
      <c r="AV496" s="58" t="str">
        <f t="shared" si="298"/>
        <v>-0.00680168713830118+0.0020750699316442i</v>
      </c>
      <c r="AW496" s="64">
        <f t="shared" si="322"/>
        <v>-42.961168097422458</v>
      </c>
      <c r="AX496" s="61">
        <f t="shared" si="323"/>
        <v>163.03401418750946</v>
      </c>
    </row>
    <row r="497" spans="14:50" x14ac:dyDescent="0.4">
      <c r="N497" s="10">
        <v>79</v>
      </c>
      <c r="O497" s="50">
        <f t="shared" si="324"/>
        <v>616595.00186148309</v>
      </c>
      <c r="P497" s="48" t="str">
        <f t="shared" si="289"/>
        <v>5120.19230769231</v>
      </c>
      <c r="Q497" s="17" t="str">
        <f t="shared" si="290"/>
        <v>1+18104.3442202091i</v>
      </c>
      <c r="R497" s="17">
        <f t="shared" si="299"/>
        <v>18104.344247826783</v>
      </c>
      <c r="S497" s="17">
        <f t="shared" si="300"/>
        <v>1.5707410914333271</v>
      </c>
      <c r="T497" s="17" t="str">
        <f t="shared" si="291"/>
        <v>1+0.0387030647552027i</v>
      </c>
      <c r="U497" s="17">
        <f t="shared" si="301"/>
        <v>1.0007486833473453</v>
      </c>
      <c r="V497" s="17">
        <f t="shared" si="302"/>
        <v>3.8683757313503112E-2</v>
      </c>
      <c r="W497" s="31" t="str">
        <f t="shared" si="292"/>
        <v>1-62.7617266300583i</v>
      </c>
      <c r="X497" s="17">
        <f t="shared" si="303"/>
        <v>62.769692763197185</v>
      </c>
      <c r="Y497" s="17">
        <f t="shared" si="304"/>
        <v>-1.5548643975209939</v>
      </c>
      <c r="Z497" s="31" t="str">
        <f t="shared" si="293"/>
        <v>-151.075758528225+382.122993333772i</v>
      </c>
      <c r="AA497" s="17">
        <f t="shared" si="305"/>
        <v>410.90371968289674</v>
      </c>
      <c r="AB497" s="17">
        <f t="shared" si="306"/>
        <v>1.9472954367022091</v>
      </c>
      <c r="AC497" s="66" t="str">
        <f t="shared" si="307"/>
        <v>0.0136753851280475+0.0410155411676292i</v>
      </c>
      <c r="AD497" s="64">
        <f t="shared" si="308"/>
        <v>-27.28323137118608</v>
      </c>
      <c r="AE497" s="61">
        <f t="shared" si="309"/>
        <v>71.560603101644347</v>
      </c>
      <c r="AF497" s="31" t="str">
        <f t="shared" si="294"/>
        <v>-10.0808080808081</v>
      </c>
      <c r="AG497" s="31" t="str">
        <f t="shared" si="310"/>
        <v>3874180.65617644i</v>
      </c>
      <c r="AH497" s="31">
        <f t="shared" si="311"/>
        <v>3874180.65617644</v>
      </c>
      <c r="AI497" s="31">
        <f t="shared" si="312"/>
        <v>1.5707963267948966</v>
      </c>
      <c r="AJ497" s="31" t="str">
        <f t="shared" si="295"/>
        <v>-287097.43529733+5202.00571173242i</v>
      </c>
      <c r="AK497" s="31">
        <f t="shared" si="313"/>
        <v>287144.55979128263</v>
      </c>
      <c r="AL497" s="31">
        <f t="shared" si="314"/>
        <v>3.1234753320967559</v>
      </c>
      <c r="AM497" s="31" t="str">
        <f t="shared" si="296"/>
        <v>1+3839939.0978649i</v>
      </c>
      <c r="AN497" s="31">
        <f t="shared" si="315"/>
        <v>3839939.0978650292</v>
      </c>
      <c r="AO497" s="31">
        <f t="shared" si="316"/>
        <v>1.5707960663740996</v>
      </c>
      <c r="AP497" s="31" t="str">
        <f t="shared" si="297"/>
        <v>1+4500.24825021455i</v>
      </c>
      <c r="AQ497" s="31">
        <f t="shared" si="317"/>
        <v>4500.24836131953</v>
      </c>
      <c r="AR497" s="31">
        <f t="shared" si="318"/>
        <v>1.5705741168349254</v>
      </c>
      <c r="AS497" s="58" t="str">
        <f t="shared" si="319"/>
        <v>-0.00280208054624556+0.156569139518636i</v>
      </c>
      <c r="AT497" s="49">
        <f t="shared" si="320"/>
        <v>-16.104485908001248</v>
      </c>
      <c r="AU497" s="61">
        <f t="shared" si="321"/>
        <v>91.025299443747983</v>
      </c>
      <c r="AV497" s="58" t="str">
        <f t="shared" si="298"/>
        <v>-0.00646008751813661+0.0020262144320848i</v>
      </c>
      <c r="AW497" s="64">
        <f t="shared" si="322"/>
        <v>-43.387717279187335</v>
      </c>
      <c r="AX497" s="61">
        <f t="shared" si="323"/>
        <v>162.58590254539234</v>
      </c>
    </row>
    <row r="498" spans="14:50" x14ac:dyDescent="0.4">
      <c r="N498" s="10">
        <v>80</v>
      </c>
      <c r="O498" s="50">
        <f t="shared" si="324"/>
        <v>630957.34448019415</v>
      </c>
      <c r="P498" s="48" t="str">
        <f t="shared" si="289"/>
        <v>5120.19230769231</v>
      </c>
      <c r="Q498" s="17" t="str">
        <f t="shared" si="290"/>
        <v>1+18526.0485703786i</v>
      </c>
      <c r="R498" s="17">
        <f t="shared" si="299"/>
        <v>18526.048597367622</v>
      </c>
      <c r="S498" s="17">
        <f t="shared" si="300"/>
        <v>1.5707423487436554</v>
      </c>
      <c r="T498" s="17" t="str">
        <f t="shared" si="291"/>
        <v>1+0.0396045749437871i</v>
      </c>
      <c r="U498" s="17">
        <f t="shared" si="301"/>
        <v>1.000783953886391</v>
      </c>
      <c r="V498" s="17">
        <f t="shared" si="302"/>
        <v>3.958388752243687E-2</v>
      </c>
      <c r="W498" s="31" t="str">
        <f t="shared" si="292"/>
        <v>1-64.223635043979i</v>
      </c>
      <c r="X498" s="17">
        <f t="shared" si="303"/>
        <v>64.231419868022599</v>
      </c>
      <c r="Y498" s="17">
        <f t="shared" si="304"/>
        <v>-1.5552269932212546</v>
      </c>
      <c r="Z498" s="31" t="str">
        <f t="shared" si="293"/>
        <v>-158.242868221399+391.023781267793i</v>
      </c>
      <c r="AA498" s="17">
        <f t="shared" si="305"/>
        <v>421.82982689693466</v>
      </c>
      <c r="AB498" s="17">
        <f t="shared" si="306"/>
        <v>1.9553380578773984</v>
      </c>
      <c r="AC498" s="66" t="str">
        <f t="shared" si="307"/>
        <v>0.0136210958599257+0.0398532281677632i</v>
      </c>
      <c r="AD498" s="64">
        <f t="shared" si="308"/>
        <v>-27.510919100058693</v>
      </c>
      <c r="AE498" s="61">
        <f t="shared" si="309"/>
        <v>71.130521272197669</v>
      </c>
      <c r="AF498" s="31" t="str">
        <f t="shared" si="294"/>
        <v>-10.0808080808081</v>
      </c>
      <c r="AG498" s="31" t="str">
        <f t="shared" si="310"/>
        <v>3964421.916295i</v>
      </c>
      <c r="AH498" s="31">
        <f t="shared" si="311"/>
        <v>3964421.9162949999</v>
      </c>
      <c r="AI498" s="31">
        <f t="shared" si="312"/>
        <v>1.5707963267948966</v>
      </c>
      <c r="AJ498" s="31" t="str">
        <f t="shared" si="295"/>
        <v>-300627.967700577+5323.17599062025i</v>
      </c>
      <c r="AK498" s="31">
        <f t="shared" si="313"/>
        <v>300675.0923611836</v>
      </c>
      <c r="AL498" s="31">
        <f t="shared" si="314"/>
        <v>3.123887648277103</v>
      </c>
      <c r="AM498" s="31" t="str">
        <f t="shared" si="296"/>
        <v>1+3929382.76963003i</v>
      </c>
      <c r="AN498" s="31">
        <f t="shared" si="315"/>
        <v>3929382.7696301574</v>
      </c>
      <c r="AO498" s="31">
        <f t="shared" si="316"/>
        <v>1.5707960723020007</v>
      </c>
      <c r="AP498" s="31" t="str">
        <f t="shared" si="297"/>
        <v>1+4605.07249796827i</v>
      </c>
      <c r="AQ498" s="31">
        <f t="shared" si="317"/>
        <v>4605.0726065441931</v>
      </c>
      <c r="AR498" s="31">
        <f t="shared" si="318"/>
        <v>1.5705791749509848</v>
      </c>
      <c r="AS498" s="58" t="str">
        <f t="shared" si="319"/>
        <v>-0.00267600483174696+0.153007399209328i</v>
      </c>
      <c r="AT498" s="49">
        <f t="shared" si="320"/>
        <v>-16.304423126614861</v>
      </c>
      <c r="AU498" s="61">
        <f t="shared" si="321"/>
        <v>91.001965615135362</v>
      </c>
      <c r="AV498" s="58" t="str">
        <f t="shared" si="298"/>
        <v>-0.00613428891038023+0.00197748102077053i</v>
      </c>
      <c r="AW498" s="64">
        <f t="shared" si="322"/>
        <v>-43.81534222667355</v>
      </c>
      <c r="AX498" s="61">
        <f t="shared" si="323"/>
        <v>162.13248688733302</v>
      </c>
    </row>
    <row r="499" spans="14:50" x14ac:dyDescent="0.4">
      <c r="N499" s="10">
        <v>81</v>
      </c>
      <c r="O499" s="50">
        <f t="shared" si="324"/>
        <v>645654.22903465747</v>
      </c>
      <c r="P499" s="48" t="str">
        <f t="shared" si="289"/>
        <v>5120.19230769231</v>
      </c>
      <c r="Q499" s="17" t="str">
        <f t="shared" si="290"/>
        <v>1+18957.5756767213i</v>
      </c>
      <c r="R499" s="17">
        <f t="shared" si="299"/>
        <v>18957.575703095979</v>
      </c>
      <c r="S499" s="17">
        <f t="shared" si="300"/>
        <v>1.5707435774341068</v>
      </c>
      <c r="T499" s="17" t="str">
        <f t="shared" si="291"/>
        <v>1+0.0405270840022353i</v>
      </c>
      <c r="U499" s="17">
        <f t="shared" si="301"/>
        <v>1.0008208853424894</v>
      </c>
      <c r="V499" s="17">
        <f t="shared" si="302"/>
        <v>4.0504918012733718E-2</v>
      </c>
      <c r="W499" s="31" t="str">
        <f t="shared" si="292"/>
        <v>1-65.7195956793005i</v>
      </c>
      <c r="X499" s="17">
        <f t="shared" si="303"/>
        <v>65.727203319863932</v>
      </c>
      <c r="Y499" s="17">
        <f t="shared" si="304"/>
        <v>-1.5555813391920219</v>
      </c>
      <c r="Z499" s="31" t="str">
        <f t="shared" si="293"/>
        <v>-165.747753388135+400.131895186456i</v>
      </c>
      <c r="AA499" s="17">
        <f t="shared" si="305"/>
        <v>433.10258749945029</v>
      </c>
      <c r="AB499" s="17">
        <f t="shared" si="306"/>
        <v>1.963511824618877</v>
      </c>
      <c r="AC499" s="66" t="str">
        <f t="shared" si="307"/>
        <v>0.0135619303621409+0.0387150902541592i</v>
      </c>
      <c r="AD499" s="64">
        <f t="shared" si="308"/>
        <v>-27.73971582434767</v>
      </c>
      <c r="AE499" s="61">
        <f t="shared" si="309"/>
        <v>70.694597167693814</v>
      </c>
      <c r="AF499" s="31" t="str">
        <f t="shared" si="294"/>
        <v>-10.0808080808081</v>
      </c>
      <c r="AG499" s="31" t="str">
        <f t="shared" si="310"/>
        <v>4056765.16538892i</v>
      </c>
      <c r="AH499" s="31">
        <f t="shared" si="311"/>
        <v>4056765.1653889199</v>
      </c>
      <c r="AI499" s="31">
        <f t="shared" si="312"/>
        <v>1.5707963267948966</v>
      </c>
      <c r="AJ499" s="31" t="str">
        <f t="shared" si="295"/>
        <v>-314796.174450348+5447.16868787887i</v>
      </c>
      <c r="AK499" s="31">
        <f t="shared" si="313"/>
        <v>314843.29927011015</v>
      </c>
      <c r="AL499" s="31">
        <f t="shared" si="314"/>
        <v>3.1242905846277198</v>
      </c>
      <c r="AM499" s="31" t="str">
        <f t="shared" si="296"/>
        <v>1+4020909.85215116i</v>
      </c>
      <c r="AN499" s="31">
        <f t="shared" si="315"/>
        <v>4020909.8521512849</v>
      </c>
      <c r="AO499" s="31">
        <f t="shared" si="316"/>
        <v>1.5707960780949664</v>
      </c>
      <c r="AP499" s="31" t="str">
        <f t="shared" si="297"/>
        <v>1+4712.33841611577i</v>
      </c>
      <c r="AQ499" s="31">
        <f t="shared" si="317"/>
        <v>4712.3385222202023</v>
      </c>
      <c r="AR499" s="31">
        <f t="shared" si="318"/>
        <v>1.5705841179302766</v>
      </c>
      <c r="AS499" s="58" t="str">
        <f t="shared" si="319"/>
        <v>-0.00255560005629084+0.149526586663493i</v>
      </c>
      <c r="AT499" s="49">
        <f t="shared" si="320"/>
        <v>-16.504363170009096</v>
      </c>
      <c r="AU499" s="61">
        <f t="shared" si="321"/>
        <v>90.979162606596717</v>
      </c>
      <c r="AV499" s="58" t="str">
        <f t="shared" si="298"/>
        <v>-0.00582359416807039+0.00192892886878608i</v>
      </c>
      <c r="AW499" s="64">
        <f t="shared" si="322"/>
        <v>-44.244078994356769</v>
      </c>
      <c r="AX499" s="61">
        <f t="shared" si="323"/>
        <v>161.6737597742906</v>
      </c>
    </row>
    <row r="500" spans="14:50" x14ac:dyDescent="0.4">
      <c r="N500" s="10">
        <v>82</v>
      </c>
      <c r="O500" s="50">
        <f t="shared" si="324"/>
        <v>660693.44800759677</v>
      </c>
      <c r="P500" s="48" t="str">
        <f t="shared" si="289"/>
        <v>5120.19230769231</v>
      </c>
      <c r="Q500" s="17" t="str">
        <f t="shared" si="290"/>
        <v>1+19399.154340621i</v>
      </c>
      <c r="R500" s="17">
        <f t="shared" si="299"/>
        <v>19399.154366395316</v>
      </c>
      <c r="S500" s="17">
        <f t="shared" si="300"/>
        <v>1.570744778156149</v>
      </c>
      <c r="T500" s="17" t="str">
        <f t="shared" si="291"/>
        <v>1+0.0414710810570608i</v>
      </c>
      <c r="U500" s="17">
        <f t="shared" si="301"/>
        <v>1.0008595558638791</v>
      </c>
      <c r="V500" s="17">
        <f t="shared" si="302"/>
        <v>4.1447330872925951E-2</v>
      </c>
      <c r="W500" s="31" t="str">
        <f t="shared" si="292"/>
        <v>1-67.2504017141526i</v>
      </c>
      <c r="X500" s="17">
        <f t="shared" si="303"/>
        <v>67.257836203039574</v>
      </c>
      <c r="Y500" s="17">
        <f t="shared" si="304"/>
        <v>-1.5559276229560792</v>
      </c>
      <c r="Z500" s="31" t="str">
        <f t="shared" si="293"/>
        <v>-173.606332896067+409.452164332317i</v>
      </c>
      <c r="AA500" s="17">
        <f t="shared" si="305"/>
        <v>444.73613941081823</v>
      </c>
      <c r="AB500" s="17">
        <f t="shared" si="306"/>
        <v>1.9718167937460107</v>
      </c>
      <c r="AC500" s="66" t="str">
        <f t="shared" si="307"/>
        <v>0.0134979155816124+0.0376006778899839i</v>
      </c>
      <c r="AD500" s="64">
        <f t="shared" si="308"/>
        <v>-27.969658332784391</v>
      </c>
      <c r="AE500" s="61">
        <f t="shared" si="309"/>
        <v>70.252844372670765</v>
      </c>
      <c r="AF500" s="31" t="str">
        <f t="shared" si="294"/>
        <v>-10.0808080808081</v>
      </c>
      <c r="AG500" s="31" t="str">
        <f t="shared" si="310"/>
        <v>4151259.36507115i</v>
      </c>
      <c r="AH500" s="31">
        <f t="shared" si="311"/>
        <v>4151259.36507115</v>
      </c>
      <c r="AI500" s="31">
        <f t="shared" si="312"/>
        <v>1.5707963267948966</v>
      </c>
      <c r="AJ500" s="31" t="str">
        <f t="shared" si="295"/>
        <v>-329632.108212717+5574.04954607758i</v>
      </c>
      <c r="AK500" s="31">
        <f t="shared" si="313"/>
        <v>329679.23318447353</v>
      </c>
      <c r="AL500" s="31">
        <f t="shared" si="314"/>
        <v>3.124684354283807</v>
      </c>
      <c r="AM500" s="31" t="str">
        <f t="shared" si="296"/>
        <v>1+4114568.87429892i</v>
      </c>
      <c r="AN500" s="31">
        <f t="shared" si="315"/>
        <v>4114568.8742990415</v>
      </c>
      <c r="AO500" s="31">
        <f t="shared" si="316"/>
        <v>1.5707960837560679</v>
      </c>
      <c r="AP500" s="31" t="str">
        <f t="shared" si="297"/>
        <v>1+4822.10287846665i</v>
      </c>
      <c r="AQ500" s="31">
        <f t="shared" si="317"/>
        <v>4822.1029821558504</v>
      </c>
      <c r="AR500" s="31">
        <f t="shared" si="318"/>
        <v>1.5705889483936331</v>
      </c>
      <c r="AS500" s="58" t="str">
        <f t="shared" si="319"/>
        <v>-0.00244061128485996+0.146124869568595i</v>
      </c>
      <c r="AT500" s="49">
        <f t="shared" si="320"/>
        <v>-16.704305911122212</v>
      </c>
      <c r="AU500" s="61">
        <f t="shared" si="321"/>
        <v>90.956878356723266</v>
      </c>
      <c r="AV500" s="58" t="str">
        <f t="shared" si="298"/>
        <v>-0.00552733731745522+0.00188061251503434i</v>
      </c>
      <c r="AW500" s="64">
        <f t="shared" si="322"/>
        <v>-44.673964243906603</v>
      </c>
      <c r="AX500" s="61">
        <f t="shared" si="323"/>
        <v>161.20972272939403</v>
      </c>
    </row>
    <row r="501" spans="14:50" x14ac:dyDescent="0.4">
      <c r="N501" s="10">
        <v>83</v>
      </c>
      <c r="O501" s="50">
        <f t="shared" si="324"/>
        <v>676082.97539198259</v>
      </c>
      <c r="P501" s="48" t="str">
        <f t="shared" si="289"/>
        <v>5120.19230769231</v>
      </c>
      <c r="Q501" s="17" t="str">
        <f t="shared" si="290"/>
        <v>1+19851.0186929302i</v>
      </c>
      <c r="R501" s="17">
        <f t="shared" si="299"/>
        <v>19851.018718117823</v>
      </c>
      <c r="S501" s="17">
        <f t="shared" si="300"/>
        <v>1.5707459515464208</v>
      </c>
      <c r="T501" s="17" t="str">
        <f t="shared" si="291"/>
        <v>1+0.0424370666279975i</v>
      </c>
      <c r="U501" s="17">
        <f t="shared" si="301"/>
        <v>1.0009000472694509</v>
      </c>
      <c r="V501" s="17">
        <f t="shared" si="302"/>
        <v>4.2411619082997877E-2</v>
      </c>
      <c r="W501" s="31" t="str">
        <f t="shared" si="292"/>
        <v>1-68.816864802158i</v>
      </c>
      <c r="X501" s="17">
        <f t="shared" si="303"/>
        <v>68.824130079489507</v>
      </c>
      <c r="Y501" s="17">
        <f t="shared" si="304"/>
        <v>-1.5562660277852811</v>
      </c>
      <c r="Z501" s="31" t="str">
        <f t="shared" si="293"/>
        <v>-181.835275845951+418.989530435448i</v>
      </c>
      <c r="AA501" s="17">
        <f t="shared" si="305"/>
        <v>456.74532745994264</v>
      </c>
      <c r="AB501" s="17">
        <f t="shared" si="306"/>
        <v>1.9802528787161648</v>
      </c>
      <c r="AC501" s="66" t="str">
        <f t="shared" si="307"/>
        <v>0.0134290783812068+0.036509559069549i</v>
      </c>
      <c r="AD501" s="64">
        <f t="shared" si="308"/>
        <v>-28.200783975192259</v>
      </c>
      <c r="AE501" s="61">
        <f t="shared" si="309"/>
        <v>69.805285554148043</v>
      </c>
      <c r="AF501" s="31" t="str">
        <f t="shared" si="294"/>
        <v>-10.0808080808081</v>
      </c>
      <c r="AG501" s="31" t="str">
        <f t="shared" si="310"/>
        <v>4247954.61741716i</v>
      </c>
      <c r="AH501" s="31">
        <f t="shared" si="311"/>
        <v>4247954.6174171604</v>
      </c>
      <c r="AI501" s="31">
        <f t="shared" si="312"/>
        <v>1.5707963267948966</v>
      </c>
      <c r="AJ501" s="31" t="str">
        <f t="shared" si="295"/>
        <v>-345167.237992288+5703.88583912691i</v>
      </c>
      <c r="AK501" s="31">
        <f t="shared" si="313"/>
        <v>345214.36310920003</v>
      </c>
      <c r="AL501" s="31">
        <f t="shared" si="314"/>
        <v>3.1250691655540805</v>
      </c>
      <c r="AM501" s="31" t="str">
        <f t="shared" si="296"/>
        <v>1+4210409.4953266i</v>
      </c>
      <c r="AN501" s="31">
        <f t="shared" si="315"/>
        <v>4210409.4953267183</v>
      </c>
      <c r="AO501" s="31">
        <f t="shared" si="316"/>
        <v>1.5707960892883071</v>
      </c>
      <c r="AP501" s="31" t="str">
        <f t="shared" si="297"/>
        <v>1+4934.42408359178i</v>
      </c>
      <c r="AQ501" s="31">
        <f t="shared" si="317"/>
        <v>4934.4241849207274</v>
      </c>
      <c r="AR501" s="31">
        <f t="shared" si="318"/>
        <v>1.5705936689022288</v>
      </c>
      <c r="AS501" s="58" t="str">
        <f t="shared" si="319"/>
        <v>-0.00233079503008557+0.142800456665311i</v>
      </c>
      <c r="AT501" s="49">
        <f t="shared" si="320"/>
        <v>-16.904251228605027</v>
      </c>
      <c r="AU501" s="61">
        <f t="shared" si="321"/>
        <v>90.935101077221148</v>
      </c>
      <c r="AV501" s="58" t="str">
        <f t="shared" si="298"/>
        <v>-0.00524488213693029+0.00183258222660067i</v>
      </c>
      <c r="AW501" s="64">
        <f t="shared" si="322"/>
        <v>-45.105035203797286</v>
      </c>
      <c r="AX501" s="61">
        <f t="shared" si="323"/>
        <v>160.74038663136918</v>
      </c>
    </row>
    <row r="502" spans="14:50" x14ac:dyDescent="0.4">
      <c r="N502" s="10">
        <v>84</v>
      </c>
      <c r="O502" s="50">
        <f t="shared" si="324"/>
        <v>691830.97091893724</v>
      </c>
      <c r="P502" s="48" t="str">
        <f t="shared" si="289"/>
        <v>5120.19230769231</v>
      </c>
      <c r="Q502" s="17" t="str">
        <f t="shared" si="290"/>
        <v>1+20313.4083181097i</v>
      </c>
      <c r="R502" s="17">
        <f t="shared" si="299"/>
        <v>20313.408342723982</v>
      </c>
      <c r="S502" s="17">
        <f t="shared" si="300"/>
        <v>1.5707470982270693</v>
      </c>
      <c r="T502" s="17" t="str">
        <f t="shared" si="291"/>
        <v>1+0.0434255528933813i</v>
      </c>
      <c r="U502" s="17">
        <f t="shared" si="301"/>
        <v>1.0009424452205511</v>
      </c>
      <c r="V502" s="17">
        <f t="shared" si="302"/>
        <v>4.3398286744073929E-2</v>
      </c>
      <c r="W502" s="31" t="str">
        <f t="shared" si="292"/>
        <v>1-70.4198155027803i</v>
      </c>
      <c r="X502" s="17">
        <f t="shared" si="303"/>
        <v>70.426915419075513</v>
      </c>
      <c r="Y502" s="17">
        <f t="shared" si="304"/>
        <v>-1.5565967327961425</v>
      </c>
      <c r="Z502" s="31" t="str">
        <f t="shared" si="293"/>
        <v>-190.452036929056+428.749050333597i</v>
      </c>
      <c r="AA502" s="17">
        <f t="shared" si="305"/>
        <v>469.14574124933478</v>
      </c>
      <c r="AB502" s="17">
        <f t="shared" si="306"/>
        <v>1.9888198428258268</v>
      </c>
      <c r="AC502" s="66" t="str">
        <f t="shared" si="307"/>
        <v>0.0133554460905263+0.0354413189853638i</v>
      </c>
      <c r="AD502" s="64">
        <f t="shared" si="308"/>
        <v>-28.433130617720987</v>
      </c>
      <c r="AE502" s="61">
        <f t="shared" si="309"/>
        <v>69.351952858838217</v>
      </c>
      <c r="AF502" s="31" t="str">
        <f t="shared" si="294"/>
        <v>-10.0808080808081</v>
      </c>
      <c r="AG502" s="31" t="str">
        <f t="shared" si="310"/>
        <v>4346902.19152965i</v>
      </c>
      <c r="AH502" s="31">
        <f t="shared" si="311"/>
        <v>4346902.1915296502</v>
      </c>
      <c r="AI502" s="31">
        <f t="shared" si="312"/>
        <v>1.5707963267948966</v>
      </c>
      <c r="AJ502" s="31" t="str">
        <f t="shared" si="295"/>
        <v>-361434.515882152+5836.74640794799i</v>
      </c>
      <c r="AK502" s="31">
        <f t="shared" si="313"/>
        <v>361481.64113768801</v>
      </c>
      <c r="AL502" s="31">
        <f t="shared" si="314"/>
        <v>3.1254452220289686</v>
      </c>
      <c r="AM502" s="31" t="str">
        <f t="shared" si="296"/>
        <v>1+4308482.53120005i</v>
      </c>
      <c r="AN502" s="31">
        <f t="shared" si="315"/>
        <v>4308482.5312001668</v>
      </c>
      <c r="AO502" s="31">
        <f t="shared" si="316"/>
        <v>1.5707960946946171</v>
      </c>
      <c r="AP502" s="31" t="str">
        <f t="shared" si="297"/>
        <v>1+5049.36158568084i</v>
      </c>
      <c r="AQ502" s="31">
        <f t="shared" si="317"/>
        <v>5049.361684703259</v>
      </c>
      <c r="AR502" s="31">
        <f t="shared" si="318"/>
        <v>1.5705982819589392</v>
      </c>
      <c r="AS502" s="58" t="str">
        <f t="shared" si="319"/>
        <v>-0.00222591873933219+0.139551596856721i</v>
      </c>
      <c r="AT502" s="49">
        <f t="shared" si="320"/>
        <v>-17.104199006563732</v>
      </c>
      <c r="AU502" s="61">
        <f t="shared" si="321"/>
        <v>90.913819246790425</v>
      </c>
      <c r="AV502" s="58" t="str">
        <f t="shared" si="298"/>
        <v>-0.00497562079684098+0.00178488433259063i</v>
      </c>
      <c r="AW502" s="64">
        <f t="shared" si="322"/>
        <v>-45.53732962428473</v>
      </c>
      <c r="AX502" s="61">
        <f t="shared" si="323"/>
        <v>160.2657721056286</v>
      </c>
    </row>
    <row r="503" spans="14:50" x14ac:dyDescent="0.4">
      <c r="N503" s="10">
        <v>85</v>
      </c>
      <c r="O503" s="50">
        <f t="shared" si="324"/>
        <v>707945.78438413853</v>
      </c>
      <c r="P503" s="48" t="str">
        <f t="shared" si="289"/>
        <v>5120.19230769231</v>
      </c>
      <c r="Q503" s="17" t="str">
        <f t="shared" si="290"/>
        <v>1+20786.5683812593i</v>
      </c>
      <c r="R503" s="17">
        <f t="shared" si="299"/>
        <v>20786.568405313294</v>
      </c>
      <c r="S503" s="17">
        <f t="shared" si="300"/>
        <v>1.5707482188060797</v>
      </c>
      <c r="T503" s="17" t="str">
        <f t="shared" si="291"/>
        <v>1+0.0444370639617143i</v>
      </c>
      <c r="U503" s="17">
        <f t="shared" si="301"/>
        <v>1.0009868394007673</v>
      </c>
      <c r="V503" s="17">
        <f t="shared" si="302"/>
        <v>4.4407849311759999E-2</v>
      </c>
      <c r="W503" s="31" t="str">
        <f t="shared" si="292"/>
        <v>1-72.0601037216988i</v>
      </c>
      <c r="X503" s="17">
        <f t="shared" si="303"/>
        <v>72.067042039908856</v>
      </c>
      <c r="Y503" s="17">
        <f t="shared" si="304"/>
        <v>-1.5569199130433289</v>
      </c>
      <c r="Z503" s="31" t="str">
        <f t="shared" si="293"/>
        <v>-199.47489345091+438.735898653399i</v>
      </c>
      <c r="AA503" s="17">
        <f t="shared" si="305"/>
        <v>481.95375492308131</v>
      </c>
      <c r="AB503" s="17">
        <f t="shared" si="306"/>
        <v>1.9975172924994555</v>
      </c>
      <c r="AC503" s="66" t="str">
        <f t="shared" si="307"/>
        <v>0.0132770470596233+0.0343955596721146i</v>
      </c>
      <c r="AD503" s="64">
        <f t="shared" si="308"/>
        <v>-28.666736593303082</v>
      </c>
      <c r="AE503" s="61">
        <f t="shared" si="309"/>
        <v>68.892888305661018</v>
      </c>
      <c r="AF503" s="31" t="str">
        <f t="shared" si="294"/>
        <v>-10.0808080808081</v>
      </c>
      <c r="AG503" s="31" t="str">
        <f t="shared" si="310"/>
        <v>4448154.55072215i</v>
      </c>
      <c r="AH503" s="31">
        <f t="shared" si="311"/>
        <v>4448154.5507221501</v>
      </c>
      <c r="AI503" s="31">
        <f t="shared" si="312"/>
        <v>1.5707963267948966</v>
      </c>
      <c r="AJ503" s="31" t="str">
        <f t="shared" si="295"/>
        <v>-378468.446959706+5972.70169697305i</v>
      </c>
      <c r="AK503" s="31">
        <f t="shared" si="313"/>
        <v>378515.57234762859</v>
      </c>
      <c r="AL503" s="31">
        <f t="shared" si="314"/>
        <v>3.1258127226864483</v>
      </c>
      <c r="AM503" s="31" t="str">
        <f t="shared" si="296"/>
        <v>1+4408839.98154106i</v>
      </c>
      <c r="AN503" s="31">
        <f t="shared" si="315"/>
        <v>4408839.9815411735</v>
      </c>
      <c r="AO503" s="31">
        <f t="shared" si="316"/>
        <v>1.5707960999778645</v>
      </c>
      <c r="AP503" s="31" t="str">
        <f t="shared" si="297"/>
        <v>1+5166.97632611885i</v>
      </c>
      <c r="AQ503" s="31">
        <f t="shared" si="317"/>
        <v>5166.9764228872427</v>
      </c>
      <c r="AR503" s="31">
        <f t="shared" si="318"/>
        <v>1.5706027900096671</v>
      </c>
      <c r="AS503" s="58" t="str">
        <f t="shared" si="319"/>
        <v>-0.00212576030466356+0.136376578334851i</v>
      </c>
      <c r="AT503" s="49">
        <f t="shared" si="320"/>
        <v>-17.304149134315303</v>
      </c>
      <c r="AU503" s="61">
        <f t="shared" si="321"/>
        <v>90.893021605136852</v>
      </c>
      <c r="AV503" s="58" t="str">
        <f t="shared" si="298"/>
        <v>-0.00471897255759768+0.00173756153297455i</v>
      </c>
      <c r="AW503" s="64">
        <f t="shared" si="322"/>
        <v>-45.970885727618381</v>
      </c>
      <c r="AX503" s="61">
        <f t="shared" si="323"/>
        <v>159.7859099107979</v>
      </c>
    </row>
    <row r="504" spans="14:50" x14ac:dyDescent="0.4">
      <c r="N504" s="10">
        <v>86</v>
      </c>
      <c r="O504" s="50">
        <f t="shared" si="324"/>
        <v>724435.96007499192</v>
      </c>
      <c r="P504" s="48" t="str">
        <f t="shared" si="289"/>
        <v>5120.19230769231</v>
      </c>
      <c r="Q504" s="17" t="str">
        <f t="shared" si="290"/>
        <v>1+21270.7497581074i</v>
      </c>
      <c r="R504" s="17">
        <f t="shared" si="299"/>
        <v>21270.749781613857</v>
      </c>
      <c r="S504" s="17">
        <f t="shared" si="300"/>
        <v>1.5707493138775976</v>
      </c>
      <c r="T504" s="17" t="str">
        <f t="shared" si="291"/>
        <v>1+0.045472136149554i</v>
      </c>
      <c r="U504" s="17">
        <f t="shared" si="301"/>
        <v>1.0010333237040632</v>
      </c>
      <c r="V504" s="17">
        <f t="shared" si="302"/>
        <v>4.5440833833102344E-2</v>
      </c>
      <c r="W504" s="31" t="str">
        <f t="shared" si="292"/>
        <v>1-73.7385991614388i</v>
      </c>
      <c r="X504" s="17">
        <f t="shared" si="303"/>
        <v>73.745379558934687</v>
      </c>
      <c r="Y504" s="17">
        <f t="shared" si="304"/>
        <v>-1.5572357396110925</v>
      </c>
      <c r="Z504" s="31" t="str">
        <f t="shared" si="293"/>
        <v>-208.922984099911+448.955370554023i</v>
      </c>
      <c r="AA504" s="17">
        <f t="shared" si="305"/>
        <v>495.18656891570851</v>
      </c>
      <c r="AB504" s="17">
        <f t="shared" si="306"/>
        <v>2.0063446707075938</v>
      </c>
      <c r="AC504" s="66" t="str">
        <f t="shared" si="307"/>
        <v>0.013193911213929+0.0333718996254109i</v>
      </c>
      <c r="AD504" s="64">
        <f t="shared" si="308"/>
        <v>-28.901640647221434</v>
      </c>
      <c r="AE504" s="61">
        <f t="shared" si="309"/>
        <v>68.428144171176982</v>
      </c>
      <c r="AF504" s="31" t="str">
        <f t="shared" si="294"/>
        <v>-10.0808080808081</v>
      </c>
      <c r="AG504" s="31" t="str">
        <f t="shared" si="310"/>
        <v>4551765.38033573i</v>
      </c>
      <c r="AH504" s="31">
        <f t="shared" si="311"/>
        <v>4551765.3803357296</v>
      </c>
      <c r="AI504" s="31">
        <f t="shared" si="312"/>
        <v>1.5707963267948966</v>
      </c>
      <c r="AJ504" s="31" t="str">
        <f t="shared" si="295"/>
        <v>-396305.162476546+6111.8237914959i</v>
      </c>
      <c r="AK504" s="31">
        <f t="shared" si="313"/>
        <v>396352.28799089807</v>
      </c>
      <c r="AL504" s="31">
        <f t="shared" si="314"/>
        <v>3.1261718619955867</v>
      </c>
      <c r="AM504" s="31" t="str">
        <f t="shared" si="296"/>
        <v>1+4511535.05719819i</v>
      </c>
      <c r="AN504" s="31">
        <f t="shared" si="315"/>
        <v>4511535.0571983</v>
      </c>
      <c r="AO504" s="31">
        <f t="shared" si="316"/>
        <v>1.5707961051408503</v>
      </c>
      <c r="AP504" s="31" t="str">
        <f t="shared" si="297"/>
        <v>1+5287.33066579799i</v>
      </c>
      <c r="AQ504" s="31">
        <f t="shared" si="317"/>
        <v>5287.3307603636658</v>
      </c>
      <c r="AR504" s="31">
        <f t="shared" si="318"/>
        <v>1.5706071954446399</v>
      </c>
      <c r="AS504" s="58" t="str">
        <f t="shared" si="319"/>
        <v>-0.00203010759467863+0.133273727724397i</v>
      </c>
      <c r="AT504" s="49">
        <f t="shared" si="320"/>
        <v>-17.504101506153113</v>
      </c>
      <c r="AU504" s="61">
        <f t="shared" si="321"/>
        <v>90.872697147114167</v>
      </c>
      <c r="AV504" s="58" t="str">
        <f t="shared" si="298"/>
        <v>-0.00447438252368183+0.00169065318386664i</v>
      </c>
      <c r="AW504" s="64">
        <f t="shared" si="322"/>
        <v>-46.405742153374554</v>
      </c>
      <c r="AX504" s="61">
        <f t="shared" si="323"/>
        <v>159.30084131829116</v>
      </c>
    </row>
    <row r="505" spans="14:50" x14ac:dyDescent="0.4">
      <c r="N505" s="10">
        <v>87</v>
      </c>
      <c r="O505" s="50">
        <f t="shared" si="324"/>
        <v>741310.24130091805</v>
      </c>
      <c r="P505" s="48" t="str">
        <f t="shared" si="289"/>
        <v>5120.19230769231</v>
      </c>
      <c r="Q505" s="17" t="str">
        <f t="shared" si="290"/>
        <v>1+21766.2091680287i</v>
      </c>
      <c r="R505" s="17">
        <f t="shared" si="299"/>
        <v>21766.209191000085</v>
      </c>
      <c r="S505" s="17">
        <f t="shared" si="300"/>
        <v>1.570750384022245</v>
      </c>
      <c r="T505" s="17" t="str">
        <f t="shared" si="291"/>
        <v>1+0.0465313182658748i</v>
      </c>
      <c r="U505" s="17">
        <f t="shared" si="301"/>
        <v>1.0010819964316411</v>
      </c>
      <c r="V505" s="17">
        <f t="shared" si="302"/>
        <v>4.6497779187120988E-2</v>
      </c>
      <c r="W505" s="31" t="str">
        <f t="shared" si="292"/>
        <v>1-75.4561917824996i</v>
      </c>
      <c r="X505" s="17">
        <f t="shared" si="303"/>
        <v>75.462817853015267</v>
      </c>
      <c r="Y505" s="17">
        <f t="shared" si="304"/>
        <v>-1.5575443797026947</v>
      </c>
      <c r="Z505" s="31" t="str">
        <f t="shared" si="293"/>
        <v>-218.81634954305+459.41288453474i</v>
      </c>
      <c r="AA505" s="17">
        <f t="shared" si="305"/>
        <v>508.86225376213213</v>
      </c>
      <c r="AB505" s="17">
        <f t="shared" si="306"/>
        <v>2.0153012505585002</v>
      </c>
      <c r="AC505" s="66" t="str">
        <f t="shared" si="307"/>
        <v>0.0131060706083832+0.032369973393243i</v>
      </c>
      <c r="AD505" s="64">
        <f t="shared" si="308"/>
        <v>-29.137881877703173</v>
      </c>
      <c r="AE505" s="61">
        <f t="shared" si="309"/>
        <v>67.957783365400232</v>
      </c>
      <c r="AF505" s="31" t="str">
        <f t="shared" si="294"/>
        <v>-10.0808080808081</v>
      </c>
      <c r="AG505" s="31" t="str">
        <f t="shared" si="310"/>
        <v>4657789.61620368i</v>
      </c>
      <c r="AH505" s="31">
        <f t="shared" si="311"/>
        <v>4657789.6162036797</v>
      </c>
      <c r="AI505" s="31">
        <f t="shared" si="312"/>
        <v>1.5707963267948966</v>
      </c>
      <c r="AJ505" s="31" t="str">
        <f t="shared" si="295"/>
        <v>-414982.496497686+6254.18645589253i</v>
      </c>
      <c r="AK505" s="31">
        <f t="shared" si="313"/>
        <v>415029.62213277869</v>
      </c>
      <c r="AL505" s="31">
        <f t="shared" si="314"/>
        <v>3.1265228300178127</v>
      </c>
      <c r="AM505" s="31" t="str">
        <f t="shared" si="296"/>
        <v>1+4616622.20845984i</v>
      </c>
      <c r="AN505" s="31">
        <f t="shared" si="315"/>
        <v>4616622.2084599491</v>
      </c>
      <c r="AO505" s="31">
        <f t="shared" si="316"/>
        <v>1.5707961101863126</v>
      </c>
      <c r="AP505" s="31" t="str">
        <f t="shared" si="297"/>
        <v>1+5410.4884181822i</v>
      </c>
      <c r="AQ505" s="31">
        <f t="shared" si="317"/>
        <v>5410.4885105952972</v>
      </c>
      <c r="AR505" s="31">
        <f t="shared" si="318"/>
        <v>1.5706115005996768</v>
      </c>
      <c r="AS505" s="58" t="str">
        <f t="shared" si="319"/>
        <v>-0.00193875800724905+0.130241409243399i</v>
      </c>
      <c r="AT505" s="49">
        <f t="shared" si="320"/>
        <v>-17.704056021123645</v>
      </c>
      <c r="AU505" s="61">
        <f t="shared" si="321"/>
        <v>90.852835116994015</v>
      </c>
      <c r="AV505" s="58" t="str">
        <f t="shared" si="298"/>
        <v>-0.00424132045124287+0.00164419556056873i</v>
      </c>
      <c r="AW505" s="64">
        <f t="shared" si="322"/>
        <v>-46.841937898826828</v>
      </c>
      <c r="AX505" s="61">
        <f t="shared" si="323"/>
        <v>158.81061848239426</v>
      </c>
    </row>
    <row r="506" spans="14:50" x14ac:dyDescent="0.4">
      <c r="N506" s="10">
        <v>88</v>
      </c>
      <c r="O506" s="50">
        <f t="shared" si="324"/>
        <v>758577.57502918423</v>
      </c>
      <c r="P506" s="48" t="str">
        <f t="shared" si="289"/>
        <v>5120.19230769231</v>
      </c>
      <c r="Q506" s="17" t="str">
        <f t="shared" si="290"/>
        <v>1+22273.2093101609i</v>
      </c>
      <c r="R506" s="17">
        <f t="shared" si="299"/>
        <v>22273.209332609393</v>
      </c>
      <c r="S506" s="17">
        <f t="shared" si="300"/>
        <v>1.5707514298074261</v>
      </c>
      <c r="T506" s="17" t="str">
        <f t="shared" si="291"/>
        <v>1+0.0476151719030552i</v>
      </c>
      <c r="U506" s="17">
        <f t="shared" si="301"/>
        <v>1.0011329604979338</v>
      </c>
      <c r="V506" s="17">
        <f t="shared" si="302"/>
        <v>4.7579236328867153E-2</v>
      </c>
      <c r="W506" s="31" t="str">
        <f t="shared" si="292"/>
        <v>1-77.2137922752245i</v>
      </c>
      <c r="X506" s="17">
        <f t="shared" si="303"/>
        <v>77.220267530755933</v>
      </c>
      <c r="Y506" s="17">
        <f t="shared" si="304"/>
        <v>-1.5578459967278568</v>
      </c>
      <c r="Z506" s="31" t="str">
        <f t="shared" si="293"/>
        <v>-229.175974934864+470.113985307887i</v>
      </c>
      <c r="AA506" s="17">
        <f t="shared" si="305"/>
        <v>522.99979605102101</v>
      </c>
      <c r="AB506" s="17">
        <f t="shared" si="306"/>
        <v>2.0243861291101197</v>
      </c>
      <c r="AC506" s="66" t="str">
        <f t="shared" si="307"/>
        <v>0.0130135599784515+0.0313894311382393i</v>
      </c>
      <c r="AD506" s="64">
        <f t="shared" si="308"/>
        <v>-29.375499671483819</v>
      </c>
      <c r="AE506" s="61">
        <f t="shared" si="309"/>
        <v>67.481879795301623</v>
      </c>
      <c r="AF506" s="31" t="str">
        <f t="shared" si="294"/>
        <v>-10.0808080808081</v>
      </c>
      <c r="AG506" s="31" t="str">
        <f t="shared" si="310"/>
        <v>4766283.47377929i</v>
      </c>
      <c r="AH506" s="31">
        <f t="shared" si="311"/>
        <v>4766283.47377929</v>
      </c>
      <c r="AI506" s="31">
        <f t="shared" si="312"/>
        <v>1.5707963267948966</v>
      </c>
      <c r="AJ506" s="31" t="str">
        <f t="shared" si="295"/>
        <v>-434540.066152708+6399.86517273203i</v>
      </c>
      <c r="AK506" s="31">
        <f t="shared" si="313"/>
        <v>434587.19190310827</v>
      </c>
      <c r="AL506" s="31">
        <f t="shared" si="314"/>
        <v>3.1268658125059821</v>
      </c>
      <c r="AM506" s="31" t="str">
        <f t="shared" si="296"/>
        <v>1+4724157.15392466i</v>
      </c>
      <c r="AN506" s="31">
        <f t="shared" si="315"/>
        <v>4724157.153924766</v>
      </c>
      <c r="AO506" s="31">
        <f t="shared" si="316"/>
        <v>1.5707961151169259</v>
      </c>
      <c r="AP506" s="31" t="str">
        <f t="shared" si="297"/>
        <v>1+5536.51488314203i</v>
      </c>
      <c r="AQ506" s="31">
        <f t="shared" si="317"/>
        <v>5536.5149734515489</v>
      </c>
      <c r="AR506" s="31">
        <f t="shared" si="318"/>
        <v>1.5706157077574276</v>
      </c>
      <c r="AS506" s="58" t="str">
        <f t="shared" si="319"/>
        <v>-0.00185151804223251+0.127278023880658i</v>
      </c>
      <c r="AT506" s="49">
        <f t="shared" si="320"/>
        <v>-17.904012582813024</v>
      </c>
      <c r="AU506" s="61">
        <f t="shared" si="321"/>
        <v>90.833425002861219</v>
      </c>
      <c r="AV506" s="58" t="str">
        <f t="shared" si="298"/>
        <v>-0.00401927960710687+0.00159822209962186i</v>
      </c>
      <c r="AW506" s="64">
        <f t="shared" si="322"/>
        <v>-47.27951225429684</v>
      </c>
      <c r="AX506" s="61">
        <f t="shared" si="323"/>
        <v>158.31530479816286</v>
      </c>
    </row>
    <row r="507" spans="14:50" x14ac:dyDescent="0.4">
      <c r="N507" s="10">
        <v>89</v>
      </c>
      <c r="O507" s="50">
        <f t="shared" si="324"/>
        <v>776247.11662869214</v>
      </c>
      <c r="P507" s="48" t="str">
        <f t="shared" si="289"/>
        <v>5120.19230769231</v>
      </c>
      <c r="Q507" s="17" t="str">
        <f t="shared" si="290"/>
        <v>1+22792.0190026901i</v>
      </c>
      <c r="R507" s="17">
        <f t="shared" si="299"/>
        <v>22792.019024627603</v>
      </c>
      <c r="S507" s="17">
        <f t="shared" si="300"/>
        <v>1.5707524517876303</v>
      </c>
      <c r="T507" s="17" t="str">
        <f t="shared" si="291"/>
        <v>1+0.0487242717346398i</v>
      </c>
      <c r="U507" s="17">
        <f t="shared" si="301"/>
        <v>1.0011863236461389</v>
      </c>
      <c r="V507" s="17">
        <f t="shared" si="302"/>
        <v>4.8685768536936236E-2</v>
      </c>
      <c r="W507" s="31" t="str">
        <f t="shared" si="292"/>
        <v>1-79.0123325426591i</v>
      </c>
      <c r="X507" s="17">
        <f t="shared" si="303"/>
        <v>79.018660415320539</v>
      </c>
      <c r="Y507" s="17">
        <f t="shared" si="304"/>
        <v>-1.5581407503882809</v>
      </c>
      <c r="Z507" s="31" t="str">
        <f t="shared" si="293"/>
        <v>-240.023834429744+481.064346738738i</v>
      </c>
      <c r="AA507" s="17">
        <f t="shared" si="305"/>
        <v>537.61914660615093</v>
      </c>
      <c r="AB507" s="17">
        <f t="shared" si="306"/>
        <v>2.033598221451423</v>
      </c>
      <c r="AC507" s="66" t="str">
        <f t="shared" si="307"/>
        <v>0.012916417285413+0.0304299381690004i</v>
      </c>
      <c r="AD507" s="64">
        <f t="shared" si="308"/>
        <v>-29.614533634317056</v>
      </c>
      <c r="AE507" s="61">
        <f t="shared" si="309"/>
        <v>67.000518713186935</v>
      </c>
      <c r="AF507" s="31" t="str">
        <f t="shared" si="294"/>
        <v>-10.0808080808081</v>
      </c>
      <c r="AG507" s="31" t="str">
        <f t="shared" si="310"/>
        <v>4877304.47794192i</v>
      </c>
      <c r="AH507" s="31">
        <f t="shared" si="311"/>
        <v>4877304.47794192</v>
      </c>
      <c r="AI507" s="31">
        <f t="shared" si="312"/>
        <v>1.5707963267948966</v>
      </c>
      <c r="AJ507" s="31" t="str">
        <f t="shared" si="295"/>
        <v>-455019.355668975+6548.93718279836i</v>
      </c>
      <c r="AK507" s="31">
        <f t="shared" si="313"/>
        <v>455066.48152949405</v>
      </c>
      <c r="AL507" s="31">
        <f t="shared" si="314"/>
        <v>3.1272009910012666</v>
      </c>
      <c r="AM507" s="31" t="str">
        <f t="shared" si="296"/>
        <v>1+4834196.91004409i</v>
      </c>
      <c r="AN507" s="31">
        <f t="shared" si="315"/>
        <v>4834196.9100441933</v>
      </c>
      <c r="AO507" s="31">
        <f t="shared" si="316"/>
        <v>1.5707961199353047</v>
      </c>
      <c r="AP507" s="31" t="str">
        <f t="shared" si="297"/>
        <v>1+5665.47688157734i</v>
      </c>
      <c r="AQ507" s="31">
        <f t="shared" si="317"/>
        <v>5665.4769698311629</v>
      </c>
      <c r="AR507" s="31">
        <f t="shared" si="318"/>
        <v>1.5706198191485823</v>
      </c>
      <c r="AS507" s="58" t="str">
        <f t="shared" si="319"/>
        <v>-0.0017682028932766+0.124382008589675i</v>
      </c>
      <c r="AT507" s="49">
        <f t="shared" si="320"/>
        <v>-18.103971099142843</v>
      </c>
      <c r="AU507" s="61">
        <f t="shared" si="321"/>
        <v>90.814456531131725</v>
      </c>
      <c r="AV507" s="58" t="str">
        <f t="shared" si="298"/>
        <v>-0.00380777567713472+0.00155276362102941i</v>
      </c>
      <c r="AW507" s="64">
        <f t="shared" si="322"/>
        <v>-47.718504733459909</v>
      </c>
      <c r="AX507" s="61">
        <f t="shared" si="323"/>
        <v>157.81497524431867</v>
      </c>
    </row>
    <row r="508" spans="14:50" x14ac:dyDescent="0.4">
      <c r="N508" s="10">
        <v>90</v>
      </c>
      <c r="O508" s="50">
        <f t="shared" si="324"/>
        <v>794328.23472428333</v>
      </c>
      <c r="P508" s="48" t="str">
        <f t="shared" si="289"/>
        <v>5120.19230769231</v>
      </c>
      <c r="Q508" s="17" t="str">
        <f t="shared" si="290"/>
        <v>1+23322.9133253827i</v>
      </c>
      <c r="R508" s="17">
        <f t="shared" si="299"/>
        <v>23322.913346820842</v>
      </c>
      <c r="S508" s="17">
        <f t="shared" si="300"/>
        <v>1.5707534505047249</v>
      </c>
      <c r="T508" s="17" t="str">
        <f t="shared" si="291"/>
        <v>1+0.0498592058200403i</v>
      </c>
      <c r="U508" s="17">
        <f t="shared" si="301"/>
        <v>1.0012421986737301</v>
      </c>
      <c r="V508" s="17">
        <f t="shared" si="302"/>
        <v>4.9817951664367408E-2</v>
      </c>
      <c r="W508" s="31" t="str">
        <f t="shared" si="292"/>
        <v>1-80.8527661946598i</v>
      </c>
      <c r="X508" s="17">
        <f t="shared" si="303"/>
        <v>80.858950038498037</v>
      </c>
      <c r="Y508" s="17">
        <f t="shared" si="304"/>
        <v>-1.5584287967612767</v>
      </c>
      <c r="Z508" s="31" t="str">
        <f t="shared" si="293"/>
        <v>-251.382937792079+492.269774853871i</v>
      </c>
      <c r="AA508" s="17">
        <f t="shared" si="305"/>
        <v>552.74127098277836</v>
      </c>
      <c r="AB508" s="17">
        <f t="shared" si="306"/>
        <v>2.0429362551043662</v>
      </c>
      <c r="AC508" s="66" t="str">
        <f t="shared" si="307"/>
        <v>0.0128146842530082+0.0294911744389965i</v>
      </c>
      <c r="AD508" s="64">
        <f t="shared" si="308"/>
        <v>-29.855023516444291</v>
      </c>
      <c r="AE508" s="61">
        <f t="shared" si="309"/>
        <v>66.51379704700885</v>
      </c>
      <c r="AF508" s="31" t="str">
        <f t="shared" si="294"/>
        <v>-10.0808080808081</v>
      </c>
      <c r="AG508" s="31" t="str">
        <f t="shared" si="310"/>
        <v>4990911.49349752i</v>
      </c>
      <c r="AH508" s="31">
        <f t="shared" si="311"/>
        <v>4990911.4934975198</v>
      </c>
      <c r="AI508" s="31">
        <f t="shared" si="312"/>
        <v>1.5707963267948966</v>
      </c>
      <c r="AJ508" s="31" t="str">
        <f t="shared" si="295"/>
        <v>-476463.804365259+6701.48152604443i</v>
      </c>
      <c r="AK508" s="31">
        <f t="shared" si="313"/>
        <v>476510.9303309418</v>
      </c>
      <c r="AL508" s="31">
        <f t="shared" si="314"/>
        <v>3.1275285429279198</v>
      </c>
      <c r="AM508" s="31" t="str">
        <f t="shared" si="296"/>
        <v>1+4946799.82135341i</v>
      </c>
      <c r="AN508" s="31">
        <f t="shared" si="315"/>
        <v>4946799.8213535119</v>
      </c>
      <c r="AO508" s="31">
        <f t="shared" si="316"/>
        <v>1.5707961246440039</v>
      </c>
      <c r="AP508" s="31" t="str">
        <f t="shared" si="297"/>
        <v>1+5797.44279084672i</v>
      </c>
      <c r="AQ508" s="31">
        <f t="shared" si="317"/>
        <v>5797.4428770916411</v>
      </c>
      <c r="AR508" s="31">
        <f t="shared" si="318"/>
        <v>1.5706238369530543</v>
      </c>
      <c r="AS508" s="58" t="str">
        <f t="shared" si="319"/>
        <v>-0.00168863605786592+0.121551835498873i</v>
      </c>
      <c r="AT508" s="49">
        <f t="shared" si="320"/>
        <v>-18.303931482175393</v>
      </c>
      <c r="AU508" s="61">
        <f t="shared" si="321"/>
        <v>90.795919661190851</v>
      </c>
      <c r="AV508" s="58" t="str">
        <f t="shared" si="298"/>
        <v>-0.00360634572197727+0.00150784853174515i</v>
      </c>
      <c r="AW508" s="64">
        <f t="shared" si="322"/>
        <v>-48.15895499861967</v>
      </c>
      <c r="AX508" s="61">
        <f t="shared" si="323"/>
        <v>157.30971670819969</v>
      </c>
    </row>
    <row r="509" spans="14:50" x14ac:dyDescent="0.4">
      <c r="N509" s="10">
        <v>91</v>
      </c>
      <c r="O509" s="50">
        <f t="shared" si="324"/>
        <v>812830.51616410096</v>
      </c>
      <c r="P509" s="48" t="str">
        <f t="shared" si="289"/>
        <v>5120.19230769231</v>
      </c>
      <c r="Q509" s="17" t="str">
        <f t="shared" si="290"/>
        <v>1+23866.1737654355i</v>
      </c>
      <c r="R509" s="17">
        <f t="shared" si="299"/>
        <v>23866.173786385651</v>
      </c>
      <c r="S509" s="17">
        <f t="shared" si="300"/>
        <v>1.5707544264882431</v>
      </c>
      <c r="T509" s="17" t="str">
        <f t="shared" si="291"/>
        <v>1+0.051020575916331i</v>
      </c>
      <c r="U509" s="17">
        <f t="shared" si="301"/>
        <v>1.0013007036684005</v>
      </c>
      <c r="V509" s="17">
        <f t="shared" si="302"/>
        <v>5.0976374392836428E-2</v>
      </c>
      <c r="W509" s="31" t="str">
        <f t="shared" si="292"/>
        <v>1-82.7360690535096i</v>
      </c>
      <c r="X509" s="17">
        <f t="shared" si="303"/>
        <v>82.742112146277179</v>
      </c>
      <c r="Y509" s="17">
        <f t="shared" si="304"/>
        <v>-1.5587102883815382</v>
      </c>
      <c r="Z509" s="31" t="str">
        <f t="shared" si="293"/>
        <v>-263.27737920304+503.73621091959i</v>
      </c>
      <c r="AA509" s="17">
        <f t="shared" si="305"/>
        <v>568.38820236845788</v>
      </c>
      <c r="AB509" s="17">
        <f t="shared" si="306"/>
        <v>2.0523987647992303</v>
      </c>
      <c r="AC509" s="66" t="str">
        <f t="shared" si="307"/>
        <v>0.0127084068922572+0.0285728340117953i</v>
      </c>
      <c r="AD509" s="64">
        <f t="shared" si="308"/>
        <v>-30.097009133073627</v>
      </c>
      <c r="AE509" s="61">
        <f t="shared" si="309"/>
        <v>66.021823709578996</v>
      </c>
      <c r="AF509" s="31" t="str">
        <f t="shared" si="294"/>
        <v>-10.0808080808081</v>
      </c>
      <c r="AG509" s="31" t="str">
        <f t="shared" si="310"/>
        <v>5107164.75638948i</v>
      </c>
      <c r="AH509" s="31">
        <f t="shared" si="311"/>
        <v>5107164.7563894801</v>
      </c>
      <c r="AI509" s="31">
        <f t="shared" si="312"/>
        <v>1.5707963267948966</v>
      </c>
      <c r="AJ509" s="31" t="str">
        <f t="shared" si="295"/>
        <v>-498918.89879235+6857.5790835002i</v>
      </c>
      <c r="AK509" s="31">
        <f t="shared" si="313"/>
        <v>498966.02485846437</v>
      </c>
      <c r="AL509" s="31">
        <f t="shared" si="314"/>
        <v>3.1278486416859574</v>
      </c>
      <c r="AM509" s="31" t="str">
        <f t="shared" si="296"/>
        <v>1+5062025.59140662i</v>
      </c>
      <c r="AN509" s="31">
        <f t="shared" si="315"/>
        <v>5062025.5914067188</v>
      </c>
      <c r="AO509" s="31">
        <f t="shared" si="316"/>
        <v>1.5707961292455199</v>
      </c>
      <c r="AP509" s="31" t="str">
        <f t="shared" si="297"/>
        <v>1+5932.48258102202i</v>
      </c>
      <c r="AQ509" s="31">
        <f t="shared" si="317"/>
        <v>5932.4826653037671</v>
      </c>
      <c r="AR509" s="31">
        <f t="shared" si="318"/>
        <v>1.5706277633011363</v>
      </c>
      <c r="AS509" s="58" t="str">
        <f t="shared" si="319"/>
        <v>-0.00161264896480303+0.118786011137871i</v>
      </c>
      <c r="AT509" s="49">
        <f t="shared" si="320"/>
        <v>-18.503893647927828</v>
      </c>
      <c r="AU509" s="61">
        <f t="shared" si="321"/>
        <v>90.777804580149365</v>
      </c>
      <c r="AV509" s="58" t="str">
        <f t="shared" si="298"/>
        <v>-0.00341454717838475+0.00146350301145765i</v>
      </c>
      <c r="AW509" s="64">
        <f t="shared" si="322"/>
        <v>-48.600902781001452</v>
      </c>
      <c r="AX509" s="61">
        <f t="shared" si="323"/>
        <v>156.79962828972839</v>
      </c>
    </row>
    <row r="510" spans="14:50" x14ac:dyDescent="0.4">
      <c r="N510" s="10">
        <v>92</v>
      </c>
      <c r="O510" s="50">
        <f t="shared" si="324"/>
        <v>831763.77110267128</v>
      </c>
      <c r="P510" s="48" t="str">
        <f t="shared" si="289"/>
        <v>5120.19230769231</v>
      </c>
      <c r="Q510" s="17" t="str">
        <f t="shared" si="290"/>
        <v>1+24422.0883667248i</v>
      </c>
      <c r="R510" s="17">
        <f t="shared" si="299"/>
        <v>24422.08838719807</v>
      </c>
      <c r="S510" s="17">
        <f t="shared" si="300"/>
        <v>1.5707553802556644</v>
      </c>
      <c r="T510" s="17" t="str">
        <f t="shared" si="291"/>
        <v>1+0.0522089977973096i</v>
      </c>
      <c r="U510" s="17">
        <f t="shared" si="301"/>
        <v>1.0013619622549077</v>
      </c>
      <c r="V510" s="17">
        <f t="shared" si="302"/>
        <v>5.2161638490046215E-2</v>
      </c>
      <c r="W510" s="31" t="str">
        <f t="shared" si="292"/>
        <v>1-84.6632396713128i</v>
      </c>
      <c r="X510" s="17">
        <f t="shared" si="303"/>
        <v>84.669145216201116</v>
      </c>
      <c r="Y510" s="17">
        <f t="shared" si="304"/>
        <v>-1.5589853743211088</v>
      </c>
      <c r="Z510" s="31" t="str">
        <f t="shared" si="293"/>
        <v>-275.732388367576+515.469734592075i</v>
      </c>
      <c r="AA510" s="17">
        <f t="shared" si="305"/>
        <v>584.58309698049948</v>
      </c>
      <c r="AB510" s="17">
        <f t="shared" si="306"/>
        <v>2.0619840876775841</v>
      </c>
      <c r="AC510" s="66" t="str">
        <f t="shared" si="307"/>
        <v>0.0125976360109901+0.0276746244916804i</v>
      </c>
      <c r="AD510" s="64">
        <f t="shared" si="308"/>
        <v>-30.34053027996411</v>
      </c>
      <c r="AE510" s="61">
        <f t="shared" si="309"/>
        <v>65.524719883568977</v>
      </c>
      <c r="AF510" s="31" t="str">
        <f t="shared" si="294"/>
        <v>-10.0808080808081</v>
      </c>
      <c r="AG510" s="31" t="str">
        <f t="shared" si="310"/>
        <v>5226125.90563659i</v>
      </c>
      <c r="AH510" s="31">
        <f t="shared" si="311"/>
        <v>5226125.90563659</v>
      </c>
      <c r="AI510" s="31">
        <f t="shared" si="312"/>
        <v>1.5707963267948966</v>
      </c>
      <c r="AJ510" s="31" t="str">
        <f t="shared" si="295"/>
        <v>-522432.269216134+7017.31262015682i</v>
      </c>
      <c r="AK510" s="31">
        <f t="shared" si="313"/>
        <v>522479.39537816041</v>
      </c>
      <c r="AL510" s="31">
        <f t="shared" si="314"/>
        <v>3.1281614567417986</v>
      </c>
      <c r="AM510" s="31" t="str">
        <f t="shared" si="296"/>
        <v>1+5179935.31443223i</v>
      </c>
      <c r="AN510" s="31">
        <f t="shared" si="315"/>
        <v>5179935.3144323267</v>
      </c>
      <c r="AO510" s="31">
        <f t="shared" si="316"/>
        <v>1.5707961337422929</v>
      </c>
      <c r="AP510" s="31" t="str">
        <f t="shared" si="297"/>
        <v>1+6070.66785198747i</v>
      </c>
      <c r="AQ510" s="31">
        <f t="shared" si="317"/>
        <v>6070.6679343507312</v>
      </c>
      <c r="AR510" s="31">
        <f t="shared" si="318"/>
        <v>1.5706316002746294</v>
      </c>
      <c r="AS510" s="58" t="str">
        <f t="shared" si="319"/>
        <v>-0.00154008061834852+0.11608307567958i</v>
      </c>
      <c r="AT510" s="49">
        <f t="shared" si="320"/>
        <v>-18.703857516194272</v>
      </c>
      <c r="AU510" s="61">
        <f t="shared" si="321"/>
        <v>90.760101697714887</v>
      </c>
      <c r="AV510" s="58" t="str">
        <f t="shared" si="298"/>
        <v>-0.00323195690432923+0.00141975118164786i</v>
      </c>
      <c r="AW510" s="64">
        <f t="shared" si="322"/>
        <v>-49.044387796158375</v>
      </c>
      <c r="AX510" s="61">
        <f t="shared" si="323"/>
        <v>156.28482158128381</v>
      </c>
    </row>
    <row r="511" spans="14:50" x14ac:dyDescent="0.4">
      <c r="N511" s="10">
        <v>93</v>
      </c>
      <c r="O511" s="50">
        <f t="shared" si="324"/>
        <v>851138.03820237669</v>
      </c>
      <c r="P511" s="48" t="str">
        <f t="shared" si="289"/>
        <v>5120.19230769231</v>
      </c>
      <c r="Q511" s="17" t="str">
        <f t="shared" si="290"/>
        <v>1+24990.9518825309i</v>
      </c>
      <c r="R511" s="17">
        <f t="shared" si="299"/>
        <v>24990.951902538138</v>
      </c>
      <c r="S511" s="17">
        <f t="shared" si="300"/>
        <v>1.5707563123126886</v>
      </c>
      <c r="T511" s="17" t="str">
        <f t="shared" si="291"/>
        <v>1+0.0534251015799882i</v>
      </c>
      <c r="U511" s="17">
        <f t="shared" si="301"/>
        <v>1.0014261038533157</v>
      </c>
      <c r="V511" s="17">
        <f t="shared" si="302"/>
        <v>5.3374359070195408E-2</v>
      </c>
      <c r="W511" s="31" t="str">
        <f t="shared" si="292"/>
        <v>1-86.6352998594402i</v>
      </c>
      <c r="X511" s="17">
        <f t="shared" si="303"/>
        <v>86.641070986773471</v>
      </c>
      <c r="Y511" s="17">
        <f t="shared" si="304"/>
        <v>-1.5592542002675684</v>
      </c>
      <c r="Z511" s="31" t="str">
        <f t="shared" si="293"/>
        <v>-288.774384029997+527.476567140891i</v>
      </c>
      <c r="AA511" s="17">
        <f t="shared" si="305"/>
        <v>601.35029205500769</v>
      </c>
      <c r="AB511" s="17">
        <f t="shared" si="306"/>
        <v>2.0716903589779099</v>
      </c>
      <c r="AC511" s="66" t="str">
        <f t="shared" si="307"/>
        <v>0.0124824277044007+0.0267962664190817i</v>
      </c>
      <c r="AD511" s="64">
        <f t="shared" si="308"/>
        <v>-30.585626644252542</v>
      </c>
      <c r="AE511" s="61">
        <f t="shared" si="309"/>
        <v>65.022619279133195</v>
      </c>
      <c r="AF511" s="31" t="str">
        <f t="shared" si="294"/>
        <v>-10.0808080808081</v>
      </c>
      <c r="AG511" s="31" t="str">
        <f t="shared" si="310"/>
        <v>5347858.01601483i</v>
      </c>
      <c r="AH511" s="31">
        <f t="shared" si="311"/>
        <v>5347858.0160148302</v>
      </c>
      <c r="AI511" s="31">
        <f t="shared" si="312"/>
        <v>1.5707963267948966</v>
      </c>
      <c r="AJ511" s="31" t="str">
        <f t="shared" si="295"/>
        <v>-547053.790647774+7180.76682884978i</v>
      </c>
      <c r="AK511" s="31">
        <f t="shared" si="313"/>
        <v>547100.9169013967</v>
      </c>
      <c r="AL511" s="31">
        <f t="shared" si="314"/>
        <v>3.128467153716906</v>
      </c>
      <c r="AM511" s="31" t="str">
        <f t="shared" si="296"/>
        <v>1+5300591.5077261i</v>
      </c>
      <c r="AN511" s="31">
        <f t="shared" si="315"/>
        <v>5300591.5077261943</v>
      </c>
      <c r="AO511" s="31">
        <f t="shared" si="316"/>
        <v>1.5707961381367066</v>
      </c>
      <c r="AP511" s="31" t="str">
        <f t="shared" si="297"/>
        <v>1+6212.07187140283i</v>
      </c>
      <c r="AQ511" s="31">
        <f t="shared" si="317"/>
        <v>6212.0719518912738</v>
      </c>
      <c r="AR511" s="31">
        <f t="shared" si="318"/>
        <v>1.5706353499079475</v>
      </c>
      <c r="AS511" s="58" t="str">
        <f t="shared" si="319"/>
        <v>-0.00147077725828023+0.113441602197875i</v>
      </c>
      <c r="AT511" s="49">
        <f t="shared" si="320"/>
        <v>-18.903823010375877</v>
      </c>
      <c r="AU511" s="61">
        <f t="shared" si="321"/>
        <v>90.742801641176541</v>
      </c>
      <c r="AV511" s="58" t="str">
        <f t="shared" si="298"/>
        <v>-0.0030581702662975+0.00137661525885035i</v>
      </c>
      <c r="AW511" s="64">
        <f t="shared" si="322"/>
        <v>-49.48944965462843</v>
      </c>
      <c r="AX511" s="61">
        <f t="shared" si="323"/>
        <v>155.76542092030979</v>
      </c>
    </row>
    <row r="512" spans="14:50" x14ac:dyDescent="0.4">
      <c r="N512" s="10">
        <v>94</v>
      </c>
      <c r="O512" s="50">
        <f t="shared" si="324"/>
        <v>870963.58995608077</v>
      </c>
      <c r="P512" s="48" t="str">
        <f t="shared" si="289"/>
        <v>5120.19230769231</v>
      </c>
      <c r="Q512" s="17" t="str">
        <f t="shared" si="290"/>
        <v>1+25573.0659318193i</v>
      </c>
      <c r="R512" s="17">
        <f t="shared" si="299"/>
        <v>25573.065951371118</v>
      </c>
      <c r="S512" s="17">
        <f t="shared" si="300"/>
        <v>1.5707572231535047</v>
      </c>
      <c r="T512" s="17" t="str">
        <f t="shared" si="291"/>
        <v>1+0.0546695320586894i</v>
      </c>
      <c r="U512" s="17">
        <f t="shared" si="301"/>
        <v>1.0014932639491472</v>
      </c>
      <c r="V512" s="17">
        <f t="shared" si="302"/>
        <v>5.4615164857395745E-2</v>
      </c>
      <c r="W512" s="31" t="str">
        <f t="shared" si="292"/>
        <v>1-88.653295230307i</v>
      </c>
      <c r="X512" s="17">
        <f t="shared" si="303"/>
        <v>88.658934999197768</v>
      </c>
      <c r="Y512" s="17">
        <f t="shared" si="304"/>
        <v>-1.5595169086004839</v>
      </c>
      <c r="Z512" s="31" t="str">
        <f t="shared" si="293"/>
        <v>-302.431030011674+539.763074747582i</v>
      </c>
      <c r="AA512" s="17">
        <f t="shared" si="305"/>
        <v>618.71536652558245</v>
      </c>
      <c r="AB512" s="17">
        <f t="shared" si="306"/>
        <v>2.0815155082593311</v>
      </c>
      <c r="AC512" s="66" t="str">
        <f t="shared" si="307"/>
        <v>0.0123628438227211+0.0259374926306238i</v>
      </c>
      <c r="AD512" s="64">
        <f t="shared" si="308"/>
        <v>-30.832337710710064</v>
      </c>
      <c r="AE512" s="61">
        <f t="shared" si="309"/>
        <v>64.515668360970167</v>
      </c>
      <c r="AF512" s="31" t="str">
        <f t="shared" si="294"/>
        <v>-10.0808080808081</v>
      </c>
      <c r="AG512" s="31" t="str">
        <f t="shared" si="310"/>
        <v>5472425.63150043i</v>
      </c>
      <c r="AH512" s="31">
        <f t="shared" si="311"/>
        <v>5472425.6315004304</v>
      </c>
      <c r="AI512" s="31">
        <f t="shared" si="312"/>
        <v>1.5707963267948966</v>
      </c>
      <c r="AJ512" s="31" t="str">
        <f t="shared" si="295"/>
        <v>-572835.688635292+7348.02837516407i</v>
      </c>
      <c r="AK512" s="31">
        <f t="shared" si="313"/>
        <v>572882.81497638894</v>
      </c>
      <c r="AL512" s="31">
        <f t="shared" si="314"/>
        <v>3.1287658944744692</v>
      </c>
      <c r="AM512" s="31" t="str">
        <f t="shared" si="296"/>
        <v>1+5424058.144799i</v>
      </c>
      <c r="AN512" s="31">
        <f t="shared" si="315"/>
        <v>5424058.1447990909</v>
      </c>
      <c r="AO512" s="31">
        <f t="shared" si="316"/>
        <v>1.5707961424310912</v>
      </c>
      <c r="AP512" s="31" t="str">
        <f t="shared" si="297"/>
        <v>1+6356.7696135509i</v>
      </c>
      <c r="AQ512" s="31">
        <f t="shared" si="317"/>
        <v>6356.7696922072037</v>
      </c>
      <c r="AR512" s="31">
        <f t="shared" si="318"/>
        <v>1.5706390141891953</v>
      </c>
      <c r="AS512" s="58" t="str">
        <f t="shared" si="319"/>
        <v>-0.00140459203516324+0.110860195940591i</v>
      </c>
      <c r="AT512" s="49">
        <f t="shared" si="320"/>
        <v>-19.103790057319181</v>
      </c>
      <c r="AU512" s="61">
        <f t="shared" si="321"/>
        <v>90.725895250500187</v>
      </c>
      <c r="AV512" s="58" t="str">
        <f t="shared" si="298"/>
        <v>-0.00289280026720395+0.00133411569300871i</v>
      </c>
      <c r="AW512" s="64">
        <f t="shared" si="322"/>
        <v>-49.936127768029237</v>
      </c>
      <c r="AX512" s="61">
        <f t="shared" si="323"/>
        <v>155.2415636114703</v>
      </c>
    </row>
    <row r="513" spans="14:50" x14ac:dyDescent="0.4">
      <c r="N513" s="10">
        <v>95</v>
      </c>
      <c r="O513" s="50">
        <f t="shared" si="324"/>
        <v>891250.93813374708</v>
      </c>
      <c r="P513" s="48" t="str">
        <f t="shared" si="289"/>
        <v>5120.19230769231</v>
      </c>
      <c r="Q513" s="17" t="str">
        <f t="shared" si="290"/>
        <v>1+26168.7391591645i</v>
      </c>
      <c r="R513" s="17">
        <f t="shared" si="299"/>
        <v>26168.739178271266</v>
      </c>
      <c r="S513" s="17">
        <f t="shared" si="300"/>
        <v>1.5707581132610526</v>
      </c>
      <c r="T513" s="17" t="str">
        <f t="shared" si="291"/>
        <v>1+0.0559429490469249i</v>
      </c>
      <c r="U513" s="17">
        <f t="shared" si="301"/>
        <v>1.0015635843759829</v>
      </c>
      <c r="V513" s="17">
        <f t="shared" si="302"/>
        <v>5.5884698451890487E-2</v>
      </c>
      <c r="W513" s="31" t="str">
        <f t="shared" si="292"/>
        <v>1-90.7182957517701i</v>
      </c>
      <c r="X513" s="17">
        <f t="shared" si="303"/>
        <v>90.723807151737361</v>
      </c>
      <c r="Y513" s="17">
        <f t="shared" si="304"/>
        <v>-1.5597736384661596</v>
      </c>
      <c r="Z513" s="31" t="str">
        <f t="shared" si="293"/>
        <v>-316.731293889714+552.335771881115i</v>
      </c>
      <c r="AA513" s="17">
        <f t="shared" si="305"/>
        <v>636.70520449306798</v>
      </c>
      <c r="AB513" s="17">
        <f t="shared" si="306"/>
        <v>2.0914572562186944</v>
      </c>
      <c r="AC513" s="66" t="str">
        <f t="shared" si="307"/>
        <v>0.0122389524119457+0.025098047584027i</v>
      </c>
      <c r="AD513" s="64">
        <f t="shared" si="308"/>
        <v>-31.080702663666038</v>
      </c>
      <c r="AE513" s="61">
        <f t="shared" si="309"/>
        <v>64.004026541646425</v>
      </c>
      <c r="AF513" s="31" t="str">
        <f t="shared" si="294"/>
        <v>-10.0808080808081</v>
      </c>
      <c r="AG513" s="31" t="str">
        <f t="shared" si="310"/>
        <v>5599894.79949198i</v>
      </c>
      <c r="AH513" s="31">
        <f t="shared" si="311"/>
        <v>5599894.7994919801</v>
      </c>
      <c r="AI513" s="31">
        <f t="shared" si="312"/>
        <v>1.5707963267948966</v>
      </c>
      <c r="AJ513" s="31" t="str">
        <f t="shared" si="295"/>
        <v>-599832.65004096+7519.18594338554i</v>
      </c>
      <c r="AK513" s="31">
        <f t="shared" si="313"/>
        <v>599879.77646559477</v>
      </c>
      <c r="AL513" s="31">
        <f t="shared" si="314"/>
        <v>3.1290578372041726</v>
      </c>
      <c r="AM513" s="31" t="str">
        <f t="shared" si="296"/>
        <v>1+5550400.68929617i</v>
      </c>
      <c r="AN513" s="31">
        <f t="shared" si="315"/>
        <v>5550400.6892962605</v>
      </c>
      <c r="AO513" s="31">
        <f t="shared" si="316"/>
        <v>1.5707961466277238</v>
      </c>
      <c r="AP513" s="31" t="str">
        <f t="shared" si="297"/>
        <v>1+6504.83779908989i</v>
      </c>
      <c r="AQ513" s="31">
        <f t="shared" si="317"/>
        <v>6504.8378759557572</v>
      </c>
      <c r="AR513" s="31">
        <f t="shared" si="318"/>
        <v>1.5706425950612226</v>
      </c>
      <c r="AS513" s="58" t="str">
        <f t="shared" si="319"/>
        <v>-0.00134138470015417+0.108337493617617i</v>
      </c>
      <c r="AT513" s="49">
        <f t="shared" si="320"/>
        <v>-19.303758587160978</v>
      </c>
      <c r="AU513" s="61">
        <f t="shared" si="321"/>
        <v>90.709373573532133</v>
      </c>
      <c r="AV513" s="58" t="str">
        <f t="shared" si="298"/>
        <v>-0.00273547671346047+0.00129227129178253i</v>
      </c>
      <c r="AW513" s="64">
        <f t="shared" si="322"/>
        <v>-50.384461250827016</v>
      </c>
      <c r="AX513" s="61">
        <f t="shared" si="323"/>
        <v>154.71340011517856</v>
      </c>
    </row>
    <row r="514" spans="14:50" x14ac:dyDescent="0.4">
      <c r="N514" s="10">
        <v>96</v>
      </c>
      <c r="O514" s="50">
        <f t="shared" si="324"/>
        <v>912010.83935591124</v>
      </c>
      <c r="P514" s="48" t="str">
        <f t="shared" si="289"/>
        <v>5120.19230769231</v>
      </c>
      <c r="Q514" s="17" t="str">
        <f t="shared" si="290"/>
        <v>1+26778.2873983959i</v>
      </c>
      <c r="R514" s="17">
        <f t="shared" si="299"/>
        <v>26778.287417067739</v>
      </c>
      <c r="S514" s="17">
        <f t="shared" si="300"/>
        <v>1.5707589831072792</v>
      </c>
      <c r="T514" s="17" t="str">
        <f t="shared" si="291"/>
        <v>1+0.0572460277272376i</v>
      </c>
      <c r="U514" s="17">
        <f t="shared" si="301"/>
        <v>1.0016372136110696</v>
      </c>
      <c r="V514" s="17">
        <f t="shared" si="302"/>
        <v>5.7183616598907486E-2</v>
      </c>
      <c r="W514" s="31" t="str">
        <f t="shared" si="292"/>
        <v>1-92.8313963144392i</v>
      </c>
      <c r="X514" s="17">
        <f t="shared" si="303"/>
        <v>92.836782266989829</v>
      </c>
      <c r="Y514" s="17">
        <f t="shared" si="304"/>
        <v>-1.5600245258507217</v>
      </c>
      <c r="Z514" s="31" t="str">
        <f t="shared" si="293"/>
        <v>-331.70550844107+565.201324751925i</v>
      </c>
      <c r="AA514" s="17">
        <f t="shared" si="305"/>
        <v>655.34806159130414</v>
      </c>
      <c r="AB514" s="17">
        <f t="shared" si="306"/>
        <v>2.1015131121554669</v>
      </c>
      <c r="AC514" s="66" t="str">
        <f t="shared" si="307"/>
        <v>0.0121108281234149+0.0242776866485704i</v>
      </c>
      <c r="AD514" s="64">
        <f t="shared" si="308"/>
        <v>-31.330760284884786</v>
      </c>
      <c r="AE514" s="61">
        <f t="shared" si="309"/>
        <v>63.487866338048718</v>
      </c>
      <c r="AF514" s="31" t="str">
        <f t="shared" si="294"/>
        <v>-10.0808080808081</v>
      </c>
      <c r="AG514" s="31" t="str">
        <f t="shared" si="310"/>
        <v>5730333.10582958i</v>
      </c>
      <c r="AH514" s="31">
        <f t="shared" si="311"/>
        <v>5730333.1058295798</v>
      </c>
      <c r="AI514" s="31">
        <f t="shared" si="312"/>
        <v>1.5707963267948966</v>
      </c>
      <c r="AJ514" s="31" t="str">
        <f t="shared" si="295"/>
        <v>-628101.939039462+7694.33028352238i</v>
      </c>
      <c r="AK514" s="31">
        <f t="shared" si="313"/>
        <v>628149.06554387545</v>
      </c>
      <c r="AL514" s="31">
        <f t="shared" si="314"/>
        <v>3.1293431365050819</v>
      </c>
      <c r="AM514" s="31" t="str">
        <f t="shared" si="296"/>
        <v>1+5679686.12970704i</v>
      </c>
      <c r="AN514" s="31">
        <f t="shared" si="315"/>
        <v>5679686.1297071287</v>
      </c>
      <c r="AO514" s="31">
        <f t="shared" si="316"/>
        <v>1.5707961507288293</v>
      </c>
      <c r="AP514" s="31" t="str">
        <f t="shared" si="297"/>
        <v>1+6656.35493573164i</v>
      </c>
      <c r="AQ514" s="31">
        <f t="shared" si="317"/>
        <v>6656.3550108478266</v>
      </c>
      <c r="AR514" s="31">
        <f t="shared" si="318"/>
        <v>1.570646094422655</v>
      </c>
      <c r="AS514" s="58" t="str">
        <f t="shared" si="319"/>
        <v>-0.0012810213086927+0.10587216270383i</v>
      </c>
      <c r="AT514" s="49">
        <f t="shared" si="320"/>
        <v>-19.503728533180308</v>
      </c>
      <c r="AU514" s="61">
        <f t="shared" si="321"/>
        <v>90.693227861309097</v>
      </c>
      <c r="AV514" s="58" t="str">
        <f t="shared" si="298"/>
        <v>-0.00258584541982206+0.00125109933163772i</v>
      </c>
      <c r="AW514" s="64">
        <f t="shared" si="322"/>
        <v>-50.834488818065076</v>
      </c>
      <c r="AX514" s="61">
        <f t="shared" si="323"/>
        <v>154.18109419935786</v>
      </c>
    </row>
    <row r="515" spans="14:50" x14ac:dyDescent="0.4">
      <c r="N515" s="10">
        <v>97</v>
      </c>
      <c r="O515" s="50">
        <f t="shared" si="324"/>
        <v>933254.30079699249</v>
      </c>
      <c r="P515" s="48" t="str">
        <f t="shared" si="289"/>
        <v>5120.19230769231</v>
      </c>
      <c r="Q515" s="17" t="str">
        <f t="shared" si="290"/>
        <v>1+27402.0338400586i</v>
      </c>
      <c r="R515" s="17">
        <f t="shared" si="299"/>
        <v>27402.033858305422</v>
      </c>
      <c r="S515" s="17">
        <f t="shared" si="300"/>
        <v>1.5707598331533883</v>
      </c>
      <c r="T515" s="17" t="str">
        <f t="shared" si="291"/>
        <v>1+0.058579459009192i</v>
      </c>
      <c r="U515" s="17">
        <f t="shared" si="301"/>
        <v>1.0017143070845147</v>
      </c>
      <c r="V515" s="17">
        <f t="shared" si="302"/>
        <v>5.8512590459960635E-2</v>
      </c>
      <c r="W515" s="31" t="str">
        <f t="shared" si="292"/>
        <v>1-94.9937173122031i</v>
      </c>
      <c r="X515" s="17">
        <f t="shared" si="303"/>
        <v>94.998980672377513</v>
      </c>
      <c r="Y515" s="17">
        <f t="shared" si="304"/>
        <v>-1.5602697036515742</v>
      </c>
      <c r="Z515" s="31" t="str">
        <f t="shared" si="293"/>
        <v>-347.385435982434+578.366554846444i</v>
      </c>
      <c r="AA515" s="17">
        <f t="shared" si="305"/>
        <v>674.67363435786535</v>
      </c>
      <c r="AB515" s="17">
        <f t="shared" si="306"/>
        <v>2.1116803721374677</v>
      </c>
      <c r="AC515" s="66" t="str">
        <f t="shared" si="307"/>
        <v>0.0119785525879865+0.0234761753623106i</v>
      </c>
      <c r="AD515" s="64">
        <f t="shared" si="308"/>
        <v>-31.58254884773827</v>
      </c>
      <c r="AE515" s="61">
        <f t="shared" si="309"/>
        <v>62.967373487915935</v>
      </c>
      <c r="AF515" s="31" t="str">
        <f t="shared" si="294"/>
        <v>-10.0808080808081</v>
      </c>
      <c r="AG515" s="31" t="str">
        <f t="shared" si="310"/>
        <v>5863809.71062982i</v>
      </c>
      <c r="AH515" s="31">
        <f t="shared" si="311"/>
        <v>5863809.7106298199</v>
      </c>
      <c r="AI515" s="31">
        <f t="shared" si="312"/>
        <v>1.5707963267948966</v>
      </c>
      <c r="AJ515" s="31" t="str">
        <f t="shared" si="295"/>
        <v>-657703.518582895+7873.55425942204i</v>
      </c>
      <c r="AK515" s="31">
        <f t="shared" si="313"/>
        <v>657750.64516349719</v>
      </c>
      <c r="AL515" s="31">
        <f t="shared" si="314"/>
        <v>3.1296219434666965</v>
      </c>
      <c r="AM515" s="31" t="str">
        <f t="shared" si="296"/>
        <v>1+5811983.01488341i</v>
      </c>
      <c r="AN515" s="31">
        <f t="shared" si="315"/>
        <v>5811983.0148834949</v>
      </c>
      <c r="AO515" s="31">
        <f t="shared" si="316"/>
        <v>1.5707961547365823</v>
      </c>
      <c r="AP515" s="31" t="str">
        <f t="shared" si="297"/>
        <v>1+6811.4013598676i</v>
      </c>
      <c r="AQ515" s="31">
        <f t="shared" si="317"/>
        <v>6811.4014332739334</v>
      </c>
      <c r="AR515" s="31">
        <f t="shared" si="318"/>
        <v>1.5706495141289001</v>
      </c>
      <c r="AS515" s="58" t="str">
        <f t="shared" si="319"/>
        <v>-0.00122337393746159+0.103462900756619i</v>
      </c>
      <c r="AT515" s="49">
        <f t="shared" si="320"/>
        <v>-19.703699831657381</v>
      </c>
      <c r="AU515" s="61">
        <f t="shared" si="321"/>
        <v>90.677449563472052</v>
      </c>
      <c r="AV515" s="58" t="str">
        <f t="shared" si="298"/>
        <v>-0.00244356745070038+0.00121061565652926i</v>
      </c>
      <c r="AW515" s="64">
        <f t="shared" si="322"/>
        <v>-51.286248679395655</v>
      </c>
      <c r="AX515" s="61">
        <f t="shared" si="323"/>
        <v>153.64482305138799</v>
      </c>
    </row>
    <row r="516" spans="14:50" x14ac:dyDescent="0.4">
      <c r="N516" s="10">
        <v>98</v>
      </c>
      <c r="O516" s="50">
        <f t="shared" si="324"/>
        <v>954992.58602143743</v>
      </c>
      <c r="P516" s="48" t="str">
        <f t="shared" si="289"/>
        <v>5120.19230769231</v>
      </c>
      <c r="Q516" s="17" t="str">
        <f t="shared" si="290"/>
        <v>1+28040.309202772i</v>
      </c>
      <c r="R516" s="17">
        <f t="shared" si="299"/>
        <v>28040.309220603474</v>
      </c>
      <c r="S516" s="17">
        <f t="shared" si="300"/>
        <v>1.5707606638500857</v>
      </c>
      <c r="T516" s="17" t="str">
        <f t="shared" si="291"/>
        <v>1+0.0599439498957038i</v>
      </c>
      <c r="U516" s="17">
        <f t="shared" si="301"/>
        <v>1.0017950275026817</v>
      </c>
      <c r="V516" s="17">
        <f t="shared" si="302"/>
        <v>5.9872305886393966E-2</v>
      </c>
      <c r="W516" s="31" t="str">
        <f t="shared" si="292"/>
        <v>1-97.2064052362763i</v>
      </c>
      <c r="X516" s="17">
        <f t="shared" si="303"/>
        <v>97.211548794159057</v>
      </c>
      <c r="Y516" s="17">
        <f t="shared" si="304"/>
        <v>-1.5605093017472593</v>
      </c>
      <c r="Z516" s="31" t="str">
        <f t="shared" si="293"/>
        <v>-363.804335742365+591.838442543929i</v>
      </c>
      <c r="AA516" s="17">
        <f t="shared" si="305"/>
        <v>694.713132722973</v>
      </c>
      <c r="AB516" s="17">
        <f t="shared" si="306"/>
        <v>2.1219561179183</v>
      </c>
      <c r="AC516" s="66" t="str">
        <f t="shared" si="307"/>
        <v>0.011842214750517+0.0226932886577886i</v>
      </c>
      <c r="AD516" s="64">
        <f t="shared" si="308"/>
        <v>-31.836106008065073</v>
      </c>
      <c r="AE516" s="61">
        <f t="shared" si="309"/>
        <v>62.442747023521427</v>
      </c>
      <c r="AF516" s="31" t="str">
        <f t="shared" si="294"/>
        <v>-10.0808080808081</v>
      </c>
      <c r="AG516" s="31" t="str">
        <f t="shared" si="310"/>
        <v>6000395.38495533i</v>
      </c>
      <c r="AH516" s="31">
        <f t="shared" si="311"/>
        <v>6000395.3849553298</v>
      </c>
      <c r="AI516" s="31">
        <f t="shared" si="312"/>
        <v>1.5707963267948966</v>
      </c>
      <c r="AJ516" s="31" t="str">
        <f t="shared" si="295"/>
        <v>-688700.177590221+8056.95289800885i</v>
      </c>
      <c r="AK516" s="31">
        <f t="shared" si="313"/>
        <v>688747.30424358312</v>
      </c>
      <c r="AL516" s="31">
        <f t="shared" si="314"/>
        <v>3.1298944057481997</v>
      </c>
      <c r="AM516" s="31" t="str">
        <f t="shared" si="296"/>
        <v>1+5947361.49038496i</v>
      </c>
      <c r="AN516" s="31">
        <f t="shared" si="315"/>
        <v>5947361.4903850444</v>
      </c>
      <c r="AO516" s="31">
        <f t="shared" si="316"/>
        <v>1.5707961586531078</v>
      </c>
      <c r="AP516" s="31" t="str">
        <f t="shared" si="297"/>
        <v>1+6970.05927916411i</v>
      </c>
      <c r="AQ516" s="31">
        <f t="shared" si="317"/>
        <v>6970.0593508995107</v>
      </c>
      <c r="AR516" s="31">
        <f t="shared" si="318"/>
        <v>1.5706528559931305</v>
      </c>
      <c r="AS516" s="58" t="str">
        <f t="shared" si="319"/>
        <v>-0.00116832041402421+0.101108434747758i</v>
      </c>
      <c r="AT516" s="49">
        <f t="shared" si="320"/>
        <v>-19.903672421738769</v>
      </c>
      <c r="AU516" s="61">
        <f t="shared" si="321"/>
        <v>90.662030323781906</v>
      </c>
      <c r="AV516" s="58" t="str">
        <f t="shared" si="298"/>
        <v>-0.00230831839670834+0.00117083476497135i</v>
      </c>
      <c r="AW516" s="64">
        <f t="shared" si="322"/>
        <v>-51.739778429803849</v>
      </c>
      <c r="AX516" s="61">
        <f t="shared" si="323"/>
        <v>153.10477734730324</v>
      </c>
    </row>
    <row r="517" spans="14:50" x14ac:dyDescent="0.4">
      <c r="N517" s="10">
        <v>99</v>
      </c>
      <c r="O517" s="50">
        <f t="shared" si="324"/>
        <v>977237.22095581202</v>
      </c>
      <c r="P517" s="48" t="str">
        <f t="shared" si="289"/>
        <v>5120.19230769231</v>
      </c>
      <c r="Q517" s="17" t="str">
        <f t="shared" si="290"/>
        <v>1+28693.4519085822i</v>
      </c>
      <c r="R517" s="17">
        <f t="shared" si="299"/>
        <v>28693.451926007776</v>
      </c>
      <c r="S517" s="17">
        <f t="shared" si="300"/>
        <v>1.5707614756378179</v>
      </c>
      <c r="T517" s="17" t="str">
        <f t="shared" si="291"/>
        <v>1+0.0613402238579024i</v>
      </c>
      <c r="U517" s="17">
        <f t="shared" si="301"/>
        <v>1.0018795451864149</v>
      </c>
      <c r="V517" s="17">
        <f t="shared" si="302"/>
        <v>6.1263463694938673E-2</v>
      </c>
      <c r="W517" s="31" t="str">
        <f t="shared" si="292"/>
        <v>1-99.4706332830848i</v>
      </c>
      <c r="X517" s="17">
        <f t="shared" si="303"/>
        <v>99.475659765280952</v>
      </c>
      <c r="Y517" s="17">
        <f t="shared" si="304"/>
        <v>-1.5607434470657582</v>
      </c>
      <c r="Z517" s="31" t="str">
        <f t="shared" si="293"/>
        <v>-380.997034408576+605.624130817558i</v>
      </c>
      <c r="AA517" s="17">
        <f t="shared" si="305"/>
        <v>715.4993557346171</v>
      </c>
      <c r="AB517" s="17">
        <f t="shared" si="306"/>
        <v>2.132337216654479</v>
      </c>
      <c r="AC517" s="66" t="str">
        <f t="shared" si="307"/>
        <v>0.0117019111604137+0.021928810058485i</v>
      </c>
      <c r="AD517" s="64">
        <f t="shared" si="308"/>
        <v>-32.091468692164142</v>
      </c>
      <c r="AE517" s="61">
        <f t="shared" si="309"/>
        <v>61.91419929974235</v>
      </c>
      <c r="AF517" s="31" t="str">
        <f t="shared" si="294"/>
        <v>-10.0808080808081</v>
      </c>
      <c r="AG517" s="31" t="str">
        <f t="shared" si="310"/>
        <v>6140162.54833857i</v>
      </c>
      <c r="AH517" s="31">
        <f t="shared" si="311"/>
        <v>6140162.5483385697</v>
      </c>
      <c r="AI517" s="31">
        <f t="shared" si="312"/>
        <v>1.5707963267948966</v>
      </c>
      <c r="AJ517" s="31" t="str">
        <f t="shared" si="295"/>
        <v>-721157.664130994+8244.62343966857i</v>
      </c>
      <c r="AK517" s="31">
        <f t="shared" si="313"/>
        <v>721204.79085384158</v>
      </c>
      <c r="AL517" s="31">
        <f t="shared" si="314"/>
        <v>3.1301606676559492</v>
      </c>
      <c r="AM517" s="31" t="str">
        <f t="shared" si="296"/>
        <v>1+6085893.33567136i</v>
      </c>
      <c r="AN517" s="31">
        <f t="shared" si="315"/>
        <v>6085893.3356714426</v>
      </c>
      <c r="AO517" s="31">
        <f t="shared" si="316"/>
        <v>1.570796162480482</v>
      </c>
      <c r="AP517" s="31" t="str">
        <f t="shared" si="297"/>
        <v>1+7132.41281615009i</v>
      </c>
      <c r="AQ517" s="31">
        <f t="shared" si="317"/>
        <v>7132.4128862525931</v>
      </c>
      <c r="AR517" s="31">
        <f t="shared" si="318"/>
        <v>1.5706561217872472</v>
      </c>
      <c r="AS517" s="58" t="str">
        <f t="shared" si="319"/>
        <v>-0.00111574405857421+0.0988075204093846i</v>
      </c>
      <c r="AT517" s="49">
        <f t="shared" si="320"/>
        <v>-20.103646245308141</v>
      </c>
      <c r="AU517" s="61">
        <f t="shared" si="321"/>
        <v>90.646961975734797</v>
      </c>
      <c r="AV517" s="58" t="str">
        <f t="shared" si="298"/>
        <v>-0.00217978768525847+0.00113176988627702i</v>
      </c>
      <c r="AW517" s="64">
        <f t="shared" si="322"/>
        <v>-52.195114937472283</v>
      </c>
      <c r="AX517" s="61">
        <f t="shared" si="323"/>
        <v>152.56116127547725</v>
      </c>
    </row>
    <row r="518" spans="14:50" x14ac:dyDescent="0.4">
      <c r="N518" s="10">
        <v>100</v>
      </c>
      <c r="O518" s="50">
        <f t="shared" si="324"/>
        <v>1000000</v>
      </c>
      <c r="P518" s="48" t="str">
        <f t="shared" si="289"/>
        <v>5120.19230769231</v>
      </c>
      <c r="Q518" s="17" t="str">
        <f t="shared" si="290"/>
        <v>1+29361.8082623969i</v>
      </c>
      <c r="R518" s="17">
        <f t="shared" si="299"/>
        <v>29361.808279425823</v>
      </c>
      <c r="S518" s="17">
        <f t="shared" si="300"/>
        <v>1.5707622689470053</v>
      </c>
      <c r="T518" s="17" t="str">
        <f t="shared" si="291"/>
        <v>1+0.0627690212187242i</v>
      </c>
      <c r="U518" s="17">
        <f t="shared" si="301"/>
        <v>1.0019680384247576</v>
      </c>
      <c r="V518" s="17">
        <f t="shared" si="302"/>
        <v>6.2686779945028567E-2</v>
      </c>
      <c r="W518" s="31" t="str">
        <f t="shared" si="292"/>
        <v>1-101.787601976309i</v>
      </c>
      <c r="X518" s="17">
        <f t="shared" si="303"/>
        <v>101.79251404738712</v>
      </c>
      <c r="Y518" s="17">
        <f t="shared" si="304"/>
        <v>-1.5609722636512648</v>
      </c>
      <c r="Z518" s="31" t="str">
        <f t="shared" si="293"/>
        <v>-399.000000000001+619.730929021729i</v>
      </c>
      <c r="AA518" s="17">
        <f t="shared" si="305"/>
        <v>737.06677064302403</v>
      </c>
      <c r="AB518" s="17">
        <f t="shared" si="306"/>
        <v>2.1428203214666355</v>
      </c>
      <c r="AC518" s="66" t="str">
        <f t="shared" si="307"/>
        <v>0.0115577462141449+0.0211825308488521i</v>
      </c>
      <c r="AD518" s="64">
        <f t="shared" si="308"/>
        <v>-32.348672982418037</v>
      </c>
      <c r="AE518" s="61">
        <f t="shared" si="309"/>
        <v>61.381955973954369</v>
      </c>
      <c r="AF518" s="31" t="str">
        <f t="shared" si="294"/>
        <v>-10.0808080808081</v>
      </c>
      <c r="AG518" s="31" t="str">
        <f t="shared" si="310"/>
        <v>6283185.30717959i</v>
      </c>
      <c r="AH518" s="31">
        <f t="shared" si="311"/>
        <v>6283185.3071795898</v>
      </c>
      <c r="AI518" s="31">
        <f t="shared" si="312"/>
        <v>1.5707963267948966</v>
      </c>
      <c r="AJ518" s="31" t="str">
        <f t="shared" si="295"/>
        <v>-755144.824885813+8436.66538980649i</v>
      </c>
      <c r="AK518" s="31">
        <f t="shared" si="313"/>
        <v>755191.95167501934</v>
      </c>
      <c r="AL518" s="31">
        <f t="shared" si="314"/>
        <v>3.1304208702192424</v>
      </c>
      <c r="AM518" s="31" t="str">
        <f t="shared" si="296"/>
        <v>1+6227652.00216064i</v>
      </c>
      <c r="AN518" s="31">
        <f t="shared" si="315"/>
        <v>6227652.0021607205</v>
      </c>
      <c r="AO518" s="31">
        <f t="shared" si="316"/>
        <v>1.5707961662207348</v>
      </c>
      <c r="AP518" s="31" t="str">
        <f t="shared" si="297"/>
        <v>1+7298.54805281982i</v>
      </c>
      <c r="AQ518" s="31">
        <f t="shared" si="317"/>
        <v>7298.5481213265966</v>
      </c>
      <c r="AR518" s="31">
        <f t="shared" si="318"/>
        <v>1.5706593132428168</v>
      </c>
      <c r="AS518" s="58" t="str">
        <f t="shared" si="319"/>
        <v>-0.00106553343725724+0.0965589415938201i</v>
      </c>
      <c r="AT518" s="49">
        <f t="shared" si="320"/>
        <v>-20.303621246863703</v>
      </c>
      <c r="AU518" s="61">
        <f t="shared" si="321"/>
        <v>90.632236538274952</v>
      </c>
      <c r="AV518" s="58" t="str">
        <f t="shared" si="298"/>
        <v>-0.00205767792409411+0.00109343304674263i</v>
      </c>
      <c r="AW518" s="64">
        <f t="shared" si="322"/>
        <v>-52.652294229281729</v>
      </c>
      <c r="AX518" s="61">
        <f t="shared" si="323"/>
        <v>152.01419251222933</v>
      </c>
    </row>
    <row r="519" spans="14:50" x14ac:dyDescent="0.4">
      <c r="N519" s="10">
        <v>1</v>
      </c>
      <c r="O519" s="50">
        <f>10^(6+(N519/100))</f>
        <v>1023292.9922807553</v>
      </c>
      <c r="P519" s="48" t="str">
        <f t="shared" si="289"/>
        <v>5120.19230769231</v>
      </c>
      <c r="Q519" s="17" t="str">
        <f t="shared" si="290"/>
        <v>1+30045.732635602i</v>
      </c>
      <c r="R519" s="17">
        <f t="shared" si="299"/>
        <v>30045.732652243296</v>
      </c>
      <c r="S519" s="17">
        <f t="shared" si="300"/>
        <v>1.570763044198271</v>
      </c>
      <c r="T519" s="17" t="str">
        <f t="shared" si="291"/>
        <v>1+0.0642310995454425i</v>
      </c>
      <c r="U519" s="17">
        <f t="shared" si="301"/>
        <v>1.0020606938448471</v>
      </c>
      <c r="V519" s="17">
        <f t="shared" si="302"/>
        <v>6.4142986217596829E-2</v>
      </c>
      <c r="W519" s="31" t="str">
        <f t="shared" si="292"/>
        <v>1-104.15853980342i</v>
      </c>
      <c r="X519" s="17">
        <f t="shared" si="303"/>
        <v>104.16334006732228</v>
      </c>
      <c r="Y519" s="17">
        <f t="shared" si="304"/>
        <v>-1.5611958727294653</v>
      </c>
      <c r="Z519" s="31" t="str">
        <f t="shared" si="293"/>
        <v>-417.851419220362+634.166316767578i</v>
      </c>
      <c r="AA519" s="17">
        <f t="shared" si="305"/>
        <v>759.45159547335652</v>
      </c>
      <c r="AB519" s="17">
        <f t="shared" si="306"/>
        <v>2.1534018728848152</v>
      </c>
      <c r="AC519" s="66" t="str">
        <f t="shared" si="307"/>
        <v>0.0114098323457759+0.0204542492212956i</v>
      </c>
      <c r="AD519" s="64">
        <f t="shared" si="308"/>
        <v>-32.60775400109496</v>
      </c>
      <c r="AE519" s="61">
        <f t="shared" si="309"/>
        <v>60.846255935443565</v>
      </c>
      <c r="AF519" s="31" t="str">
        <f t="shared" si="294"/>
        <v>-10.0808080808081</v>
      </c>
      <c r="AG519" s="31" t="str">
        <f t="shared" si="310"/>
        <v>6429539.49403828i</v>
      </c>
      <c r="AH519" s="31">
        <f t="shared" si="311"/>
        <v>6429539.4940382801</v>
      </c>
      <c r="AI519" s="31">
        <f t="shared" si="312"/>
        <v>1.5707963267948966</v>
      </c>
      <c r="AJ519" s="31" t="str">
        <f t="shared" si="295"/>
        <v>-790733.751179382+8633.18057160657i</v>
      </c>
      <c r="AK519" s="31">
        <f t="shared" si="313"/>
        <v>790780.87803196069</v>
      </c>
      <c r="AL519" s="31">
        <f t="shared" si="314"/>
        <v>3.1306751512643936</v>
      </c>
      <c r="AM519" s="31" t="str">
        <f t="shared" si="296"/>
        <v>1+6372712.65217419i</v>
      </c>
      <c r="AN519" s="31">
        <f t="shared" si="315"/>
        <v>6372712.6521742688</v>
      </c>
      <c r="AO519" s="31">
        <f t="shared" si="316"/>
        <v>1.570796169875849</v>
      </c>
      <c r="AP519" s="31" t="str">
        <f t="shared" si="297"/>
        <v>1+7468.55307627487i</v>
      </c>
      <c r="AQ519" s="31">
        <f t="shared" si="317"/>
        <v>7468.5531432222424</v>
      </c>
      <c r="AR519" s="31">
        <f t="shared" si="318"/>
        <v>1.5706624320519911</v>
      </c>
      <c r="AS519" s="58" t="str">
        <f t="shared" si="319"/>
        <v>-0.00101758212654835+0.0943615096470064i</v>
      </c>
      <c r="AT519" s="49">
        <f t="shared" si="320"/>
        <v>-20.503597373400279</v>
      </c>
      <c r="AU519" s="61">
        <f t="shared" si="321"/>
        <v>90.617846211603037</v>
      </c>
      <c r="AV519" s="58" t="str">
        <f t="shared" si="298"/>
        <v>-0.00194170427667953+0.0010558351265471i</v>
      </c>
      <c r="AW519" s="64">
        <f t="shared" si="322"/>
        <v>-53.111351374495257</v>
      </c>
      <c r="AX519" s="61">
        <f t="shared" si="323"/>
        <v>151.46410214704662</v>
      </c>
    </row>
    <row r="520" spans="14:50" x14ac:dyDescent="0.4">
      <c r="N520" s="10">
        <v>2</v>
      </c>
      <c r="O520" s="50">
        <f t="shared" ref="O520:O560" si="325">10^(6+(N520/100))</f>
        <v>1047128.5480509007</v>
      </c>
      <c r="P520" s="48" t="str">
        <f t="shared" si="289"/>
        <v>5120.19230769231</v>
      </c>
      <c r="Q520" s="17" t="str">
        <f t="shared" si="290"/>
        <v>1+30745.5876539526i</v>
      </c>
      <c r="R520" s="17">
        <f t="shared" si="299"/>
        <v>30745.587670215096</v>
      </c>
      <c r="S520" s="17">
        <f t="shared" si="300"/>
        <v>1.5707638018026635</v>
      </c>
      <c r="T520" s="17" t="str">
        <f t="shared" si="291"/>
        <v>1+0.0657272340513387i</v>
      </c>
      <c r="U520" s="17">
        <f t="shared" si="301"/>
        <v>1.0021577067987051</v>
      </c>
      <c r="V520" s="17">
        <f t="shared" si="302"/>
        <v>6.5632829895043113E-2</v>
      </c>
      <c r="W520" s="31" t="str">
        <f t="shared" si="292"/>
        <v>1-106.584703867036i</v>
      </c>
      <c r="X520" s="17">
        <f t="shared" si="303"/>
        <v>106.58939486845658</v>
      </c>
      <c r="Y520" s="17">
        <f t="shared" si="304"/>
        <v>-1.561414392771356</v>
      </c>
      <c r="Z520" s="31" t="str">
        <f t="shared" si="293"/>
        <v>-437.591278457276+648.937947888759i</v>
      </c>
      <c r="AA520" s="17">
        <f t="shared" si="305"/>
        <v>782.69188522173079</v>
      </c>
      <c r="AB520" s="17">
        <f t="shared" si="306"/>
        <v>2.164078101212735</v>
      </c>
      <c r="AC520" s="66" t="str">
        <f t="shared" si="307"/>
        <v>0.011258290161871+0.0197437694040381i</v>
      </c>
      <c r="AD520" s="64">
        <f t="shared" si="308"/>
        <v>-32.868745792921473</v>
      </c>
      <c r="AE520" s="61">
        <f t="shared" si="309"/>
        <v>60.307351182313816</v>
      </c>
      <c r="AF520" s="31" t="str">
        <f t="shared" si="294"/>
        <v>-10.0808080808081</v>
      </c>
      <c r="AG520" s="31" t="str">
        <f t="shared" si="310"/>
        <v>6579302.70784171i</v>
      </c>
      <c r="AH520" s="31">
        <f t="shared" si="311"/>
        <v>6579302.7078417102</v>
      </c>
      <c r="AI520" s="31">
        <f t="shared" si="312"/>
        <v>1.5707963267948966</v>
      </c>
      <c r="AJ520" s="31" t="str">
        <f t="shared" si="295"/>
        <v>-827999.931895854+8834.27318001936i</v>
      </c>
      <c r="AK520" s="31">
        <f t="shared" si="313"/>
        <v>828047.05880895315</v>
      </c>
      <c r="AL520" s="31">
        <f t="shared" si="314"/>
        <v>3.1309236454871598</v>
      </c>
      <c r="AM520" s="31" t="str">
        <f t="shared" si="296"/>
        <v>1+6521152.19878874i</v>
      </c>
      <c r="AN520" s="31">
        <f t="shared" si="315"/>
        <v>6521152.1987888161</v>
      </c>
      <c r="AO520" s="31">
        <f t="shared" si="316"/>
        <v>1.5707961734477627</v>
      </c>
      <c r="AP520" s="31" t="str">
        <f t="shared" si="297"/>
        <v>1+7642.51802542893i</v>
      </c>
      <c r="AQ520" s="31">
        <f t="shared" si="317"/>
        <v>7642.5180908523935</v>
      </c>
      <c r="AR520" s="31">
        <f t="shared" si="318"/>
        <v>1.5706654798684039</v>
      </c>
      <c r="AS520" s="58" t="str">
        <f t="shared" si="319"/>
        <v>-0.00097178848819156+0.0922140627952977i</v>
      </c>
      <c r="AT520" s="49">
        <f t="shared" si="320"/>
        <v>-20.703574574297154</v>
      </c>
      <c r="AU520" s="61">
        <f t="shared" si="321"/>
        <v>90.603783373077903</v>
      </c>
      <c r="AV520" s="58" t="str">
        <f t="shared" si="298"/>
        <v>-0.00183159386841587+0.0010189859081341i</v>
      </c>
      <c r="AW520" s="64">
        <f t="shared" si="322"/>
        <v>-53.572320367218644</v>
      </c>
      <c r="AX520" s="61">
        <f t="shared" si="323"/>
        <v>150.91113455539173</v>
      </c>
    </row>
    <row r="521" spans="14:50" x14ac:dyDescent="0.4">
      <c r="N521" s="10">
        <v>3</v>
      </c>
      <c r="O521" s="50">
        <f t="shared" si="325"/>
        <v>1071519.3052376076</v>
      </c>
      <c r="P521" s="48" t="str">
        <f t="shared" si="289"/>
        <v>5120.19230769231</v>
      </c>
      <c r="Q521" s="17" t="str">
        <f t="shared" si="290"/>
        <v>1+31461.7443898434i</v>
      </c>
      <c r="R521" s="17">
        <f t="shared" si="299"/>
        <v>31461.744405735717</v>
      </c>
      <c r="S521" s="17">
        <f t="shared" si="300"/>
        <v>1.5707645421618746</v>
      </c>
      <c r="T521" s="17" t="str">
        <f t="shared" si="291"/>
        <v>1+0.0672582180067319i</v>
      </c>
      <c r="U521" s="17">
        <f t="shared" si="301"/>
        <v>1.0022592817676677</v>
      </c>
      <c r="V521" s="17">
        <f t="shared" si="302"/>
        <v>6.7157074442037612E-2</v>
      </c>
      <c r="W521" s="31" t="str">
        <f t="shared" si="292"/>
        <v>1-109.067380551457i</v>
      </c>
      <c r="X521" s="17">
        <f t="shared" si="303"/>
        <v>109.07196477718894</v>
      </c>
      <c r="Y521" s="17">
        <f t="shared" si="304"/>
        <v>-1.561627939555631</v>
      </c>
      <c r="Z521" s="31" t="str">
        <f t="shared" si="293"/>
        <v>-458.261448598754+664.05365449962i</v>
      </c>
      <c r="AA521" s="17">
        <f t="shared" si="305"/>
        <v>806.8276218165372</v>
      </c>
      <c r="AB521" s="17">
        <f t="shared" si="306"/>
        <v>2.1748450298400117</v>
      </c>
      <c r="AC521" s="66" t="str">
        <f t="shared" si="307"/>
        <v>0.0111032485174343+0.0190509007743222i</v>
      </c>
      <c r="AD521" s="64">
        <f t="shared" si="308"/>
        <v>-33.131681207064275</v>
      </c>
      <c r="AE521" s="61">
        <f t="shared" si="309"/>
        <v>59.765506644215243</v>
      </c>
      <c r="AF521" s="31" t="str">
        <f t="shared" si="294"/>
        <v>-10.0808080808081</v>
      </c>
      <c r="AG521" s="31" t="str">
        <f t="shared" si="310"/>
        <v>6732554.35502821i</v>
      </c>
      <c r="AH521" s="31">
        <f t="shared" si="311"/>
        <v>6732554.3550282102</v>
      </c>
      <c r="AI521" s="31">
        <f t="shared" si="312"/>
        <v>1.5707963267948966</v>
      </c>
      <c r="AJ521" s="31" t="str">
        <f t="shared" si="295"/>
        <v>-867022.413600896+9040.04983700763i</v>
      </c>
      <c r="AK521" s="31">
        <f t="shared" si="313"/>
        <v>867069.54057179217</v>
      </c>
      <c r="AL521" s="31">
        <f t="shared" si="314"/>
        <v>3.1311664845235518</v>
      </c>
      <c r="AM521" s="31" t="str">
        <f t="shared" si="296"/>
        <v>1+6673049.34661675i</v>
      </c>
      <c r="AN521" s="31">
        <f t="shared" si="315"/>
        <v>6673049.3466168242</v>
      </c>
      <c r="AO521" s="31">
        <f t="shared" si="316"/>
        <v>1.5707961769383696</v>
      </c>
      <c r="AP521" s="31" t="str">
        <f t="shared" si="297"/>
        <v>1+7820.53513880077i</v>
      </c>
      <c r="AQ521" s="31">
        <f t="shared" si="317"/>
        <v>7820.5352027350136</v>
      </c>
      <c r="AR521" s="31">
        <f t="shared" si="318"/>
        <v>1.5706684583080475</v>
      </c>
      <c r="AS521" s="58" t="str">
        <f t="shared" si="319"/>
        <v>-0.000928055454229975+0.0901154655453692i</v>
      </c>
      <c r="AT521" s="49">
        <f t="shared" si="320"/>
        <v>-20.903552801210978</v>
      </c>
      <c r="AU521" s="61">
        <f t="shared" si="321"/>
        <v>90.590040573209762</v>
      </c>
      <c r="AV521" s="58" t="str">
        <f t="shared" si="298"/>
        <v>-0.00172708522268296+0.000982894116842918i</v>
      </c>
      <c r="AW521" s="64">
        <f t="shared" si="322"/>
        <v>-54.035234008275239</v>
      </c>
      <c r="AX521" s="61">
        <f t="shared" si="323"/>
        <v>150.35554721742508</v>
      </c>
    </row>
    <row r="522" spans="14:50" x14ac:dyDescent="0.4">
      <c r="N522" s="10">
        <v>4</v>
      </c>
      <c r="O522" s="50">
        <f t="shared" si="325"/>
        <v>1096478.196143186</v>
      </c>
      <c r="P522" s="48" t="str">
        <f t="shared" si="289"/>
        <v>5120.19230769231</v>
      </c>
      <c r="Q522" s="17" t="str">
        <f t="shared" si="290"/>
        <v>1+32194.5825590551i</v>
      </c>
      <c r="R522" s="17">
        <f t="shared" si="299"/>
        <v>32194.582574585664</v>
      </c>
      <c r="S522" s="17">
        <f t="shared" si="300"/>
        <v>1.5707652656684525</v>
      </c>
      <c r="T522" s="17" t="str">
        <f t="shared" si="291"/>
        <v>1+0.06882486315958i</v>
      </c>
      <c r="U522" s="17">
        <f t="shared" si="301"/>
        <v>1.0023656327852302</v>
      </c>
      <c r="V522" s="17">
        <f t="shared" si="302"/>
        <v>6.8716499686787891E-2</v>
      </c>
      <c r="W522" s="31" t="str">
        <f t="shared" si="292"/>
        <v>1-111.607886204724i</v>
      </c>
      <c r="X522" s="17">
        <f t="shared" si="303"/>
        <v>111.61236608497563</v>
      </c>
      <c r="Y522" s="17">
        <f t="shared" si="304"/>
        <v>-1.5618366262296715</v>
      </c>
      <c r="Z522" s="31" t="str">
        <f t="shared" si="293"/>
        <v>-479.905773846967+679.521451147886i</v>
      </c>
      <c r="AA522" s="17">
        <f t="shared" si="305"/>
        <v>831.90080799442967</v>
      </c>
      <c r="AB522" s="17">
        <f t="shared" si="306"/>
        <v>2.1856984795248056</v>
      </c>
      <c r="AC522" s="66" t="str">
        <f t="shared" si="307"/>
        <v>0.0109448445299918+0.0183754569619172i</v>
      </c>
      <c r="AD522" s="64">
        <f t="shared" si="308"/>
        <v>-33.396591779194566</v>
      </c>
      <c r="AE522" s="61">
        <f t="shared" si="309"/>
        <v>59.220999949572843</v>
      </c>
      <c r="AF522" s="31" t="str">
        <f t="shared" si="294"/>
        <v>-10.0808080808081</v>
      </c>
      <c r="AG522" s="31" t="str">
        <f t="shared" si="310"/>
        <v>6889375.69164964i</v>
      </c>
      <c r="AH522" s="31">
        <f t="shared" si="311"/>
        <v>6889375.69164964</v>
      </c>
      <c r="AI522" s="31">
        <f t="shared" si="312"/>
        <v>1.5707963267948966</v>
      </c>
      <c r="AJ522" s="31" t="str">
        <f t="shared" si="295"/>
        <v>-907883.968210042+9250.61964807868i</v>
      </c>
      <c r="AK522" s="31">
        <f t="shared" si="313"/>
        <v>907931.09523613402</v>
      </c>
      <c r="AL522" s="31">
        <f t="shared" si="314"/>
        <v>3.1314037970190607</v>
      </c>
      <c r="AM522" s="31" t="str">
        <f t="shared" si="296"/>
        <v>1+6828484.63353659i</v>
      </c>
      <c r="AN522" s="31">
        <f t="shared" si="315"/>
        <v>6828484.6335366629</v>
      </c>
      <c r="AO522" s="31">
        <f t="shared" si="316"/>
        <v>1.5707961803495205</v>
      </c>
      <c r="AP522" s="31" t="str">
        <f t="shared" si="297"/>
        <v>1+8002.69880342023i</v>
      </c>
      <c r="AQ522" s="31">
        <f t="shared" si="317"/>
        <v>8002.6988658991531</v>
      </c>
      <c r="AR522" s="31">
        <f t="shared" si="318"/>
        <v>1.5706713689501295</v>
      </c>
      <c r="AS522" s="58" t="str">
        <f t="shared" si="319"/>
        <v>-0.000886290321675766+0.0880646080970028i</v>
      </c>
      <c r="AT522" s="49">
        <f t="shared" si="320"/>
        <v>-21.1035320079732</v>
      </c>
      <c r="AU522" s="61">
        <f t="shared" si="321"/>
        <v>90.576610531742929</v>
      </c>
      <c r="AV522" s="58" t="str">
        <f t="shared" si="298"/>
        <v>-0.00162792772573376+0.000947567454554636i</v>
      </c>
      <c r="AW522" s="64">
        <f t="shared" si="322"/>
        <v>-54.500123787167752</v>
      </c>
      <c r="AX522" s="61">
        <f t="shared" si="323"/>
        <v>149.79761048131579</v>
      </c>
    </row>
    <row r="523" spans="14:50" x14ac:dyDescent="0.4">
      <c r="N523" s="10">
        <v>5</v>
      </c>
      <c r="O523" s="50">
        <f t="shared" si="325"/>
        <v>1122018.4543019643</v>
      </c>
      <c r="P523" s="48" t="str">
        <f t="shared" si="289"/>
        <v>5120.19230769231</v>
      </c>
      <c r="Q523" s="17" t="str">
        <f t="shared" si="290"/>
        <v>1+32944.4907220852i</v>
      </c>
      <c r="R523" s="17">
        <f t="shared" si="299"/>
        <v>32944.49073726224</v>
      </c>
      <c r="S523" s="17">
        <f t="shared" si="300"/>
        <v>1.5707659727060104</v>
      </c>
      <c r="T523" s="17" t="str">
        <f t="shared" si="291"/>
        <v>1+0.07042800016588i</v>
      </c>
      <c r="U523" s="17">
        <f t="shared" si="301"/>
        <v>1.0024769838791139</v>
      </c>
      <c r="V523" s="17">
        <f t="shared" si="302"/>
        <v>7.0311902102369192E-2</v>
      </c>
      <c r="W523" s="31" t="str">
        <f t="shared" si="292"/>
        <v>1-114.207567836562i</v>
      </c>
      <c r="X523" s="17">
        <f t="shared" si="303"/>
        <v>114.21194574624369</v>
      </c>
      <c r="Y523" s="17">
        <f t="shared" si="304"/>
        <v>-1.5620405633691661</v>
      </c>
      <c r="Z523" s="31" t="str">
        <f t="shared" si="293"/>
        <v>-502.570164717668+695.349539064081i</v>
      </c>
      <c r="AA523" s="17">
        <f t="shared" si="305"/>
        <v>857.95556524855874</v>
      </c>
      <c r="AB523" s="17">
        <f t="shared" si="306"/>
        <v>2.1966340736620715</v>
      </c>
      <c r="AC523" s="66" t="str">
        <f t="shared" si="307"/>
        <v>0.010783223529396+0.0177172549483495i</v>
      </c>
      <c r="AD523" s="64">
        <f t="shared" si="308"/>
        <v>-33.663507614345946</v>
      </c>
      <c r="AE523" s="61">
        <f t="shared" si="309"/>
        <v>58.674121136430401</v>
      </c>
      <c r="AF523" s="31" t="str">
        <f t="shared" si="294"/>
        <v>-10.0808080808081</v>
      </c>
      <c r="AG523" s="31" t="str">
        <f t="shared" si="310"/>
        <v>7049849.86645445i</v>
      </c>
      <c r="AH523" s="31">
        <f t="shared" si="311"/>
        <v>7049849.8664544504</v>
      </c>
      <c r="AI523" s="31">
        <f t="shared" si="312"/>
        <v>1.5707963267948966</v>
      </c>
      <c r="AJ523" s="31" t="str">
        <f t="shared" si="295"/>
        <v>-950671.268559017+9466.09426013357i</v>
      </c>
      <c r="AK523" s="31">
        <f t="shared" si="313"/>
        <v>950718.39563782106</v>
      </c>
      <c r="AL523" s="31">
        <f t="shared" si="314"/>
        <v>3.1316357086963387</v>
      </c>
      <c r="AM523" s="31" t="str">
        <f t="shared" si="296"/>
        <v>1+6987540.4733948i</v>
      </c>
      <c r="AN523" s="31">
        <f t="shared" si="315"/>
        <v>6987540.4733948717</v>
      </c>
      <c r="AO523" s="31">
        <f t="shared" si="316"/>
        <v>1.5707961836830242</v>
      </c>
      <c r="AP523" s="31" t="str">
        <f t="shared" si="297"/>
        <v>1+8189.10560487349i</v>
      </c>
      <c r="AQ523" s="31">
        <f t="shared" si="317"/>
        <v>8189.1056659302176</v>
      </c>
      <c r="AR523" s="31">
        <f t="shared" si="318"/>
        <v>1.5706742133379112</v>
      </c>
      <c r="AS523" s="58" t="str">
        <f t="shared" si="319"/>
        <v>-0.000846404556389214+0.0860604057685037i</v>
      </c>
      <c r="AT523" s="49">
        <f t="shared" si="320"/>
        <v>-21.303512150492352</v>
      </c>
      <c r="AU523" s="61">
        <f t="shared" si="321"/>
        <v>90.563486133825975</v>
      </c>
      <c r="AV523" s="58" t="str">
        <f t="shared" si="298"/>
        <v>-0.00153388111948683+0.000913012627117304i</v>
      </c>
      <c r="AW523" s="64">
        <f t="shared" si="322"/>
        <v>-54.967019764838305</v>
      </c>
      <c r="AX523" s="61">
        <f t="shared" si="323"/>
        <v>149.23760727025635</v>
      </c>
    </row>
    <row r="524" spans="14:50" x14ac:dyDescent="0.4">
      <c r="N524" s="10">
        <v>6</v>
      </c>
      <c r="O524" s="50">
        <f t="shared" si="325"/>
        <v>1148153.6214968837</v>
      </c>
      <c r="P524" s="48" t="str">
        <f t="shared" si="289"/>
        <v>5120.19230769231</v>
      </c>
      <c r="Q524" s="17" t="str">
        <f t="shared" si="290"/>
        <v>1+33711.8664901681i</v>
      </c>
      <c r="R524" s="17">
        <f t="shared" si="299"/>
        <v>33711.866504999663</v>
      </c>
      <c r="S524" s="17">
        <f t="shared" si="300"/>
        <v>1.5707666636494282</v>
      </c>
      <c r="T524" s="17" t="str">
        <f t="shared" si="291"/>
        <v>1+0.0720684790300928i</v>
      </c>
      <c r="U524" s="17">
        <f t="shared" si="301"/>
        <v>1.0025935695333932</v>
      </c>
      <c r="V524" s="17">
        <f t="shared" si="302"/>
        <v>7.1944095087675047E-2</v>
      </c>
      <c r="W524" s="31" t="str">
        <f t="shared" si="292"/>
        <v>1-116.867803832583i</v>
      </c>
      <c r="X524" s="17">
        <f t="shared" si="303"/>
        <v>116.87208209256433</v>
      </c>
      <c r="Y524" s="17">
        <f t="shared" si="304"/>
        <v>-1.5622398590363922</v>
      </c>
      <c r="Z524" s="31" t="str">
        <f t="shared" si="293"/>
        <v>-526.302695422564+711.546310509926i</v>
      </c>
      <c r="AA524" s="17">
        <f t="shared" si="305"/>
        <v>885.03823601545275</v>
      </c>
      <c r="AB524" s="17">
        <f t="shared" si="306"/>
        <v>2.2076472445448383</v>
      </c>
      <c r="AC524" s="66" t="str">
        <f t="shared" si="307"/>
        <v>0.0106185389415103+0.0170761141676923i</v>
      </c>
      <c r="AD524" s="64">
        <f t="shared" si="308"/>
        <v>-33.932457271298901</v>
      </c>
      <c r="AE524" s="61">
        <f t="shared" si="309"/>
        <v>58.125172306451347</v>
      </c>
      <c r="AF524" s="31" t="str">
        <f t="shared" si="294"/>
        <v>-10.0808080808081</v>
      </c>
      <c r="AG524" s="31" t="str">
        <f t="shared" si="310"/>
        <v>7214061.96497425i</v>
      </c>
      <c r="AH524" s="31">
        <f t="shared" si="311"/>
        <v>7214061.9649742497</v>
      </c>
      <c r="AI524" s="31">
        <f t="shared" si="312"/>
        <v>1.5707963267948966</v>
      </c>
      <c r="AJ524" s="31" t="str">
        <f t="shared" si="295"/>
        <v>-995475.072248459+9686.58792066375i</v>
      </c>
      <c r="AK524" s="31">
        <f t="shared" si="313"/>
        <v>995522.19937760278</v>
      </c>
      <c r="AL524" s="31">
        <f t="shared" si="314"/>
        <v>3.1318623424213636</v>
      </c>
      <c r="AM524" s="31" t="str">
        <f t="shared" si="296"/>
        <v>1+7150301.19970305i</v>
      </c>
      <c r="AN524" s="31">
        <f t="shared" si="315"/>
        <v>7150301.1997031197</v>
      </c>
      <c r="AO524" s="31">
        <f t="shared" si="316"/>
        <v>1.5707961869406482</v>
      </c>
      <c r="AP524" s="31" t="str">
        <f t="shared" si="297"/>
        <v>1+8379.85437851409i</v>
      </c>
      <c r="AQ524" s="31">
        <f t="shared" si="317"/>
        <v>8379.854438180997</v>
      </c>
      <c r="AR524" s="31">
        <f t="shared" si="318"/>
        <v>1.5706769929795241</v>
      </c>
      <c r="AS524" s="58" t="str">
        <f t="shared" si="319"/>
        <v>-0.000808313605755153+0.0841017984345135i</v>
      </c>
      <c r="AT524" s="49">
        <f t="shared" si="320"/>
        <v>-21.503493186660574</v>
      </c>
      <c r="AU524" s="61">
        <f t="shared" si="321"/>
        <v>90.550660426267797</v>
      </c>
      <c r="AV524" s="58" t="str">
        <f t="shared" si="298"/>
        <v>-0.00144471502127566+0.000879235366312758i</v>
      </c>
      <c r="AW524" s="64">
        <f t="shared" si="322"/>
        <v>-55.435950457959478</v>
      </c>
      <c r="AX524" s="61">
        <f t="shared" si="323"/>
        <v>148.6758327327191</v>
      </c>
    </row>
    <row r="525" spans="14:50" x14ac:dyDescent="0.4">
      <c r="N525" s="10">
        <v>7</v>
      </c>
      <c r="O525" s="50">
        <f t="shared" si="325"/>
        <v>1174897.5549395324</v>
      </c>
      <c r="P525" s="48" t="str">
        <f t="shared" si="289"/>
        <v>5120.19230769231</v>
      </c>
      <c r="Q525" s="17" t="str">
        <f t="shared" si="290"/>
        <v>1+34497.1167360935i</v>
      </c>
      <c r="R525" s="17">
        <f t="shared" si="299"/>
        <v>34497.116750587462</v>
      </c>
      <c r="S525" s="17">
        <f t="shared" si="300"/>
        <v>1.570767338865054</v>
      </c>
      <c r="T525" s="17" t="str">
        <f t="shared" si="291"/>
        <v>1+0.0737471695558266i</v>
      </c>
      <c r="U525" s="17">
        <f t="shared" si="301"/>
        <v>1.0027156351715554</v>
      </c>
      <c r="V525" s="17">
        <f t="shared" si="302"/>
        <v>7.3613909247508866E-2</v>
      </c>
      <c r="W525" s="31" t="str">
        <f t="shared" si="292"/>
        <v>1-119.590004685124i</v>
      </c>
      <c r="X525" s="17">
        <f t="shared" si="303"/>
        <v>119.59418556346283</v>
      </c>
      <c r="Y525" s="17">
        <f t="shared" si="304"/>
        <v>-1.5624346188371878</v>
      </c>
      <c r="Z525" s="31" t="str">
        <f t="shared" si="293"/>
        <v>-551.153705841158+728.120353228034i</v>
      </c>
      <c r="AA525" s="17">
        <f t="shared" si="305"/>
        <v>913.19749027653313</v>
      </c>
      <c r="AB525" s="17">
        <f t="shared" si="306"/>
        <v>2.218733240617524</v>
      </c>
      <c r="AC525" s="66" t="str">
        <f t="shared" si="307"/>
        <v>0.0104509521045497+0.01645185561509i</v>
      </c>
      <c r="AD525" s="64">
        <f t="shared" si="308"/>
        <v>-34.203467649248346</v>
      </c>
      <c r="AE525" s="61">
        <f t="shared" si="309"/>
        <v>57.574467222107636</v>
      </c>
      <c r="AF525" s="31" t="str">
        <f t="shared" si="294"/>
        <v>-10.0808080808081</v>
      </c>
      <c r="AG525" s="31" t="str">
        <f t="shared" si="310"/>
        <v>7382099.05463729i</v>
      </c>
      <c r="AH525" s="31">
        <f t="shared" si="311"/>
        <v>7382099.0546372896</v>
      </c>
      <c r="AI525" s="31">
        <f t="shared" si="312"/>
        <v>1.5707963267948966</v>
      </c>
      <c r="AJ525" s="31" t="str">
        <f t="shared" si="295"/>
        <v>-1042390.41415295+9912.21753832664i</v>
      </c>
      <c r="AK525" s="31">
        <f t="shared" si="313"/>
        <v>1042437.5413301681</v>
      </c>
      <c r="AL525" s="31">
        <f t="shared" si="314"/>
        <v>3.1320838182681254</v>
      </c>
      <c r="AM525" s="31" t="str">
        <f t="shared" si="296"/>
        <v>1+7316853.11035281i</v>
      </c>
      <c r="AN525" s="31">
        <f t="shared" si="315"/>
        <v>7316853.1103528775</v>
      </c>
      <c r="AO525" s="31">
        <f t="shared" si="316"/>
        <v>1.5707961901241196</v>
      </c>
      <c r="AP525" s="31" t="str">
        <f t="shared" si="297"/>
        <v>1+8575.04626186668i</v>
      </c>
      <c r="AQ525" s="31">
        <f t="shared" si="317"/>
        <v>8575.0463201754028</v>
      </c>
      <c r="AR525" s="31">
        <f t="shared" si="318"/>
        <v>1.5706797093487712</v>
      </c>
      <c r="AS525" s="58" t="str">
        <f t="shared" si="319"/>
        <v>-0.000771936719763518+0.0821877499759783i</v>
      </c>
      <c r="AT525" s="49">
        <f t="shared" si="320"/>
        <v>-21.70347507626461</v>
      </c>
      <c r="AU525" s="61">
        <f t="shared" si="321"/>
        <v>90.538126613877182</v>
      </c>
      <c r="AV525" s="58" t="str">
        <f t="shared" si="298"/>
        <v>-0.0013602084696199+0.000846240447122119i</v>
      </c>
      <c r="AW525" s="64">
        <f t="shared" si="322"/>
        <v>-55.90694272551297</v>
      </c>
      <c r="AX525" s="61">
        <f t="shared" si="323"/>
        <v>148.11259383598477</v>
      </c>
    </row>
    <row r="526" spans="14:50" x14ac:dyDescent="0.4">
      <c r="N526" s="10">
        <v>8</v>
      </c>
      <c r="O526" s="50">
        <f t="shared" si="325"/>
        <v>1202264.4346174158</v>
      </c>
      <c r="P526" s="48" t="str">
        <f t="shared" si="289"/>
        <v>5120.19230769231</v>
      </c>
      <c r="Q526" s="17" t="str">
        <f t="shared" si="290"/>
        <v>1+35300.6578099356i</v>
      </c>
      <c r="R526" s="17">
        <f t="shared" si="299"/>
        <v>35300.657824099639</v>
      </c>
      <c r="S526" s="17">
        <f t="shared" si="300"/>
        <v>1.5707679987108956</v>
      </c>
      <c r="T526" s="17" t="str">
        <f t="shared" si="291"/>
        <v>1+0.0754649618070179i</v>
      </c>
      <c r="U526" s="17">
        <f t="shared" si="301"/>
        <v>1.0028434376614002</v>
      </c>
      <c r="V526" s="17">
        <f t="shared" si="302"/>
        <v>7.5322192671295141E-2</v>
      </c>
      <c r="W526" s="31" t="str">
        <f t="shared" si="292"/>
        <v>1-122.37561374111i</v>
      </c>
      <c r="X526" s="17">
        <f t="shared" si="303"/>
        <v>122.37969945425323</v>
      </c>
      <c r="Y526" s="17">
        <f t="shared" si="304"/>
        <v>-1.5626249459766433</v>
      </c>
      <c r="Z526" s="31" t="str">
        <f t="shared" si="293"/>
        <v>-577.175908298375+745.080454995235i</v>
      </c>
      <c r="AA526" s="17">
        <f t="shared" si="305"/>
        <v>942.48443676060799</v>
      </c>
      <c r="AB526" s="17">
        <f t="shared" si="306"/>
        <v>2.2298871347116171</v>
      </c>
      <c r="AC526" s="66" t="str">
        <f t="shared" si="307"/>
        <v>0.010280632017548+0.0158443009694679i</v>
      </c>
      <c r="AD526" s="64">
        <f t="shared" si="308"/>
        <v>-34.476563877518906</v>
      </c>
      <c r="AE526" s="61">
        <f t="shared" si="309"/>
        <v>57.022330847575816</v>
      </c>
      <c r="AF526" s="31" t="str">
        <f t="shared" si="294"/>
        <v>-10.0808080808081</v>
      </c>
      <c r="AG526" s="31" t="str">
        <f t="shared" si="310"/>
        <v>7554050.23093272i</v>
      </c>
      <c r="AH526" s="31">
        <f t="shared" si="311"/>
        <v>7554050.23093272</v>
      </c>
      <c r="AI526" s="31">
        <f t="shared" si="312"/>
        <v>1.5707963267948966</v>
      </c>
      <c r="AJ526" s="31" t="str">
        <f t="shared" si="295"/>
        <v>-1091516.8080027+10143.102744932i</v>
      </c>
      <c r="AK526" s="31">
        <f t="shared" si="313"/>
        <v>1091563.935225829</v>
      </c>
      <c r="AL526" s="31">
        <f t="shared" si="314"/>
        <v>3.1323002535818572</v>
      </c>
      <c r="AM526" s="31" t="str">
        <f t="shared" si="296"/>
        <v>1+7487284.51337167i</v>
      </c>
      <c r="AN526" s="31">
        <f t="shared" si="315"/>
        <v>7487284.5133717358</v>
      </c>
      <c r="AO526" s="31">
        <f t="shared" si="316"/>
        <v>1.5707961932351262</v>
      </c>
      <c r="AP526" s="31" t="str">
        <f t="shared" si="297"/>
        <v>1+8774.78474825145i</v>
      </c>
      <c r="AQ526" s="31">
        <f t="shared" si="317"/>
        <v>8774.7848052329045</v>
      </c>
      <c r="AR526" s="31">
        <f t="shared" si="318"/>
        <v>1.5706823638859067</v>
      </c>
      <c r="AS526" s="58" t="str">
        <f t="shared" si="319"/>
        <v>-0.000737196780118137+0.080317247742048i</v>
      </c>
      <c r="AT526" s="49">
        <f t="shared" si="320"/>
        <v>-21.903457780900123</v>
      </c>
      <c r="AU526" s="61">
        <f t="shared" si="321"/>
        <v>90.52587805588476</v>
      </c>
      <c r="AV526" s="58" t="str">
        <f t="shared" si="298"/>
        <v>-0.00128014949508524+0.000814031701040319i</v>
      </c>
      <c r="AW526" s="64">
        <f t="shared" si="322"/>
        <v>-56.380021658419032</v>
      </c>
      <c r="AX526" s="61">
        <f t="shared" si="323"/>
        <v>147.54820890346053</v>
      </c>
    </row>
    <row r="527" spans="14:50" x14ac:dyDescent="0.4">
      <c r="N527" s="10">
        <v>9</v>
      </c>
      <c r="O527" s="50">
        <f t="shared" si="325"/>
        <v>1230268.770812382</v>
      </c>
      <c r="P527" s="48" t="str">
        <f t="shared" si="289"/>
        <v>5120.19230769231</v>
      </c>
      <c r="Q527" s="17" t="str">
        <f t="shared" si="290"/>
        <v>1+36122.9157598079i</v>
      </c>
      <c r="R527" s="17">
        <f t="shared" si="299"/>
        <v>36122.915773649518</v>
      </c>
      <c r="S527" s="17">
        <f t="shared" si="300"/>
        <v>1.570768643536812</v>
      </c>
      <c r="T527" s="17" t="str">
        <f t="shared" si="291"/>
        <v>1+0.0772227665798561i</v>
      </c>
      <c r="U527" s="17">
        <f t="shared" si="301"/>
        <v>1.0029772458427195</v>
      </c>
      <c r="V527" s="17">
        <f t="shared" si="302"/>
        <v>7.7069811209845296E-2</v>
      </c>
      <c r="W527" s="31" t="str">
        <f t="shared" si="292"/>
        <v>1-125.226107967334i</v>
      </c>
      <c r="X527" s="17">
        <f t="shared" si="303"/>
        <v>125.23010068129145</v>
      </c>
      <c r="Y527" s="17">
        <f t="shared" si="304"/>
        <v>-1.5628109413135394</v>
      </c>
      <c r="Z527" s="31" t="str">
        <f t="shared" si="293"/>
        <v>-604.424499374485+762.435608281978i</v>
      </c>
      <c r="AA527" s="17">
        <f t="shared" si="305"/>
        <v>972.95273894491231</v>
      </c>
      <c r="AB527" s="17">
        <f t="shared" si="306"/>
        <v>2.2411038332449458</v>
      </c>
      <c r="AC527" s="66" t="str">
        <f t="shared" si="307"/>
        <v>0.010107755021148+0.0152532717370584i</v>
      </c>
      <c r="AD527" s="64">
        <f t="shared" si="308"/>
        <v>-34.751769209100097</v>
      </c>
      <c r="AE527" s="61">
        <f t="shared" si="309"/>
        <v>56.469098834386529</v>
      </c>
      <c r="AF527" s="31" t="str">
        <f t="shared" si="294"/>
        <v>-10.0808080808081</v>
      </c>
      <c r="AG527" s="31" t="str">
        <f t="shared" si="310"/>
        <v>7730006.66465025i</v>
      </c>
      <c r="AH527" s="31">
        <f t="shared" si="311"/>
        <v>7730006.6646502502</v>
      </c>
      <c r="AI527" s="31">
        <f t="shared" si="312"/>
        <v>1.5707963267948966</v>
      </c>
      <c r="AJ527" s="31" t="str">
        <f t="shared" si="295"/>
        <v>-1142958.45746556+10379.3659588726i</v>
      </c>
      <c r="AK527" s="31">
        <f t="shared" si="313"/>
        <v>1143005.5847325332</v>
      </c>
      <c r="AL527" s="31">
        <f t="shared" si="314"/>
        <v>3.1325117630408537</v>
      </c>
      <c r="AM527" s="31" t="str">
        <f t="shared" si="296"/>
        <v>1+7661685.77374543i</v>
      </c>
      <c r="AN527" s="31">
        <f t="shared" si="315"/>
        <v>7661685.773745494</v>
      </c>
      <c r="AO527" s="31">
        <f t="shared" si="316"/>
        <v>1.5707961962753179</v>
      </c>
      <c r="AP527" s="31" t="str">
        <f t="shared" si="297"/>
        <v>1+8979.17574165774i</v>
      </c>
      <c r="AQ527" s="31">
        <f t="shared" si="317"/>
        <v>8979.175797342139</v>
      </c>
      <c r="AR527" s="31">
        <f t="shared" si="318"/>
        <v>1.5706849579984017</v>
      </c>
      <c r="AS527" s="58" t="str">
        <f t="shared" si="319"/>
        <v>-0.000704020137014409+0.078489302023657i</v>
      </c>
      <c r="AT527" s="49">
        <f t="shared" si="320"/>
        <v>-22.103441263890957</v>
      </c>
      <c r="AU527" s="61">
        <f t="shared" si="321"/>
        <v>90.513908262444829</v>
      </c>
      <c r="AV527" s="58" t="str">
        <f t="shared" si="298"/>
        <v>-0.00120433471529378+0.000782612026177779i</v>
      </c>
      <c r="AW527" s="64">
        <f t="shared" si="322"/>
        <v>-56.855210472991082</v>
      </c>
      <c r="AX527" s="61">
        <f t="shared" si="323"/>
        <v>146.98300709683124</v>
      </c>
    </row>
    <row r="528" spans="14:50" x14ac:dyDescent="0.4">
      <c r="N528" s="10">
        <v>10</v>
      </c>
      <c r="O528" s="50">
        <f t="shared" si="325"/>
        <v>1258925.4117941677</v>
      </c>
      <c r="P528" s="48" t="str">
        <f t="shared" si="289"/>
        <v>5120.19230769231</v>
      </c>
      <c r="Q528" s="17" t="str">
        <f t="shared" si="290"/>
        <v>1+36964.3265577594i</v>
      </c>
      <c r="R528" s="17">
        <f t="shared" si="299"/>
        <v>36964.32657128595</v>
      </c>
      <c r="S528" s="17">
        <f t="shared" si="300"/>
        <v>1.5707692736846988</v>
      </c>
      <c r="T528" s="17" t="str">
        <f t="shared" si="291"/>
        <v>1+0.0790215158856991i</v>
      </c>
      <c r="U528" s="17">
        <f t="shared" si="301"/>
        <v>1.0031173410787364</v>
      </c>
      <c r="V528" s="17">
        <f t="shared" si="302"/>
        <v>7.8857648749561554E-2</v>
      </c>
      <c r="W528" s="31" t="str">
        <f t="shared" si="292"/>
        <v>1-128.142998733566i</v>
      </c>
      <c r="X528" s="17">
        <f t="shared" si="303"/>
        <v>128.14690056505736</v>
      </c>
      <c r="Y528" s="17">
        <f t="shared" si="304"/>
        <v>-1.5629927034135616</v>
      </c>
      <c r="Z528" s="31" t="str">
        <f t="shared" si="293"/>
        <v>-632.957276984447+780.195015020262i</v>
      </c>
      <c r="AA528" s="17">
        <f t="shared" si="305"/>
        <v>1004.6587360641587</v>
      </c>
      <c r="AB528" s="17">
        <f t="shared" si="306"/>
        <v>2.2523780863564946</v>
      </c>
      <c r="AC528" s="66" t="str">
        <f t="shared" si="307"/>
        <v>0.00993250441169045+0.0146785884224759i</v>
      </c>
      <c r="AD528" s="64">
        <f t="shared" si="308"/>
        <v>-35.02910491876267</v>
      </c>
      <c r="AE528" s="61">
        <f t="shared" si="309"/>
        <v>55.915116953392143</v>
      </c>
      <c r="AF528" s="31" t="str">
        <f t="shared" si="294"/>
        <v>-10.0808080808081</v>
      </c>
      <c r="AG528" s="31" t="str">
        <f t="shared" si="310"/>
        <v>7910061.65022012i</v>
      </c>
      <c r="AH528" s="31">
        <f t="shared" si="311"/>
        <v>7910061.6502201203</v>
      </c>
      <c r="AI528" s="31">
        <f t="shared" si="312"/>
        <v>1.5707963267948966</v>
      </c>
      <c r="AJ528" s="31" t="str">
        <f t="shared" si="295"/>
        <v>-1196824.47717696+10621.1324500317i</v>
      </c>
      <c r="AK528" s="31">
        <f t="shared" si="313"/>
        <v>1196871.6044858049</v>
      </c>
      <c r="AL528" s="31">
        <f t="shared" si="314"/>
        <v>3.1327184587169006</v>
      </c>
      <c r="AM528" s="31" t="str">
        <f t="shared" si="296"/>
        <v>1+7840149.36133084i</v>
      </c>
      <c r="AN528" s="31">
        <f t="shared" si="315"/>
        <v>7840149.3613309022</v>
      </c>
      <c r="AO528" s="31">
        <f t="shared" si="316"/>
        <v>1.5707961992463062</v>
      </c>
      <c r="AP528" s="31" t="str">
        <f t="shared" si="297"/>
        <v>1+9188.3276128957i</v>
      </c>
      <c r="AQ528" s="31">
        <f t="shared" si="317"/>
        <v>9188.3276673125674</v>
      </c>
      <c r="AR528" s="31">
        <f t="shared" si="318"/>
        <v>1.5706874930616883</v>
      </c>
      <c r="AS528" s="58" t="str">
        <f t="shared" si="319"/>
        <v>-0.000672336453242918+0.0767029455385776i</v>
      </c>
      <c r="AT528" s="49">
        <f t="shared" si="320"/>
        <v>-22.303425490211083</v>
      </c>
      <c r="AU528" s="61">
        <f t="shared" si="321"/>
        <v>90.502210891215967</v>
      </c>
      <c r="AV528" s="58" t="str">
        <f t="shared" si="298"/>
        <v>-0.00113256895314034+0.000751983394872994i</v>
      </c>
      <c r="AW528" s="64">
        <f t="shared" si="322"/>
        <v>-57.332530408973753</v>
      </c>
      <c r="AX528" s="61">
        <f t="shared" si="323"/>
        <v>146.41732784460811</v>
      </c>
    </row>
    <row r="529" spans="14:50" x14ac:dyDescent="0.4">
      <c r="N529" s="10">
        <v>11</v>
      </c>
      <c r="O529" s="50">
        <f t="shared" si="325"/>
        <v>1288249.5516931366</v>
      </c>
      <c r="P529" s="48" t="str">
        <f t="shared" si="289"/>
        <v>5120.19230769231</v>
      </c>
      <c r="Q529" s="17" t="str">
        <f t="shared" si="290"/>
        <v>1+37825.3363309327i</v>
      </c>
      <c r="R529" s="17">
        <f t="shared" si="299"/>
        <v>37825.336344151357</v>
      </c>
      <c r="S529" s="17">
        <f t="shared" si="300"/>
        <v>1.5707698894886684</v>
      </c>
      <c r="T529" s="17" t="str">
        <f t="shared" si="291"/>
        <v>1+0.0808621634452383i</v>
      </c>
      <c r="U529" s="17">
        <f t="shared" si="301"/>
        <v>1.0032640178323173</v>
      </c>
      <c r="V529" s="17">
        <f t="shared" si="302"/>
        <v>8.0686607483416439E-2</v>
      </c>
      <c r="W529" s="31" t="str">
        <f t="shared" si="292"/>
        <v>1-131.1278326139i</v>
      </c>
      <c r="X529" s="17">
        <f t="shared" si="303"/>
        <v>131.13164563147595</v>
      </c>
      <c r="Y529" s="17">
        <f t="shared" si="304"/>
        <v>-1.5631703286013139</v>
      </c>
      <c r="Z529" s="31" t="str">
        <f t="shared" si="293"/>
        <v>-662.834762975027+798.368091482613i</v>
      </c>
      <c r="AA529" s="17">
        <f t="shared" si="305"/>
        <v>1037.6615693499255</v>
      </c>
      <c r="AB529" s="17">
        <f t="shared" si="306"/>
        <v>2.2637044989394397</v>
      </c>
      <c r="AC529" s="66" t="str">
        <f t="shared" si="307"/>
        <v>0.00975506999036459+0.0141200697340597i</v>
      </c>
      <c r="AD529" s="64">
        <f t="shared" si="308"/>
        <v>-35.308590206507013</v>
      </c>
      <c r="AE529" s="61">
        <f t="shared" si="309"/>
        <v>55.36074047515698</v>
      </c>
      <c r="AF529" s="31" t="str">
        <f t="shared" si="294"/>
        <v>-10.0808080808081</v>
      </c>
      <c r="AG529" s="31" t="str">
        <f t="shared" si="310"/>
        <v>8094310.655179i</v>
      </c>
      <c r="AH529" s="31">
        <f t="shared" si="311"/>
        <v>8094310.6551790005</v>
      </c>
      <c r="AI529" s="31">
        <f t="shared" si="312"/>
        <v>1.5707963267948966</v>
      </c>
      <c r="AJ529" s="31" t="str">
        <f t="shared" si="295"/>
        <v>-1253229.12418663+10868.5304062033i</v>
      </c>
      <c r="AK529" s="31">
        <f t="shared" si="313"/>
        <v>1253276.2515354617</v>
      </c>
      <c r="AL529" s="31">
        <f t="shared" si="314"/>
        <v>3.1329204501343448</v>
      </c>
      <c r="AM529" s="31" t="str">
        <f t="shared" si="296"/>
        <v>1+8022769.89988429i</v>
      </c>
      <c r="AN529" s="31">
        <f t="shared" si="315"/>
        <v>8022769.8998843525</v>
      </c>
      <c r="AO529" s="31">
        <f t="shared" si="316"/>
        <v>1.5707962021496666</v>
      </c>
      <c r="AP529" s="31" t="str">
        <f t="shared" si="297"/>
        <v>1+9402.35125705593i</v>
      </c>
      <c r="AQ529" s="31">
        <f t="shared" si="317"/>
        <v>9402.3513102341167</v>
      </c>
      <c r="AR529" s="31">
        <f t="shared" si="318"/>
        <v>1.5706899704198911</v>
      </c>
      <c r="AS529" s="58" t="str">
        <f t="shared" si="319"/>
        <v>-0.000642078555290976+0.0749572329277083i</v>
      </c>
      <c r="AT529" s="49">
        <f t="shared" si="320"/>
        <v>-22.503410426410206</v>
      </c>
      <c r="AU529" s="61">
        <f t="shared" si="321"/>
        <v>90.490779744018212</v>
      </c>
      <c r="AV529" s="58" t="str">
        <f t="shared" si="298"/>
        <v>-0.00106466487725757+0.000722146859518403i</v>
      </c>
      <c r="AW529" s="64">
        <f t="shared" si="322"/>
        <v>-57.812000632917233</v>
      </c>
      <c r="AX529" s="61">
        <f t="shared" si="323"/>
        <v>145.85152021917511</v>
      </c>
    </row>
    <row r="530" spans="14:50" x14ac:dyDescent="0.4">
      <c r="N530" s="10">
        <v>12</v>
      </c>
      <c r="O530" s="50">
        <f t="shared" si="325"/>
        <v>1318256.7385564097</v>
      </c>
      <c r="P530" s="48" t="str">
        <f t="shared" si="289"/>
        <v>5120.19230769231</v>
      </c>
      <c r="Q530" s="17" t="str">
        <f t="shared" si="290"/>
        <v>1+38706.401598106i</v>
      </c>
      <c r="R530" s="17">
        <f t="shared" si="299"/>
        <v>38706.401611023757</v>
      </c>
      <c r="S530" s="17">
        <f t="shared" si="300"/>
        <v>1.5707704912752283</v>
      </c>
      <c r="T530" s="17" t="str">
        <f t="shared" si="291"/>
        <v>1+0.0827456851941734i</v>
      </c>
      <c r="U530" s="17">
        <f t="shared" si="301"/>
        <v>1.0034175842680122</v>
      </c>
      <c r="V530" s="17">
        <f t="shared" si="302"/>
        <v>8.2557608177986963E-2</v>
      </c>
      <c r="W530" s="31" t="str">
        <f t="shared" si="292"/>
        <v>1-134.182192206768i</v>
      </c>
      <c r="X530" s="17">
        <f t="shared" si="303"/>
        <v>134.18591843190563</v>
      </c>
      <c r="Y530" s="17">
        <f t="shared" si="304"/>
        <v>-1.5633439110111624</v>
      </c>
      <c r="Z530" s="31" t="str">
        <f t="shared" si="293"/>
        <v>-694.120331499755+816.964473274719i</v>
      </c>
      <c r="AA530" s="17">
        <f t="shared" si="305"/>
        <v>1072.0233137363987</v>
      </c>
      <c r="AB530" s="17">
        <f t="shared" si="306"/>
        <v>2.2750775425258336</v>
      </c>
      <c r="AC530" s="66" t="str">
        <f t="shared" si="307"/>
        <v>0.00957564754999509+0.0135775318300993i</v>
      </c>
      <c r="AD530" s="64">
        <f t="shared" si="308"/>
        <v>-35.590242107065528</v>
      </c>
      <c r="AE530" s="61">
        <f t="shared" si="309"/>
        <v>54.806333501391173</v>
      </c>
      <c r="AF530" s="31" t="str">
        <f t="shared" si="294"/>
        <v>-10.0808080808081</v>
      </c>
      <c r="AG530" s="31" t="str">
        <f t="shared" si="310"/>
        <v>8282851.37078812i</v>
      </c>
      <c r="AH530" s="31">
        <f t="shared" si="311"/>
        <v>8282851.3707881197</v>
      </c>
      <c r="AI530" s="31">
        <f t="shared" si="312"/>
        <v>1.5707963267948966</v>
      </c>
      <c r="AJ530" s="31" t="str">
        <f t="shared" si="295"/>
        <v>-1312292.0403132+11121.6910010581i</v>
      </c>
      <c r="AK530" s="31">
        <f t="shared" si="313"/>
        <v>1312339.1677002194</v>
      </c>
      <c r="AL530" s="31">
        <f t="shared" si="314"/>
        <v>3.1331178443278405</v>
      </c>
      <c r="AM530" s="31" t="str">
        <f t="shared" si="296"/>
        <v>1+8209644.21723257i</v>
      </c>
      <c r="AN530" s="31">
        <f t="shared" si="315"/>
        <v>8209644.2172326325</v>
      </c>
      <c r="AO530" s="31">
        <f t="shared" si="316"/>
        <v>1.5707962049869384</v>
      </c>
      <c r="AP530" s="31" t="str">
        <f t="shared" si="297"/>
        <v>1+9621.36015230748i</v>
      </c>
      <c r="AQ530" s="31">
        <f t="shared" si="317"/>
        <v>9621.3602042751827</v>
      </c>
      <c r="AR530" s="31">
        <f t="shared" si="318"/>
        <v>1.5706923913865376</v>
      </c>
      <c r="AS530" s="58" t="str">
        <f t="shared" si="319"/>
        <v>-0.000613182291128559+0.0732512402623705i</v>
      </c>
      <c r="AT530" s="49">
        <f t="shared" si="320"/>
        <v>-22.7033960405433</v>
      </c>
      <c r="AU530" s="61">
        <f t="shared" si="321"/>
        <v>90.479608763565395</v>
      </c>
      <c r="AV530" s="58" t="str">
        <f t="shared" si="298"/>
        <v>-0.00100044266376033+0.000693102557277019i</v>
      </c>
      <c r="AW530" s="64">
        <f t="shared" si="322"/>
        <v>-58.293638147608846</v>
      </c>
      <c r="AX530" s="61">
        <f t="shared" si="323"/>
        <v>145.2859422649565</v>
      </c>
    </row>
    <row r="531" spans="14:50" x14ac:dyDescent="0.4">
      <c r="N531" s="10">
        <v>13</v>
      </c>
      <c r="O531" s="50">
        <f t="shared" si="325"/>
        <v>1348962.8825916562</v>
      </c>
      <c r="P531" s="48" t="str">
        <f t="shared" ref="P531:P560" si="326">COMPLEX(Adc,0)</f>
        <v>5120.19230769231</v>
      </c>
      <c r="Q531" s="17" t="str">
        <f t="shared" ref="Q531:Q560" si="327">IMSUM(COMPLEX(1,0),IMDIV(COMPLEX(0,2*PI()*O531),COMPLEX(wp_lf,0)))</f>
        <v>1+39607.9895117464i</v>
      </c>
      <c r="R531" s="17">
        <f t="shared" si="299"/>
        <v>39607.98952437011</v>
      </c>
      <c r="S531" s="17">
        <f t="shared" si="300"/>
        <v>1.5707710793634537</v>
      </c>
      <c r="T531" s="17" t="str">
        <f t="shared" ref="T531:T560" si="328">IMSUM(COMPLEX(1,0),IMDIV(COMPLEX(0,2*PI()*O531),COMPLEX(wz_esr,0)))</f>
        <v>1+0.0846730798006669i</v>
      </c>
      <c r="U531" s="17">
        <f t="shared" si="301"/>
        <v>1.0035783628810109</v>
      </c>
      <c r="V531" s="17">
        <f t="shared" si="302"/>
        <v>8.4471590435769434E-2</v>
      </c>
      <c r="W531" s="31" t="str">
        <f t="shared" ref="W531:W560" si="329">IMSUB(COMPLEX(1,0),IMDIV(COMPLEX(0,2*PI()*O531),COMPLEX(wz_rhp,0)))</f>
        <v>1-137.307696974054i</v>
      </c>
      <c r="X531" s="17">
        <f t="shared" si="303"/>
        <v>137.31133838222772</v>
      </c>
      <c r="Y531" s="17">
        <f t="shared" si="304"/>
        <v>-1.5635135426369329</v>
      </c>
      <c r="Z531" s="31" t="str">
        <f t="shared" ref="Z531:Z560" si="330">IMSUM(COMPLEX(1,0),IMDIV(COMPLEX(0,2*PI()*O531),COMPLEX(Q*(wsl/2),0)),IMDIV(IMPOWER(COMPLEX(0,2*PI()*O531),2),IMPOWER(COMPLEX(wsl/2,0),2)))</f>
        <v>-726.880343443997+835.994020444356i</v>
      </c>
      <c r="AA531" s="17">
        <f t="shared" si="305"/>
        <v>1107.809115282945</v>
      </c>
      <c r="AB531" s="17">
        <f t="shared" si="306"/>
        <v>2.2864915679673432</v>
      </c>
      <c r="AC531" s="66" t="str">
        <f t="shared" si="307"/>
        <v>0.00939443830283237+0.0130507876123321i</v>
      </c>
      <c r="AD531" s="64">
        <f t="shared" si="308"/>
        <v>-35.874075406151434</v>
      </c>
      <c r="AE531" s="61">
        <f t="shared" si="309"/>
        <v>54.252268250569649</v>
      </c>
      <c r="AF531" s="31" t="str">
        <f t="shared" ref="AF531:AF560" si="331">COMPLEX(Adc_ea_iso,0)</f>
        <v>-10.0808080808081</v>
      </c>
      <c r="AG531" s="31" t="str">
        <f t="shared" si="310"/>
        <v>8475783.76383051i</v>
      </c>
      <c r="AH531" s="31">
        <f t="shared" si="311"/>
        <v>8475783.7638305109</v>
      </c>
      <c r="AI531" s="31">
        <f t="shared" si="312"/>
        <v>1.5707963267948966</v>
      </c>
      <c r="AJ531" s="31" t="str">
        <f t="shared" ref="AJ531:AJ560" si="332">IMSUM(IMPRODUCT(COMPLEX(wpA_ea_iso,0),IMPOWER(COMPLEX(0,2*PI()*O531),2)),COMPLEX(0,wpB_ea_iso*2*PI()*O531),COMPLEX(1,0))</f>
        <v>-1374138.50592046+11380.7484636947i</v>
      </c>
      <c r="AK531" s="31">
        <f t="shared" si="313"/>
        <v>1374185.6333439481</v>
      </c>
      <c r="AL531" s="31">
        <f t="shared" si="314"/>
        <v>3.1333107458987959</v>
      </c>
      <c r="AM531" s="31" t="str">
        <f t="shared" ref="AM531:AM560" si="333">IMSUM(COMPLEX(1,0),IMDIV(COMPLEX(0,2*PI()*O531),COMPLEX(wz1_ea_iso,0)))</f>
        <v>1+8400871.3966123i</v>
      </c>
      <c r="AN531" s="31">
        <f t="shared" si="315"/>
        <v>8400871.3966123592</v>
      </c>
      <c r="AO531" s="31">
        <f t="shared" si="316"/>
        <v>1.570796207759626</v>
      </c>
      <c r="AP531" s="31" t="str">
        <f t="shared" ref="AP531:AP560" si="334">IMSUM(COMPLEX(1,0),IMDIV(COMPLEX(0,2*PI()*O531),COMPLEX(wz2_ea_iso,0)))</f>
        <v>1+9845.47042006553i</v>
      </c>
      <c r="AQ531" s="31">
        <f t="shared" si="317"/>
        <v>9845.470470850305</v>
      </c>
      <c r="AR531" s="31">
        <f t="shared" si="318"/>
        <v>1.5706947572452565</v>
      </c>
      <c r="AS531" s="58" t="str">
        <f t="shared" si="319"/>
        <v>-0.000585586394379699+0.0715840645624044i</v>
      </c>
      <c r="AT531" s="49">
        <f t="shared" si="320"/>
        <v>-22.903382302102621</v>
      </c>
      <c r="AU531" s="61">
        <f t="shared" si="321"/>
        <v>90.468692030271029</v>
      </c>
      <c r="AV531" s="58" t="str">
        <f t="shared" ref="AV531:AV560" si="335">IMPRODUCT(AC531,AS531)</f>
        <v>-0.000939729678284387+0.000664849714335756i</v>
      </c>
      <c r="AW531" s="64">
        <f t="shared" si="322"/>
        <v>-58.777457708254055</v>
      </c>
      <c r="AX531" s="61">
        <f t="shared" si="323"/>
        <v>144.72096028084073</v>
      </c>
    </row>
    <row r="532" spans="14:50" x14ac:dyDescent="0.4">
      <c r="N532" s="10">
        <v>14</v>
      </c>
      <c r="O532" s="50">
        <f t="shared" si="325"/>
        <v>1380384.2646028849</v>
      </c>
      <c r="P532" s="48" t="str">
        <f t="shared" si="326"/>
        <v>5120.19230769231</v>
      </c>
      <c r="Q532" s="17" t="str">
        <f t="shared" si="327"/>
        <v>1+40530.5781056997i</v>
      </c>
      <c r="R532" s="17">
        <f t="shared" ref="R532:R560" si="336">IMABS(Q532)</f>
        <v>40530.578118036057</v>
      </c>
      <c r="S532" s="17">
        <f t="shared" ref="S532:S560" si="337">IMARGUMENT(Q532)</f>
        <v>1.5707716540651568</v>
      </c>
      <c r="T532" s="17" t="str">
        <f t="shared" si="328"/>
        <v>1+0.0866453691948513i</v>
      </c>
      <c r="U532" s="17">
        <f t="shared" ref="U532:U560" si="338">IMABS(T532)</f>
        <v>1.0037466911541537</v>
      </c>
      <c r="V532" s="17">
        <f t="shared" ref="V532:V560" si="339">IMARGUMENT(T532)</f>
        <v>8.6429512951935017E-2</v>
      </c>
      <c r="W532" s="31" t="str">
        <f t="shared" si="329"/>
        <v>1-140.506004099759i</v>
      </c>
      <c r="X532" s="17">
        <f t="shared" ref="X532:X560" si="340">IMABS(W532)</f>
        <v>140.50956262148668</v>
      </c>
      <c r="Y532" s="17">
        <f t="shared" ref="Y532:Y560" si="341">IMARGUMENT(W532)</f>
        <v>-1.5636793133804876</v>
      </c>
      <c r="Z532" s="31" t="str">
        <f t="shared" si="330"/>
        <v>-761.1842871853+855.466822709322i</v>
      </c>
      <c r="AA532" s="17">
        <f t="shared" ref="AA532:AA560" si="342">IMABS(Z532)</f>
        <v>1145.0873345794091</v>
      </c>
      <c r="AB532" s="17">
        <f t="shared" ref="AB532:AB560" si="343">IMARGUMENT(Z532)</f>
        <v>2.2979408188478527</v>
      </c>
      <c r="AC532" s="66" t="str">
        <f t="shared" ref="AC532:AC560" si="344">(IMDIV(IMPRODUCT(P532,T532,W532),IMPRODUCT(Q532,Z532)))</f>
        <v>0.00921164825349946+0.0125396460727872i</v>
      </c>
      <c r="AD532" s="64">
        <f t="shared" ref="AD532:AD560" si="345">20*LOG(IMABS(AC532))</f>
        <v>-36.160102564096441</v>
      </c>
      <c r="AE532" s="61">
        <f t="shared" ref="AE532:AE560" si="346">(180/PI())*IMARGUMENT(AC532)</f>
        <v>53.698924301365572</v>
      </c>
      <c r="AF532" s="31" t="str">
        <f t="shared" si="331"/>
        <v>-10.0808080808081</v>
      </c>
      <c r="AG532" s="31" t="str">
        <f t="shared" ref="AG532:AG560" si="347">COMPLEX(0,1*2*PI()*O532)</f>
        <v>8673210.12961474i</v>
      </c>
      <c r="AH532" s="31">
        <f t="shared" ref="AH532:AH560" si="348">IMABS(AG532)</f>
        <v>8673210.1296147406</v>
      </c>
      <c r="AI532" s="31">
        <f t="shared" ref="AI532:AI560" si="349">IMARGUMENT(AG532)</f>
        <v>1.5707963267948966</v>
      </c>
      <c r="AJ532" s="31" t="str">
        <f t="shared" si="332"/>
        <v>-1438899.70565387+11645.8401498087i</v>
      </c>
      <c r="AK532" s="31">
        <f t="shared" ref="AK532:AK560" si="350">IMABS(AJ532)</f>
        <v>1438946.8331121858</v>
      </c>
      <c r="AL532" s="31">
        <f t="shared" ref="AL532:AL560" si="351">IMARGUMENT(AJ532)</f>
        <v>3.133499257070548</v>
      </c>
      <c r="AM532" s="31" t="str">
        <f t="shared" si="333"/>
        <v>1+8596552.82920518i</v>
      </c>
      <c r="AN532" s="31">
        <f t="shared" ref="AN532:AN560" si="352">IMABS(AM532)</f>
        <v>8596552.8292052373</v>
      </c>
      <c r="AO532" s="31">
        <f t="shared" ref="AO532:AO560" si="353">IMARGUMENT(AM532)</f>
        <v>1.5707962104691995</v>
      </c>
      <c r="AP532" s="31" t="str">
        <f t="shared" si="334"/>
        <v>1+10074.8008865605i</v>
      </c>
      <c r="AQ532" s="31">
        <f t="shared" ref="AQ532:AQ560" si="354">IMABS(AP532)</f>
        <v>10074.800936189273</v>
      </c>
      <c r="AR532" s="31">
        <f t="shared" ref="AR532:AR560" si="355">IMARGUMENT(AP532)</f>
        <v>1.5706970692504572</v>
      </c>
      <c r="AS532" s="58" t="str">
        <f t="shared" ref="AS532:AS560" si="356">IMDIV(IMPRODUCT(AF532,AM532,AP532),IMPRODUCT(AG532,AJ532))</f>
        <v>-0.000559232354592902+0.0699548233248386i</v>
      </c>
      <c r="AT532" s="49">
        <f t="shared" ref="AT532:AT560" si="357">20*LOG(IMABS(AS532))</f>
        <v>-23.103369181952971</v>
      </c>
      <c r="AU532" s="61">
        <f t="shared" ref="AU532:AU560" si="358">(180/PI())*IMARGUMENT(AS532)</f>
        <v>90.458023759125908</v>
      </c>
      <c r="AV532" s="58" t="str">
        <f t="shared" si="335"/>
        <v>-0.000882360177320321+0.000637386650305066i</v>
      </c>
      <c r="AW532" s="64">
        <f t="shared" ref="AW532:AW560" si="359">20*LOG(IMABS(AV532))</f>
        <v>-59.263471746049412</v>
      </c>
      <c r="AX532" s="61">
        <f t="shared" ref="AX532:AX560" si="360">(180/PI())*IMARGUMENT(AV532)</f>
        <v>144.15694806049149</v>
      </c>
    </row>
    <row r="533" spans="14:50" x14ac:dyDescent="0.4">
      <c r="N533" s="10">
        <v>15</v>
      </c>
      <c r="O533" s="50">
        <f t="shared" si="325"/>
        <v>1412537.5446227565</v>
      </c>
      <c r="P533" s="48" t="str">
        <f t="shared" si="326"/>
        <v>5120.19230769231</v>
      </c>
      <c r="Q533" s="17" t="str">
        <f t="shared" si="327"/>
        <v>1+41474.6565486503i</v>
      </c>
      <c r="R533" s="17">
        <f t="shared" si="336"/>
        <v>41474.656560705858</v>
      </c>
      <c r="S533" s="17">
        <f t="shared" si="337"/>
        <v>1.5707722156850521</v>
      </c>
      <c r="T533" s="17" t="str">
        <f t="shared" si="328"/>
        <v>1+0.0886635991106703i</v>
      </c>
      <c r="U533" s="17">
        <f t="shared" si="338"/>
        <v>1.0039229222441619</v>
      </c>
      <c r="V533" s="17">
        <f t="shared" si="339"/>
        <v>8.8432353764624202E-2</v>
      </c>
      <c r="W533" s="31" t="str">
        <f t="shared" si="329"/>
        <v>1-143.778809368654i</v>
      </c>
      <c r="X533" s="17">
        <f t="shared" si="340"/>
        <v>143.7822868905198</v>
      </c>
      <c r="Y533" s="17">
        <f t="shared" si="341"/>
        <v>-1.5638413110992047</v>
      </c>
      <c r="Z533" s="31" t="str">
        <f t="shared" si="330"/>
        <v>-797.104925987555+875.393204807133i</v>
      </c>
      <c r="AA533" s="17">
        <f t="shared" si="342"/>
        <v>1183.9296964161886</v>
      </c>
      <c r="AB533" s="17">
        <f t="shared" si="343"/>
        <v>2.3094194455555899</v>
      </c>
      <c r="AC533" s="66" t="str">
        <f t="shared" si="344"/>
        <v>0.00902748752198329+0.0120439116996071i</v>
      </c>
      <c r="AD533" s="64">
        <f t="shared" si="345"/>
        <v>-36.448333647474101</v>
      </c>
      <c r="AE533" s="61">
        <f t="shared" si="346"/>
        <v>53.146687797986765</v>
      </c>
      <c r="AF533" s="31" t="str">
        <f t="shared" si="331"/>
        <v>-10.0808080808081</v>
      </c>
      <c r="AG533" s="31" t="str">
        <f t="shared" si="347"/>
        <v>8875235.14621323i</v>
      </c>
      <c r="AH533" s="31">
        <f t="shared" si="348"/>
        <v>8875235.1462132297</v>
      </c>
      <c r="AI533" s="31">
        <f t="shared" si="349"/>
        <v>1.5707963267948966</v>
      </c>
      <c r="AJ533" s="31" t="str">
        <f t="shared" si="332"/>
        <v>-1506713.00670075+11917.1066145211i</v>
      </c>
      <c r="AK533" s="31">
        <f t="shared" si="350"/>
        <v>1506760.1341923261</v>
      </c>
      <c r="AL533" s="31">
        <f t="shared" si="351"/>
        <v>3.1336834777422999</v>
      </c>
      <c r="AM533" s="31" t="str">
        <f t="shared" si="333"/>
        <v>1+8796792.26789697i</v>
      </c>
      <c r="AN533" s="31">
        <f t="shared" si="352"/>
        <v>8796792.2678970266</v>
      </c>
      <c r="AO533" s="31">
        <f t="shared" si="353"/>
        <v>1.5707962131170956</v>
      </c>
      <c r="AP533" s="31" t="str">
        <f t="shared" si="334"/>
        <v>1+10309.4731458413i</v>
      </c>
      <c r="AQ533" s="31">
        <f t="shared" si="354"/>
        <v>10309.473194340384</v>
      </c>
      <c r="AR533" s="31">
        <f t="shared" si="355"/>
        <v>1.5706993286279953</v>
      </c>
      <c r="AS533" s="58" t="str">
        <f t="shared" si="356"/>
        <v>-0.000534064293337506+0.0683626540629162i</v>
      </c>
      <c r="AT533" s="49">
        <f t="shared" si="357"/>
        <v>-23.303356652270338</v>
      </c>
      <c r="AU533" s="61">
        <f t="shared" si="358"/>
        <v>90.447598296646007</v>
      </c>
      <c r="AV533" s="58" t="str">
        <f t="shared" si="335"/>
        <v>-0.00082817502782859+0.000610710783331766i</v>
      </c>
      <c r="AW533" s="64">
        <f t="shared" si="359"/>
        <v>-59.751690299744446</v>
      </c>
      <c r="AX533" s="61">
        <f t="shared" si="360"/>
        <v>143.59428609463276</v>
      </c>
    </row>
    <row r="534" spans="14:50" x14ac:dyDescent="0.4">
      <c r="N534" s="10">
        <v>16</v>
      </c>
      <c r="O534" s="50">
        <f t="shared" si="325"/>
        <v>1445439.7707459298</v>
      </c>
      <c r="P534" s="48" t="str">
        <f t="shared" si="326"/>
        <v>5120.19230769231</v>
      </c>
      <c r="Q534" s="17" t="str">
        <f t="shared" si="327"/>
        <v>1+42440.725403485i</v>
      </c>
      <c r="R534" s="17">
        <f t="shared" si="336"/>
        <v>42440.725415266133</v>
      </c>
      <c r="S534" s="17">
        <f t="shared" si="337"/>
        <v>1.5707727645209177</v>
      </c>
      <c r="T534" s="17" t="str">
        <f t="shared" si="328"/>
        <v>1+0.0907288396403391i</v>
      </c>
      <c r="U534" s="17">
        <f t="shared" si="338"/>
        <v>1.0041074256983076</v>
      </c>
      <c r="V534" s="17">
        <f t="shared" si="339"/>
        <v>9.0481110497805689E-2</v>
      </c>
      <c r="W534" s="31" t="str">
        <f t="shared" si="329"/>
        <v>1-147.127848065415i</v>
      </c>
      <c r="X534" s="17">
        <f t="shared" si="340"/>
        <v>147.1312464310686</v>
      </c>
      <c r="Y534" s="17">
        <f t="shared" si="341"/>
        <v>-1.5639996216523888</v>
      </c>
      <c r="Z534" s="31" t="str">
        <f t="shared" si="330"/>
        <v>-834.71845234162+895.783731969331i</v>
      </c>
      <c r="AA534" s="17">
        <f t="shared" si="342"/>
        <v>1224.4114460182457</v>
      </c>
      <c r="AB534" s="17">
        <f t="shared" si="343"/>
        <v>2.3209215199349931</v>
      </c>
      <c r="AC534" s="66" t="str">
        <f t="shared" si="344"/>
        <v>0.00884216962225347+0.0115633839469589i</v>
      </c>
      <c r="AD534" s="64">
        <f t="shared" si="345"/>
        <v>-36.738776269237036</v>
      </c>
      <c r="AE534" s="61">
        <f t="shared" si="346"/>
        <v>52.59595062193312</v>
      </c>
      <c r="AF534" s="31" t="str">
        <f t="shared" si="331"/>
        <v>-10.0808080808081</v>
      </c>
      <c r="AG534" s="31" t="str">
        <f t="shared" si="347"/>
        <v>9081965.92996386i</v>
      </c>
      <c r="AH534" s="31">
        <f t="shared" si="348"/>
        <v>9081965.9299638607</v>
      </c>
      <c r="AI534" s="31">
        <f t="shared" si="349"/>
        <v>1.5707963267948966</v>
      </c>
      <c r="AJ534" s="31" t="str">
        <f t="shared" si="332"/>
        <v>-1577722.25016451+12194.6916869021i</v>
      </c>
      <c r="AK534" s="31">
        <f t="shared" si="350"/>
        <v>1577769.3776878493</v>
      </c>
      <c r="AL534" s="31">
        <f t="shared" si="351"/>
        <v>3.1338635055418385</v>
      </c>
      <c r="AM534" s="31" t="str">
        <f t="shared" si="333"/>
        <v>1+9001695.8822885i</v>
      </c>
      <c r="AN534" s="31">
        <f t="shared" si="352"/>
        <v>9001695.8822885565</v>
      </c>
      <c r="AO534" s="31">
        <f t="shared" si="353"/>
        <v>1.5707962157047184</v>
      </c>
      <c r="AP534" s="31" t="str">
        <f t="shared" si="334"/>
        <v>1+10549.611624246i</v>
      </c>
      <c r="AQ534" s="31">
        <f t="shared" si="354"/>
        <v>10549.611671641109</v>
      </c>
      <c r="AR534" s="31">
        <f t="shared" si="355"/>
        <v>1.570701536575823</v>
      </c>
      <c r="AS534" s="58" t="str">
        <f t="shared" si="356"/>
        <v>-0.00051002884586495+0.0668067138552769i</v>
      </c>
      <c r="AT534" s="49">
        <f t="shared" si="357"/>
        <v>-23.50334468648262</v>
      </c>
      <c r="AU534" s="61">
        <f t="shared" si="358"/>
        <v>90.437410117889172</v>
      </c>
      <c r="AV534" s="58" t="str">
        <f t="shared" si="335"/>
        <v>-0.000777021444110566+0.000584818636444949i</v>
      </c>
      <c r="AW534" s="64">
        <f t="shared" si="359"/>
        <v>-60.242120955719649</v>
      </c>
      <c r="AX534" s="61">
        <f t="shared" si="360"/>
        <v>143.03336073982229</v>
      </c>
    </row>
    <row r="535" spans="14:50" x14ac:dyDescent="0.4">
      <c r="N535" s="10">
        <v>17</v>
      </c>
      <c r="O535" s="50">
        <f t="shared" si="325"/>
        <v>1479108.3881682095</v>
      </c>
      <c r="P535" s="48" t="str">
        <f t="shared" si="326"/>
        <v>5120.19230769231</v>
      </c>
      <c r="Q535" s="17" t="str">
        <f t="shared" si="327"/>
        <v>1+43429.2968926979i</v>
      </c>
      <c r="R535" s="17">
        <f t="shared" si="336"/>
        <v>43429.296904210867</v>
      </c>
      <c r="S535" s="17">
        <f t="shared" si="337"/>
        <v>1.5707733008637541</v>
      </c>
      <c r="T535" s="17" t="str">
        <f t="shared" si="328"/>
        <v>1+0.0928421858017232i</v>
      </c>
      <c r="U535" s="17">
        <f t="shared" si="338"/>
        <v>1.004300588202776</v>
      </c>
      <c r="V535" s="17">
        <f t="shared" si="339"/>
        <v>9.2576800595659564E-2</v>
      </c>
      <c r="W535" s="31" t="str">
        <f t="shared" si="329"/>
        <v>1-150.554895894686i</v>
      </c>
      <c r="X535" s="17">
        <f t="shared" si="340"/>
        <v>150.55821690581934</v>
      </c>
      <c r="Y535" s="17">
        <f t="shared" si="341"/>
        <v>-1.5641543289466315</v>
      </c>
      <c r="Z535" s="31" t="str">
        <f t="shared" si="330"/>
        <v>-874.104649579824+916.649215523316i</v>
      </c>
      <c r="AA535" s="17">
        <f t="shared" si="342"/>
        <v>1266.6115121601324</v>
      </c>
      <c r="AB535" s="17">
        <f t="shared" si="343"/>
        <v>2.332441050431914</v>
      </c>
      <c r="AC535" s="66" t="str">
        <f t="shared" si="344"/>
        <v>0.00865591070270835+0.0110978567735101i</v>
      </c>
      <c r="AD535" s="64">
        <f t="shared" si="345"/>
        <v>-37.031435537834007</v>
      </c>
      <c r="AE535" s="61">
        <f t="shared" si="346"/>
        <v>52.047109535060741</v>
      </c>
      <c r="AF535" s="31" t="str">
        <f t="shared" si="331"/>
        <v>-10.0808080808081</v>
      </c>
      <c r="AG535" s="31" t="str">
        <f t="shared" si="347"/>
        <v>9293512.09226457i</v>
      </c>
      <c r="AH535" s="31">
        <f t="shared" si="348"/>
        <v>9293512.0922645703</v>
      </c>
      <c r="AI535" s="31">
        <f t="shared" si="349"/>
        <v>1.5707963267948966</v>
      </c>
      <c r="AJ535" s="31" t="str">
        <f t="shared" si="332"/>
        <v>-1652078.05617091+12478.7425462313i</v>
      </c>
      <c r="AK535" s="31">
        <f t="shared" si="350"/>
        <v>1652125.1837245831</v>
      </c>
      <c r="AL535" s="31">
        <f t="shared" si="351"/>
        <v>3.1340394358770678</v>
      </c>
      <c r="AM535" s="31" t="str">
        <f t="shared" si="333"/>
        <v>1+9211372.31498833i</v>
      </c>
      <c r="AN535" s="31">
        <f t="shared" si="352"/>
        <v>9211372.314988384</v>
      </c>
      <c r="AO535" s="31">
        <f t="shared" si="353"/>
        <v>1.5707962182334396</v>
      </c>
      <c r="AP535" s="31" t="str">
        <f t="shared" si="334"/>
        <v>1+10795.3436463745i</v>
      </c>
      <c r="AQ535" s="31">
        <f t="shared" si="354"/>
        <v>10795.343692690763</v>
      </c>
      <c r="AR535" s="31">
        <f t="shared" si="355"/>
        <v>1.5707036942646226</v>
      </c>
      <c r="AS535" s="58" t="str">
        <f t="shared" si="356"/>
        <v>-0.000487075048085433+0.0652861789050782i</v>
      </c>
      <c r="AT535" s="49">
        <f t="shared" si="357"/>
        <v>-23.703333259213256</v>
      </c>
      <c r="AU535" s="61">
        <f t="shared" si="358"/>
        <v>90.427453823538997</v>
      </c>
      <c r="AV535" s="58" t="str">
        <f t="shared" si="335"/>
        <v>-0.000728752740900059+0.000559705845601796i</v>
      </c>
      <c r="AW535" s="64">
        <f t="shared" si="359"/>
        <v>-60.734768797047266</v>
      </c>
      <c r="AX535" s="61">
        <f t="shared" si="360"/>
        <v>142.47456335859971</v>
      </c>
    </row>
    <row r="536" spans="14:50" x14ac:dyDescent="0.4">
      <c r="N536" s="10">
        <v>18</v>
      </c>
      <c r="O536" s="50">
        <f t="shared" si="325"/>
        <v>1513561.2484362102</v>
      </c>
      <c r="P536" s="48" t="str">
        <f t="shared" si="326"/>
        <v>5120.19230769231</v>
      </c>
      <c r="Q536" s="17" t="str">
        <f t="shared" si="327"/>
        <v>1+44440.8951699781i</v>
      </c>
      <c r="R536" s="17">
        <f t="shared" si="336"/>
        <v>44440.895181229003</v>
      </c>
      <c r="S536" s="17">
        <f t="shared" si="337"/>
        <v>1.5707738249979366</v>
      </c>
      <c r="T536" s="17" t="str">
        <f t="shared" si="328"/>
        <v>1+0.0950047581189311i</v>
      </c>
      <c r="U536" s="17">
        <f t="shared" si="338"/>
        <v>1.0045028143640198</v>
      </c>
      <c r="V536" s="17">
        <f t="shared" si="339"/>
        <v>9.4720461547356416E-2</v>
      </c>
      <c r="W536" s="31" t="str">
        <f t="shared" si="329"/>
        <v>1-154.061769922591i</v>
      </c>
      <c r="X536" s="17">
        <f t="shared" si="340"/>
        <v>154.06501533989268</v>
      </c>
      <c r="Y536" s="17">
        <f t="shared" si="341"/>
        <v>-1.5643055149801486</v>
      </c>
      <c r="Z536" s="31" t="str">
        <f t="shared" si="330"/>
        <v>-915.347061107114+938.000718624661i</v>
      </c>
      <c r="AA536" s="17">
        <f t="shared" si="342"/>
        <v>1310.6126774977461</v>
      </c>
      <c r="AB536" s="17">
        <f t="shared" si="343"/>
        <v>2.3439719976399425</v>
      </c>
      <c r="AC536" s="66" t="str">
        <f t="shared" si="344"/>
        <v>0.00846892875519294+0.010647118253246i</v>
      </c>
      <c r="AD536" s="64">
        <f t="shared" si="345"/>
        <v>-37.326314015690443</v>
      </c>
      <c r="AE536" s="61">
        <f t="shared" si="346"/>
        <v>51.500565299173346</v>
      </c>
      <c r="AF536" s="31" t="str">
        <f t="shared" si="331"/>
        <v>-10.0808080808081</v>
      </c>
      <c r="AG536" s="31" t="str">
        <f t="shared" si="347"/>
        <v>9509985.79769079i</v>
      </c>
      <c r="AH536" s="31">
        <f t="shared" si="348"/>
        <v>9509985.7976907901</v>
      </c>
      <c r="AI536" s="31">
        <f t="shared" si="349"/>
        <v>1.5707963267948966</v>
      </c>
      <c r="AJ536" s="31" t="str">
        <f t="shared" si="332"/>
        <v>-1729938.14335355+12769.4098000341i</v>
      </c>
      <c r="AK536" s="31">
        <f t="shared" si="350"/>
        <v>1729985.2709361918</v>
      </c>
      <c r="AL536" s="31">
        <f t="shared" si="351"/>
        <v>3.134211361986381</v>
      </c>
      <c r="AM536" s="31" t="str">
        <f t="shared" si="333"/>
        <v>1+9425932.73921651i</v>
      </c>
      <c r="AN536" s="31">
        <f t="shared" si="352"/>
        <v>9425932.7392165642</v>
      </c>
      <c r="AO536" s="31">
        <f t="shared" si="353"/>
        <v>1.5707962207046</v>
      </c>
      <c r="AP536" s="31" t="str">
        <f t="shared" si="334"/>
        <v>1+11046.7995025976i</v>
      </c>
      <c r="AQ536" s="31">
        <f t="shared" si="354"/>
        <v>11046.799547859579</v>
      </c>
      <c r="AR536" s="31">
        <f t="shared" si="355"/>
        <v>1.57070580283843</v>
      </c>
      <c r="AS536" s="58" t="str">
        <f t="shared" si="356"/>
        <v>-0.000465154228621654+0.0638002441088508i</v>
      </c>
      <c r="AT536" s="49">
        <f t="shared" si="357"/>
        <v>-23.903322346227654</v>
      </c>
      <c r="AU536" s="61">
        <f t="shared" si="358"/>
        <v>90.417724137054265</v>
      </c>
      <c r="AV536" s="58" t="str">
        <f t="shared" si="335"/>
        <v>-0.000683228101635269+0.000535367169843643i</v>
      </c>
      <c r="AW536" s="64">
        <f t="shared" si="359"/>
        <v>-61.229636361918111</v>
      </c>
      <c r="AX536" s="61">
        <f t="shared" si="360"/>
        <v>141.91828943622761</v>
      </c>
    </row>
    <row r="537" spans="14:50" x14ac:dyDescent="0.4">
      <c r="N537" s="10">
        <v>19</v>
      </c>
      <c r="O537" s="50">
        <f t="shared" si="325"/>
        <v>1548816.6189124861</v>
      </c>
      <c r="P537" s="48" t="str">
        <f t="shared" si="326"/>
        <v>5120.19230769231</v>
      </c>
      <c r="Q537" s="17" t="str">
        <f t="shared" si="327"/>
        <v>1+45476.0565981223i</v>
      </c>
      <c r="R537" s="17">
        <f t="shared" si="336"/>
        <v>45476.056609117091</v>
      </c>
      <c r="S537" s="17">
        <f t="shared" si="337"/>
        <v>1.5707743372013689</v>
      </c>
      <c r="T537" s="17" t="str">
        <f t="shared" si="328"/>
        <v>1+0.0972177032164304i</v>
      </c>
      <c r="U537" s="17">
        <f t="shared" si="338"/>
        <v>1.0047145275244496</v>
      </c>
      <c r="V537" s="17">
        <f t="shared" si="339"/>
        <v>9.69131511010283E-2</v>
      </c>
      <c r="W537" s="31" t="str">
        <f t="shared" si="329"/>
        <v>1-157.650329540157i</v>
      </c>
      <c r="X537" s="17">
        <f t="shared" si="340"/>
        <v>157.65350108424516</v>
      </c>
      <c r="Y537" s="17">
        <f t="shared" si="341"/>
        <v>-1.5644532598861145</v>
      </c>
      <c r="Z537" s="31" t="str">
        <f t="shared" si="330"/>
        <v>-958.533167607804+959.849562122929i</v>
      </c>
      <c r="AA537" s="17">
        <f t="shared" si="342"/>
        <v>1356.5017564720767</v>
      </c>
      <c r="AB537" s="17">
        <f t="shared" si="343"/>
        <v>2.355508290150973</v>
      </c>
      <c r="AC537" s="66" t="str">
        <f t="shared" si="344"/>
        <v>0.00828144279977644+0.0102109502616167i</v>
      </c>
      <c r="AD537" s="64">
        <f t="shared" si="345"/>
        <v>-37.62341168735896</v>
      </c>
      <c r="AE537" s="61">
        <f t="shared" si="346"/>
        <v>50.956721777619492</v>
      </c>
      <c r="AF537" s="31" t="str">
        <f t="shared" si="331"/>
        <v>-10.0808080808081</v>
      </c>
      <c r="AG537" s="31" t="str">
        <f t="shared" si="347"/>
        <v>9731501.8234665i</v>
      </c>
      <c r="AH537" s="31">
        <f t="shared" si="348"/>
        <v>9731501.8234665003</v>
      </c>
      <c r="AI537" s="31">
        <f t="shared" si="349"/>
        <v>1.5707963267948966</v>
      </c>
      <c r="AJ537" s="31" t="str">
        <f t="shared" si="332"/>
        <v>-1811467.66339623+13066.8475639361i</v>
      </c>
      <c r="AK537" s="31">
        <f t="shared" si="350"/>
        <v>1811514.7910065367</v>
      </c>
      <c r="AL537" s="31">
        <f t="shared" si="351"/>
        <v>3.1343793749878928</v>
      </c>
      <c r="AM537" s="31" t="str">
        <f t="shared" si="333"/>
        <v>1+9645490.91775001i</v>
      </c>
      <c r="AN537" s="31">
        <f t="shared" si="352"/>
        <v>9645490.9177500624</v>
      </c>
      <c r="AO537" s="31">
        <f t="shared" si="353"/>
        <v>1.5707962231195101</v>
      </c>
      <c r="AP537" s="31" t="str">
        <f t="shared" si="334"/>
        <v>1+11304.1125181387i</v>
      </c>
      <c r="AQ537" s="31">
        <f t="shared" si="354"/>
        <v>11304.112562370388</v>
      </c>
      <c r="AR537" s="31">
        <f t="shared" si="355"/>
        <v>1.5707078634152385</v>
      </c>
      <c r="AS537" s="58" t="str">
        <f t="shared" si="356"/>
        <v>-0.000444219905712099+0.0623481226348916i</v>
      </c>
      <c r="AT537" s="49">
        <f t="shared" si="357"/>
        <v>-24.103311924381778</v>
      </c>
      <c r="AU537" s="61">
        <f t="shared" si="358"/>
        <v>90.408215901882954</v>
      </c>
      <c r="AV537" s="58" t="str">
        <f t="shared" si="335"/>
        <v>-0.000640312360869733+0.000511796503911855i</v>
      </c>
      <c r="AW537" s="64">
        <f t="shared" si="359"/>
        <v>-61.726723611740738</v>
      </c>
      <c r="AX537" s="61">
        <f t="shared" si="360"/>
        <v>141.36493767950242</v>
      </c>
    </row>
    <row r="538" spans="14:50" x14ac:dyDescent="0.4">
      <c r="N538" s="10">
        <v>20</v>
      </c>
      <c r="O538" s="50">
        <f t="shared" si="325"/>
        <v>1584893.1924611153</v>
      </c>
      <c r="P538" s="48" t="str">
        <f t="shared" si="326"/>
        <v>5120.19230769231</v>
      </c>
      <c r="Q538" s="17" t="str">
        <f t="shared" si="327"/>
        <v>1+46535.3300334214i</v>
      </c>
      <c r="R538" s="17">
        <f t="shared" si="336"/>
        <v>46535.330044165923</v>
      </c>
      <c r="S538" s="17">
        <f t="shared" si="337"/>
        <v>1.5707748377456274</v>
      </c>
      <c r="T538" s="17" t="str">
        <f t="shared" si="328"/>
        <v>1+0.0994821944270032i</v>
      </c>
      <c r="U538" s="17">
        <f t="shared" si="338"/>
        <v>1.0049361706138416</v>
      </c>
      <c r="V538" s="17">
        <f t="shared" si="339"/>
        <v>9.9155947465639743E-2</v>
      </c>
      <c r="W538" s="31" t="str">
        <f t="shared" si="329"/>
        <v>1-161.322477449194i</v>
      </c>
      <c r="X538" s="17">
        <f t="shared" si="340"/>
        <v>161.32557680152797</v>
      </c>
      <c r="Y538" s="17">
        <f t="shared" si="341"/>
        <v>-1.5645976419750192</v>
      </c>
      <c r="Z538" s="31" t="str">
        <f t="shared" si="330"/>
        <v>-1003.75457260384+982.207330564141i</v>
      </c>
      <c r="AA538" s="17">
        <f t="shared" si="342"/>
        <v>1404.3697811605934</v>
      </c>
      <c r="AB538" s="17">
        <f t="shared" si="343"/>
        <v>2.3670438406094902</v>
      </c>
      <c r="AC538" s="66" t="str">
        <f t="shared" si="344"/>
        <v>0.00809367205282284+0.00978912823916903i</v>
      </c>
      <c r="AD538" s="64">
        <f t="shared" si="345"/>
        <v>-37.922725937556308</v>
      </c>
      <c r="AE538" s="61">
        <f t="shared" si="346"/>
        <v>50.415985024580749</v>
      </c>
      <c r="AF538" s="31" t="str">
        <f t="shared" si="331"/>
        <v>-10.0808080808081</v>
      </c>
      <c r="AG538" s="31" t="str">
        <f t="shared" si="347"/>
        <v>9958177.62032063i</v>
      </c>
      <c r="AH538" s="31">
        <f t="shared" si="348"/>
        <v>9958177.6203206293</v>
      </c>
      <c r="AI538" s="31">
        <f t="shared" si="349"/>
        <v>1.5707963267948966</v>
      </c>
      <c r="AJ538" s="31" t="str">
        <f t="shared" si="332"/>
        <v>-1896839.55134178+13371.2135433767i</v>
      </c>
      <c r="AK538" s="31">
        <f t="shared" si="350"/>
        <v>1896886.6789785067</v>
      </c>
      <c r="AL538" s="31">
        <f t="shared" si="351"/>
        <v>3.1345435639275649</v>
      </c>
      <c r="AM538" s="31" t="str">
        <f t="shared" si="333"/>
        <v>1+9870163.26324122i</v>
      </c>
      <c r="AN538" s="31">
        <f t="shared" si="352"/>
        <v>9870163.2632412706</v>
      </c>
      <c r="AO538" s="31">
        <f t="shared" si="353"/>
        <v>1.5707962254794499</v>
      </c>
      <c r="AP538" s="31" t="str">
        <f t="shared" si="334"/>
        <v>1+11567.4191237644i</v>
      </c>
      <c r="AQ538" s="31">
        <f t="shared" si="354"/>
        <v>11567.419166989255</v>
      </c>
      <c r="AR538" s="31">
        <f t="shared" si="355"/>
        <v>1.5707098770875929</v>
      </c>
      <c r="AS538" s="58" t="str">
        <f t="shared" si="356"/>
        <v>-0.000424227688746296+0.0609290455109938i</v>
      </c>
      <c r="AT538" s="49">
        <f t="shared" si="357"/>
        <v>-24.303301971572836</v>
      </c>
      <c r="AU538" s="61">
        <f t="shared" si="358"/>
        <v>90.398924078738844</v>
      </c>
      <c r="AV538" s="58" t="str">
        <f t="shared" si="335"/>
        <v>-0.000599875799785724+0.000488986893609758i</v>
      </c>
      <c r="AW538" s="64">
        <f t="shared" si="359"/>
        <v>-62.226027909129144</v>
      </c>
      <c r="AX538" s="61">
        <f t="shared" si="360"/>
        <v>140.81490910331956</v>
      </c>
    </row>
    <row r="539" spans="14:50" x14ac:dyDescent="0.4">
      <c r="N539" s="10">
        <v>21</v>
      </c>
      <c r="O539" s="50">
        <f t="shared" si="325"/>
        <v>1621810.0973589318</v>
      </c>
      <c r="P539" s="48" t="str">
        <f t="shared" si="326"/>
        <v>5120.19230769231</v>
      </c>
      <c r="Q539" s="17" t="str">
        <f t="shared" si="327"/>
        <v>1+47619.2771166721i</v>
      </c>
      <c r="R539" s="17">
        <f t="shared" si="336"/>
        <v>47619.277127172048</v>
      </c>
      <c r="S539" s="17">
        <f t="shared" si="337"/>
        <v>1.5707753268961078</v>
      </c>
      <c r="T539" s="17" t="str">
        <f t="shared" si="328"/>
        <v>1+0.101799432413864i</v>
      </c>
      <c r="U539" s="17">
        <f t="shared" si="338"/>
        <v>1.0051682070378991</v>
      </c>
      <c r="V539" s="17">
        <f t="shared" si="339"/>
        <v>0.10144994949937486</v>
      </c>
      <c r="W539" s="31" t="str">
        <f t="shared" si="329"/>
        <v>1-165.08016067113i</v>
      </c>
      <c r="X539" s="17">
        <f t="shared" si="340"/>
        <v>165.0831894749011</v>
      </c>
      <c r="Y539" s="17">
        <f t="shared" si="341"/>
        <v>-1.5647387377760644</v>
      </c>
      <c r="Z539" s="31" t="str">
        <f t="shared" si="330"/>
        <v>-1051.10719675815+1005.08587833307i</v>
      </c>
      <c r="AA539" s="17">
        <f t="shared" si="342"/>
        <v>1454.312195472944</v>
      </c>
      <c r="AB539" s="17">
        <f t="shared" si="343"/>
        <v>2.3785725618676161</v>
      </c>
      <c r="AC539" s="66" t="str">
        <f t="shared" si="344"/>
        <v>0.00790583508611681+0.00938142103393487i</v>
      </c>
      <c r="AD539" s="64">
        <f t="shared" si="345"/>
        <v>-38.224251539215246</v>
      </c>
      <c r="AE539" s="61">
        <f t="shared" si="346"/>
        <v>49.878762367869889</v>
      </c>
      <c r="AF539" s="31" t="str">
        <f t="shared" si="331"/>
        <v>-10.0808080808081</v>
      </c>
      <c r="AG539" s="31" t="str">
        <f t="shared" si="347"/>
        <v>10190133.3747611i</v>
      </c>
      <c r="AH539" s="31">
        <f t="shared" si="348"/>
        <v>10190133.374761101</v>
      </c>
      <c r="AI539" s="31">
        <f t="shared" si="349"/>
        <v>1.5707963267948966</v>
      </c>
      <c r="AJ539" s="31" t="str">
        <f t="shared" si="332"/>
        <v>-1986234.89241058+13682.6691172268i</v>
      </c>
      <c r="AK539" s="31">
        <f t="shared" si="350"/>
        <v>1986282.0200725377</v>
      </c>
      <c r="AL539" s="31">
        <f t="shared" si="351"/>
        <v>3.1347040158262449</v>
      </c>
      <c r="AM539" s="31" t="str">
        <f t="shared" si="333"/>
        <v>1+10100068.8999416i</v>
      </c>
      <c r="AN539" s="31">
        <f t="shared" si="352"/>
        <v>10100068.899941649</v>
      </c>
      <c r="AO539" s="31">
        <f t="shared" si="353"/>
        <v>1.5707962277856711</v>
      </c>
      <c r="AP539" s="31" t="str">
        <f t="shared" si="334"/>
        <v>1+11836.8589281225i</v>
      </c>
      <c r="AQ539" s="31">
        <f t="shared" si="354"/>
        <v>11836.858970363433</v>
      </c>
      <c r="AR539" s="31">
        <f t="shared" si="355"/>
        <v>1.5707118449231692</v>
      </c>
      <c r="AS539" s="58" t="str">
        <f t="shared" si="356"/>
        <v>-0.000405135184224253+0.0595422612213147i</v>
      </c>
      <c r="AT539" s="49">
        <f t="shared" si="357"/>
        <v>-24.50329246669277</v>
      </c>
      <c r="AU539" s="61">
        <f t="shared" si="358"/>
        <v>90.389843742939632</v>
      </c>
      <c r="AV539" s="58" t="str">
        <f t="shared" si="335"/>
        <v>-0.000561793953783747+0.000466930554131334i</v>
      </c>
      <c r="AW539" s="64">
        <f t="shared" si="359"/>
        <v>-62.727544005908001</v>
      </c>
      <c r="AX539" s="61">
        <f t="shared" si="360"/>
        <v>140.26860611080951</v>
      </c>
    </row>
    <row r="540" spans="14:50" x14ac:dyDescent="0.4">
      <c r="N540" s="10">
        <v>22</v>
      </c>
      <c r="O540" s="50">
        <f t="shared" si="325"/>
        <v>1659586.9074375622</v>
      </c>
      <c r="P540" s="48" t="str">
        <f t="shared" si="326"/>
        <v>5120.19230769231</v>
      </c>
      <c r="Q540" s="17" t="str">
        <f t="shared" si="327"/>
        <v>1+48728.472570966i</v>
      </c>
      <c r="R540" s="17">
        <f t="shared" si="336"/>
        <v>48728.472581226939</v>
      </c>
      <c r="S540" s="17">
        <f t="shared" si="337"/>
        <v>1.5707758049121636</v>
      </c>
      <c r="T540" s="17" t="str">
        <f t="shared" si="328"/>
        <v>1+0.104170645807265i</v>
      </c>
      <c r="U540" s="17">
        <f t="shared" si="338"/>
        <v>1.0054111216054369</v>
      </c>
      <c r="V540" s="17">
        <f t="shared" si="339"/>
        <v>0.10379627688305366</v>
      </c>
      <c r="W540" s="31" t="str">
        <f t="shared" si="329"/>
        <v>1-168.925371579349i</v>
      </c>
      <c r="X540" s="17">
        <f t="shared" si="340"/>
        <v>168.92833144035112</v>
      </c>
      <c r="Y540" s="17">
        <f t="shared" si="341"/>
        <v>-1.5648766220776273</v>
      </c>
      <c r="Z540" s="31" t="str">
        <f t="shared" si="330"/>
        <v>-1100.69148133527+1028.49733593858i</v>
      </c>
      <c r="AA540" s="17">
        <f t="shared" si="342"/>
        <v>1506.4290581095372</v>
      </c>
      <c r="AB540" s="17">
        <f t="shared" si="343"/>
        <v>2.3900883831368018</v>
      </c>
      <c r="AC540" s="66" t="str">
        <f t="shared" si="344"/>
        <v>0.00771814898492314+0.00898759082294209i</v>
      </c>
      <c r="AD540" s="64">
        <f t="shared" si="345"/>
        <v>-38.527980651586105</v>
      </c>
      <c r="AE540" s="61">
        <f t="shared" si="346"/>
        <v>49.34546149111609</v>
      </c>
      <c r="AF540" s="31" t="str">
        <f t="shared" si="331"/>
        <v>-10.0808080808081</v>
      </c>
      <c r="AG540" s="31" t="str">
        <f t="shared" si="347"/>
        <v>10427492.0727993i</v>
      </c>
      <c r="AH540" s="31">
        <f t="shared" si="348"/>
        <v>10427492.072799301</v>
      </c>
      <c r="AI540" s="31">
        <f t="shared" si="349"/>
        <v>1.5707963267948966</v>
      </c>
      <c r="AJ540" s="31" t="str">
        <f t="shared" si="332"/>
        <v>-2079843.30610648+14001.3794233546i</v>
      </c>
      <c r="AK540" s="31">
        <f t="shared" si="350"/>
        <v>2079890.4337925327</v>
      </c>
      <c r="AL540" s="31">
        <f t="shared" si="351"/>
        <v>3.1348608157256397</v>
      </c>
      <c r="AM540" s="31" t="str">
        <f t="shared" si="333"/>
        <v>1+10335329.7268631i</v>
      </c>
      <c r="AN540" s="31">
        <f t="shared" si="352"/>
        <v>10335329.726863148</v>
      </c>
      <c r="AO540" s="31">
        <f t="shared" si="353"/>
        <v>1.5707962300393963</v>
      </c>
      <c r="AP540" s="31" t="str">
        <f t="shared" si="334"/>
        <v>1+12112.5747917637i</v>
      </c>
      <c r="AQ540" s="31">
        <f t="shared" si="354"/>
        <v>12112.574833043114</v>
      </c>
      <c r="AR540" s="31">
        <f t="shared" si="355"/>
        <v>1.5707137679653398</v>
      </c>
      <c r="AS540" s="58" t="str">
        <f t="shared" si="356"/>
        <v>-0.000386901905941783+0.0581870353121962i</v>
      </c>
      <c r="AT540" s="49">
        <f t="shared" si="357"/>
        <v>-24.703283389583326</v>
      </c>
      <c r="AU540" s="61">
        <f t="shared" si="358"/>
        <v>90.380970081805373</v>
      </c>
      <c r="AV540" s="58" t="str">
        <f t="shared" si="335"/>
        <v>-0.000525947431138711+0.000445618891511293i</v>
      </c>
      <c r="AW540" s="64">
        <f t="shared" si="359"/>
        <v>-63.231264041169425</v>
      </c>
      <c r="AX540" s="61">
        <f t="shared" si="360"/>
        <v>139.72643157292143</v>
      </c>
    </row>
    <row r="541" spans="14:50" x14ac:dyDescent="0.4">
      <c r="N541" s="10">
        <v>23</v>
      </c>
      <c r="O541" s="50">
        <f t="shared" si="325"/>
        <v>1698243.6524617488</v>
      </c>
      <c r="P541" s="48" t="str">
        <f t="shared" si="326"/>
        <v>5120.19230769231</v>
      </c>
      <c r="Q541" s="17" t="str">
        <f t="shared" si="327"/>
        <v>1+49863.5045064147i</v>
      </c>
      <c r="R541" s="17">
        <f t="shared" si="336"/>
        <v>49863.504516442074</v>
      </c>
      <c r="S541" s="17">
        <f t="shared" si="337"/>
        <v>1.5707762720472458</v>
      </c>
      <c r="T541" s="17" t="str">
        <f t="shared" si="328"/>
        <v>1+0.106597091855936i</v>
      </c>
      <c r="U541" s="17">
        <f t="shared" si="338"/>
        <v>1.0056654214957095</v>
      </c>
      <c r="V541" s="17">
        <f t="shared" si="339"/>
        <v>0.10619607027700208</v>
      </c>
      <c r="W541" s="31" t="str">
        <f t="shared" si="329"/>
        <v>1-172.860148955571i</v>
      </c>
      <c r="X541" s="17">
        <f t="shared" si="340"/>
        <v>172.86304144305166</v>
      </c>
      <c r="Y541" s="17">
        <f t="shared" si="341"/>
        <v>-1.5650113679668061</v>
      </c>
      <c r="Z541" s="31" t="str">
        <f t="shared" si="330"/>
        <v>-1152.61260125066+1052.45411644538i</v>
      </c>
      <c r="AA541" s="17">
        <f t="shared" si="342"/>
        <v>1560.8252547241277</v>
      </c>
      <c r="AB541" s="17">
        <f t="shared" si="343"/>
        <v>2.401585266031951</v>
      </c>
      <c r="AC541" s="66" t="str">
        <f t="shared" si="344"/>
        <v>0.00753082851284871+0.00860739311230064i</v>
      </c>
      <c r="AD541" s="64">
        <f t="shared" si="345"/>
        <v>-38.833902828330707</v>
      </c>
      <c r="AE541" s="61">
        <f t="shared" si="346"/>
        <v>48.816489521219161</v>
      </c>
      <c r="AF541" s="31" t="str">
        <f t="shared" si="331"/>
        <v>-10.0808080808081</v>
      </c>
      <c r="AG541" s="31" t="str">
        <f t="shared" si="347"/>
        <v>10670379.5651587i</v>
      </c>
      <c r="AH541" s="31">
        <f t="shared" si="348"/>
        <v>10670379.565158701</v>
      </c>
      <c r="AI541" s="31">
        <f t="shared" si="349"/>
        <v>1.5707963267948966</v>
      </c>
      <c r="AJ541" s="31" t="str">
        <f t="shared" si="332"/>
        <v>-2177863.34842523+14327.5134461827i</v>
      </c>
      <c r="AK541" s="31">
        <f t="shared" si="350"/>
        <v>2177910.4761342937</v>
      </c>
      <c r="AL541" s="31">
        <f t="shared" si="351"/>
        <v>3.1350140467332559</v>
      </c>
      <c r="AM541" s="31" t="str">
        <f t="shared" si="333"/>
        <v>1+10576070.48241i</v>
      </c>
      <c r="AN541" s="31">
        <f t="shared" si="352"/>
        <v>10576070.482410047</v>
      </c>
      <c r="AO541" s="31">
        <f t="shared" si="353"/>
        <v>1.5707962322418203</v>
      </c>
      <c r="AP541" s="31" t="str">
        <f t="shared" si="334"/>
        <v>1+12394.7129028884i</v>
      </c>
      <c r="AQ541" s="31">
        <f t="shared" si="354"/>
        <v>12394.712943228178</v>
      </c>
      <c r="AR541" s="31">
        <f t="shared" si="355"/>
        <v>1.5707156472337269</v>
      </c>
      <c r="AS541" s="58" t="str">
        <f t="shared" si="356"/>
        <v>-0.000369489189211861+0.0568626500067439i</v>
      </c>
      <c r="AT541" s="49">
        <f t="shared" si="357"/>
        <v>-24.903274720993526</v>
      </c>
      <c r="AU541" s="61">
        <f t="shared" si="358"/>
        <v>90.372298392115212</v>
      </c>
      <c r="AV541" s="58" t="str">
        <f t="shared" si="335"/>
        <v>-0.000492221741736515+0.000425042527284632i</v>
      </c>
      <c r="AW541" s="64">
        <f t="shared" si="359"/>
        <v>-63.73717754932423</v>
      </c>
      <c r="AX541" s="61">
        <f t="shared" si="360"/>
        <v>139.18878791333435</v>
      </c>
    </row>
    <row r="542" spans="14:50" x14ac:dyDescent="0.4">
      <c r="N542" s="10">
        <v>24</v>
      </c>
      <c r="O542" s="50">
        <f t="shared" si="325"/>
        <v>1737800.8287493798</v>
      </c>
      <c r="P542" s="48" t="str">
        <f t="shared" si="326"/>
        <v>5120.19230769231</v>
      </c>
      <c r="Q542" s="17" t="str">
        <f t="shared" si="327"/>
        <v>1+51024.9747319737i</v>
      </c>
      <c r="R542" s="17">
        <f t="shared" si="336"/>
        <v>51024.974741772814</v>
      </c>
      <c r="S542" s="17">
        <f t="shared" si="337"/>
        <v>1.5707767285490351</v>
      </c>
      <c r="T542" s="17" t="str">
        <f t="shared" si="328"/>
        <v>1+0.109080057093686i</v>
      </c>
      <c r="U542" s="17">
        <f t="shared" si="338"/>
        <v>1.0059316372674445</v>
      </c>
      <c r="V542" s="17">
        <f t="shared" si="339"/>
        <v>0.10865049145966515</v>
      </c>
      <c r="W542" s="31" t="str">
        <f t="shared" si="329"/>
        <v>1-176.886579070842i</v>
      </c>
      <c r="X542" s="17">
        <f t="shared" si="340"/>
        <v>176.88940571833362</v>
      </c>
      <c r="Y542" s="17">
        <f t="shared" si="341"/>
        <v>-1.5651430468680714</v>
      </c>
      <c r="Z542" s="31" t="str">
        <f t="shared" si="330"/>
        <v>-1206.98068816081+1076.96892205558i</v>
      </c>
      <c r="AA542" s="17">
        <f t="shared" si="342"/>
        <v>1617.6107197551271</v>
      </c>
      <c r="AB542" s="17">
        <f t="shared" si="343"/>
        <v>2.4130572204052498</v>
      </c>
      <c r="AC542" s="66" t="str">
        <f t="shared" si="344"/>
        <v>0.00734408529125213+0.0082405768144083i</v>
      </c>
      <c r="AD542" s="64">
        <f t="shared" si="345"/>
        <v>-39.142005035459299</v>
      </c>
      <c r="AE542" s="61">
        <f t="shared" si="346"/>
        <v>48.292252126857377</v>
      </c>
      <c r="AF542" s="31" t="str">
        <f t="shared" si="331"/>
        <v>-10.0808080808081</v>
      </c>
      <c r="AG542" s="31" t="str">
        <f t="shared" si="347"/>
        <v>10918924.6340026i</v>
      </c>
      <c r="AH542" s="31">
        <f t="shared" si="348"/>
        <v>10918924.6340026</v>
      </c>
      <c r="AI542" s="31">
        <f t="shared" si="349"/>
        <v>1.5707963267948966</v>
      </c>
      <c r="AJ542" s="31" t="str">
        <f t="shared" si="332"/>
        <v>-2280502.93301832+14661.2441062871i</v>
      </c>
      <c r="AK542" s="31">
        <f t="shared" si="350"/>
        <v>2280550.0607493585</v>
      </c>
      <c r="AL542" s="31">
        <f t="shared" si="351"/>
        <v>3.1351637900663181</v>
      </c>
      <c r="AM542" s="31" t="str">
        <f t="shared" si="333"/>
        <v>1+10822418.8105175i</v>
      </c>
      <c r="AN542" s="31">
        <f t="shared" si="352"/>
        <v>10822418.810517546</v>
      </c>
      <c r="AO542" s="31">
        <f t="shared" si="353"/>
        <v>1.5707962343941111</v>
      </c>
      <c r="AP542" s="31" t="str">
        <f t="shared" si="334"/>
        <v>1+12683.4228548574i</v>
      </c>
      <c r="AQ542" s="31">
        <f t="shared" si="354"/>
        <v>12683.422894278934</v>
      </c>
      <c r="AR542" s="31">
        <f t="shared" si="355"/>
        <v>1.5707174837247435</v>
      </c>
      <c r="AS542" s="58" t="str">
        <f t="shared" si="356"/>
        <v>-0.000352860108941178+0.0555684038279866i</v>
      </c>
      <c r="AT542" s="49">
        <f t="shared" si="357"/>
        <v>-25.103266442538256</v>
      </c>
      <c r="AU542" s="61">
        <f t="shared" si="358"/>
        <v>90.363824077622041</v>
      </c>
      <c r="AV542" s="58" t="str">
        <f t="shared" si="335"/>
        <v>-0.000460507134934528+0.000405191326379005i</v>
      </c>
      <c r="AW542" s="64">
        <f t="shared" si="359"/>
        <v>-64.245271477997562</v>
      </c>
      <c r="AX542" s="61">
        <f t="shared" si="360"/>
        <v>138.65607620447938</v>
      </c>
    </row>
    <row r="543" spans="14:50" x14ac:dyDescent="0.4">
      <c r="N543" s="10">
        <v>25</v>
      </c>
      <c r="O543" s="50">
        <f t="shared" si="325"/>
        <v>1778279.4100389241</v>
      </c>
      <c r="P543" s="48" t="str">
        <f t="shared" si="326"/>
        <v>5120.19230769231</v>
      </c>
      <c r="Q543" s="17" t="str">
        <f t="shared" si="327"/>
        <v>1+52213.499074531i</v>
      </c>
      <c r="R543" s="17">
        <f t="shared" si="336"/>
        <v>52213.499084107068</v>
      </c>
      <c r="S543" s="17">
        <f t="shared" si="337"/>
        <v>1.5707771746595753</v>
      </c>
      <c r="T543" s="17" t="str">
        <f t="shared" si="328"/>
        <v>1+0.111620858021553i</v>
      </c>
      <c r="U543" s="17">
        <f t="shared" si="338"/>
        <v>1.0062103239111928</v>
      </c>
      <c r="V543" s="17">
        <f t="shared" si="339"/>
        <v>0.11116072344618931</v>
      </c>
      <c r="W543" s="31" t="str">
        <f t="shared" si="329"/>
        <v>1-181.006796791707i</v>
      </c>
      <c r="X543" s="17">
        <f t="shared" si="340"/>
        <v>181.00955909783966</v>
      </c>
      <c r="Y543" s="17">
        <f t="shared" si="341"/>
        <v>-1.5652717285810431</v>
      </c>
      <c r="Z543" s="31" t="str">
        <f t="shared" si="330"/>
        <v>-1263.91106406735+1102.05475084363i</v>
      </c>
      <c r="AA543" s="17">
        <f t="shared" si="342"/>
        <v>1676.900668414464</v>
      </c>
      <c r="AB543" s="17">
        <f t="shared" si="343"/>
        <v>2.4244983198693237</v>
      </c>
      <c r="AC543" s="66" t="str">
        <f t="shared" si="344"/>
        <v>0.00715812700069955+0.00788688439994368i</v>
      </c>
      <c r="AD543" s="64">
        <f t="shared" si="345"/>
        <v>-39.452271678872023</v>
      </c>
      <c r="AE543" s="61">
        <f t="shared" si="346"/>
        <v>47.773152633698146</v>
      </c>
      <c r="AF543" s="31" t="str">
        <f t="shared" si="331"/>
        <v>-10.0808080808081</v>
      </c>
      <c r="AG543" s="31" t="str">
        <f t="shared" si="347"/>
        <v>11173259.0612165i</v>
      </c>
      <c r="AH543" s="31">
        <f t="shared" si="348"/>
        <v>11173259.0612165</v>
      </c>
      <c r="AI543" s="31">
        <f t="shared" si="349"/>
        <v>1.5707963267948966</v>
      </c>
      <c r="AJ543" s="31" t="str">
        <f t="shared" si="332"/>
        <v>-2387979.77220582+15002.748352081i</v>
      </c>
      <c r="AK543" s="31">
        <f t="shared" si="350"/>
        <v>2388026.899957845</v>
      </c>
      <c r="AL543" s="31">
        <f t="shared" si="351"/>
        <v>3.1353101250947035</v>
      </c>
      <c r="AM543" s="31" t="str">
        <f t="shared" si="333"/>
        <v>1+11074505.3283299i</v>
      </c>
      <c r="AN543" s="31">
        <f t="shared" si="352"/>
        <v>11074505.328329945</v>
      </c>
      <c r="AO543" s="31">
        <f t="shared" si="353"/>
        <v>1.5707962364974097</v>
      </c>
      <c r="AP543" s="31" t="str">
        <f t="shared" si="334"/>
        <v>1+12978.8577255091i</v>
      </c>
      <c r="AQ543" s="31">
        <f t="shared" si="354"/>
        <v>12978.857764033291</v>
      </c>
      <c r="AR543" s="31">
        <f t="shared" si="355"/>
        <v>1.5707192784121213</v>
      </c>
      <c r="AS543" s="58" t="str">
        <f t="shared" si="356"/>
        <v>-0.000336979401388556+0.05430361123042i</v>
      </c>
      <c r="AT543" s="49">
        <f t="shared" si="357"/>
        <v>-25.30325853666017</v>
      </c>
      <c r="AU543" s="61">
        <f t="shared" si="358"/>
        <v>90.355542646623078</v>
      </c>
      <c r="AV543" s="58" t="str">
        <f t="shared" si="335"/>
        <v>-0.000430698445625565+0.000386054428200047i</v>
      </c>
      <c r="AW543" s="64">
        <f t="shared" si="359"/>
        <v>-64.75553021553219</v>
      </c>
      <c r="AX543" s="61">
        <f t="shared" si="360"/>
        <v>138.12869528032124</v>
      </c>
    </row>
    <row r="544" spans="14:50" x14ac:dyDescent="0.4">
      <c r="N544" s="10">
        <v>26</v>
      </c>
      <c r="O544" s="50">
        <f t="shared" si="325"/>
        <v>1819700.8586099846</v>
      </c>
      <c r="P544" s="48" t="str">
        <f t="shared" si="326"/>
        <v>5120.19230769231</v>
      </c>
      <c r="Q544" s="17" t="str">
        <f t="shared" si="327"/>
        <v>1+53429.7077054253i</v>
      </c>
      <c r="R544" s="17">
        <f t="shared" si="336"/>
        <v>53429.707714783392</v>
      </c>
      <c r="S544" s="17">
        <f t="shared" si="337"/>
        <v>1.5707776106153997</v>
      </c>
      <c r="T544" s="17" t="str">
        <f t="shared" si="328"/>
        <v>1+0.11422084180582i</v>
      </c>
      <c r="U544" s="17">
        <f t="shared" si="338"/>
        <v>1.0065020619466361</v>
      </c>
      <c r="V544" s="17">
        <f t="shared" si="339"/>
        <v>0.11372797058500433</v>
      </c>
      <c r="W544" s="31" t="str">
        <f t="shared" si="329"/>
        <v>1-185.222986712141i</v>
      </c>
      <c r="X544" s="17">
        <f t="shared" si="340"/>
        <v>185.22568614143654</v>
      </c>
      <c r="Y544" s="17">
        <f t="shared" si="341"/>
        <v>-1.5653974813174125</v>
      </c>
      <c r="Z544" s="31" t="str">
        <f t="shared" si="330"/>
        <v>-1323.52448593036+1127.724903648i</v>
      </c>
      <c r="AA544" s="17">
        <f t="shared" si="342"/>
        <v>1738.815839347317</v>
      </c>
      <c r="AB544" s="17">
        <f t="shared" si="343"/>
        <v>2.4359027169130574</v>
      </c>
      <c r="AC544" s="66" t="str">
        <f t="shared" si="344"/>
        <v>0.00697315661161365+0.00754605212148076i</v>
      </c>
      <c r="AD544" s="64">
        <f t="shared" si="345"/>
        <v>-39.764684641176927</v>
      </c>
      <c r="AE544" s="61">
        <f t="shared" si="346"/>
        <v>47.2595911617369</v>
      </c>
      <c r="AF544" s="31" t="str">
        <f t="shared" si="331"/>
        <v>-10.0808080808081</v>
      </c>
      <c r="AG544" s="31" t="str">
        <f t="shared" si="347"/>
        <v>11433517.6982803i</v>
      </c>
      <c r="AH544" s="31">
        <f t="shared" si="348"/>
        <v>11433517.698280299</v>
      </c>
      <c r="AI544" s="31">
        <f t="shared" si="349"/>
        <v>1.5707963267948966</v>
      </c>
      <c r="AJ544" s="31" t="str">
        <f t="shared" si="332"/>
        <v>-2500521.83877334+15352.2072536361i</v>
      </c>
      <c r="AK544" s="31">
        <f t="shared" si="350"/>
        <v>2500568.9665454072</v>
      </c>
      <c r="AL544" s="31">
        <f t="shared" si="351"/>
        <v>3.1354531293828951</v>
      </c>
      <c r="AM544" s="31" t="str">
        <f t="shared" si="333"/>
        <v>1+11332463.6954559i</v>
      </c>
      <c r="AN544" s="31">
        <f t="shared" si="352"/>
        <v>11332463.695455944</v>
      </c>
      <c r="AO544" s="31">
        <f t="shared" si="353"/>
        <v>1.5707962385528313</v>
      </c>
      <c r="AP544" s="31" t="str">
        <f t="shared" si="334"/>
        <v>1+13281.1741583224i</v>
      </c>
      <c r="AQ544" s="31">
        <f t="shared" si="354"/>
        <v>13281.174195969672</v>
      </c>
      <c r="AR544" s="31">
        <f t="shared" si="355"/>
        <v>1.5707210322474274</v>
      </c>
      <c r="AS544" s="58" t="str">
        <f t="shared" si="356"/>
        <v>-0.000321813389440335+0.0530676022397756i</v>
      </c>
      <c r="AT544" s="49">
        <f t="shared" si="357"/>
        <v>-25.503250986591723</v>
      </c>
      <c r="AU544" s="61">
        <f t="shared" si="358"/>
        <v>90.347449709585405</v>
      </c>
      <c r="AV544" s="58" t="str">
        <f t="shared" si="335"/>
        <v>-0.000402694947627637+0.000367620280810667i</v>
      </c>
      <c r="AW544" s="64">
        <f t="shared" si="359"/>
        <v>-65.267935627768651</v>
      </c>
      <c r="AX544" s="61">
        <f t="shared" si="360"/>
        <v>137.60704087132231</v>
      </c>
    </row>
    <row r="545" spans="14:50" x14ac:dyDescent="0.4">
      <c r="N545" s="10">
        <v>27</v>
      </c>
      <c r="O545" s="50">
        <f t="shared" si="325"/>
        <v>1862087.1366628683</v>
      </c>
      <c r="P545" s="48" t="str">
        <f t="shared" si="326"/>
        <v>5120.19230769231</v>
      </c>
      <c r="Q545" s="17" t="str">
        <f t="shared" si="327"/>
        <v>1+54674.2454745707i</v>
      </c>
      <c r="R545" s="17">
        <f t="shared" si="336"/>
        <v>54674.245483715778</v>
      </c>
      <c r="S545" s="17">
        <f t="shared" si="337"/>
        <v>1.570778036647658</v>
      </c>
      <c r="T545" s="17" t="str">
        <f t="shared" si="328"/>
        <v>1+0.116881386992304i</v>
      </c>
      <c r="U545" s="17">
        <f t="shared" si="338"/>
        <v>1.0068074585665547</v>
      </c>
      <c r="V545" s="17">
        <f t="shared" si="339"/>
        <v>0.11635345863038971</v>
      </c>
      <c r="W545" s="31" t="str">
        <f t="shared" si="329"/>
        <v>1-189.537384311845i</v>
      </c>
      <c r="X545" s="17">
        <f t="shared" si="340"/>
        <v>189.54002229549309</v>
      </c>
      <c r="Y545" s="17">
        <f t="shared" si="341"/>
        <v>-1.5655203717370267</v>
      </c>
      <c r="Z545" s="31" t="str">
        <f t="shared" si="330"/>
        <v>-1385.94740181012+1153.99299112349i</v>
      </c>
      <c r="AA545" s="17">
        <f t="shared" si="342"/>
        <v>1803.4827485025639</v>
      </c>
      <c r="AB545" s="17">
        <f t="shared" si="343"/>
        <v>2.4472646575182755</v>
      </c>
      <c r="AC545" s="66" t="str">
        <f t="shared" si="344"/>
        <v>0.00678937165080011+0.00721781030477729i</v>
      </c>
      <c r="AD545" s="64">
        <f t="shared" si="345"/>
        <v>-40.079223327380305</v>
      </c>
      <c r="AE545" s="61">
        <f t="shared" si="346"/>
        <v>46.751963789905389</v>
      </c>
      <c r="AF545" s="31" t="str">
        <f t="shared" si="331"/>
        <v>-10.0808080808081</v>
      </c>
      <c r="AG545" s="31" t="str">
        <f t="shared" si="347"/>
        <v>11699838.5377682i</v>
      </c>
      <c r="AH545" s="31">
        <f t="shared" si="348"/>
        <v>11699838.5377682</v>
      </c>
      <c r="AI545" s="31">
        <f t="shared" si="349"/>
        <v>1.5707963267948966</v>
      </c>
      <c r="AJ545" s="31" t="str">
        <f t="shared" si="332"/>
        <v>-2618367.84953284+15709.8060986876i</v>
      </c>
      <c r="AK545" s="31">
        <f t="shared" si="350"/>
        <v>2618414.9773240467</v>
      </c>
      <c r="AL545" s="31">
        <f t="shared" si="351"/>
        <v>3.1355928787309963</v>
      </c>
      <c r="AM545" s="31" t="str">
        <f t="shared" si="333"/>
        <v>1+11596430.684836i</v>
      </c>
      <c r="AN545" s="31">
        <f t="shared" si="352"/>
        <v>11596430.684836041</v>
      </c>
      <c r="AO545" s="31">
        <f t="shared" si="353"/>
        <v>1.5707962405614662</v>
      </c>
      <c r="AP545" s="31" t="str">
        <f t="shared" si="334"/>
        <v>1+13590.5324454715i</v>
      </c>
      <c r="AQ545" s="31">
        <f t="shared" si="354"/>
        <v>13590.532482261815</v>
      </c>
      <c r="AR545" s="31">
        <f t="shared" si="355"/>
        <v>1.5707227461605684</v>
      </c>
      <c r="AS545" s="58" t="str">
        <f t="shared" si="356"/>
        <v>-0.000307329911244498+0.0518597221008203i</v>
      </c>
      <c r="AT545" s="49">
        <f t="shared" si="357"/>
        <v>-25.70324377632021</v>
      </c>
      <c r="AU545" s="61">
        <f t="shared" si="358"/>
        <v>90.339540976825234</v>
      </c>
      <c r="AV545" s="58" t="str">
        <f t="shared" si="335"/>
        <v>-0.000376400213569034+0.000349876678049334i</v>
      </c>
      <c r="AW545" s="64">
        <f t="shared" si="359"/>
        <v>-65.782467103700512</v>
      </c>
      <c r="AX545" s="61">
        <f t="shared" si="360"/>
        <v>137.09150476673068</v>
      </c>
    </row>
    <row r="546" spans="14:50" x14ac:dyDescent="0.4">
      <c r="N546" s="10">
        <v>28</v>
      </c>
      <c r="O546" s="50">
        <f t="shared" si="325"/>
        <v>1905460.7179632513</v>
      </c>
      <c r="P546" s="48" t="str">
        <f t="shared" si="326"/>
        <v>5120.19230769231</v>
      </c>
      <c r="Q546" s="17" t="str">
        <f t="shared" si="327"/>
        <v>1+55947.7722523663i</v>
      </c>
      <c r="R546" s="17">
        <f t="shared" si="336"/>
        <v>55947.772261303217</v>
      </c>
      <c r="S546" s="17">
        <f t="shared" si="337"/>
        <v>1.5707784529822382</v>
      </c>
      <c r="T546" s="17" t="str">
        <f t="shared" si="328"/>
        <v>1+0.119603904237281i</v>
      </c>
      <c r="U546" s="17">
        <f t="shared" si="338"/>
        <v>1.0071271488291837</v>
      </c>
      <c r="V546" s="17">
        <f t="shared" si="339"/>
        <v>0.11903843478882653</v>
      </c>
      <c r="W546" s="31" t="str">
        <f t="shared" si="329"/>
        <v>1-193.952277141537i</v>
      </c>
      <c r="X546" s="17">
        <f t="shared" si="340"/>
        <v>193.9548550781536</v>
      </c>
      <c r="Y546" s="17">
        <f t="shared" si="341"/>
        <v>-1.5656404649831572</v>
      </c>
      <c r="Z546" s="31" t="str">
        <f t="shared" si="330"/>
        <v>-1451.31221908043+1180.87294095778i</v>
      </c>
      <c r="AA546" s="17">
        <f t="shared" si="342"/>
        <v>1871.0339547796661</v>
      </c>
      <c r="AB546" s="17">
        <f t="shared" si="343"/>
        <v>2.4585784951912126</v>
      </c>
      <c r="AC546" s="66" t="str">
        <f t="shared" si="344"/>
        <v>0.00660696350998732+0.00690188370309027i</v>
      </c>
      <c r="AD546" s="64">
        <f t="shared" si="345"/>
        <v>-40.39586471896547</v>
      </c>
      <c r="AE546" s="61">
        <f t="shared" si="346"/>
        <v>46.250661752756088</v>
      </c>
      <c r="AF546" s="31" t="str">
        <f t="shared" si="331"/>
        <v>-10.0808080808081</v>
      </c>
      <c r="AG546" s="31" t="str">
        <f t="shared" si="347"/>
        <v>11972362.7865146i</v>
      </c>
      <c r="AH546" s="31">
        <f t="shared" si="348"/>
        <v>11972362.786514601</v>
      </c>
      <c r="AI546" s="31">
        <f t="shared" si="349"/>
        <v>1.5707963267948966</v>
      </c>
      <c r="AJ546" s="31" t="str">
        <f t="shared" si="332"/>
        <v>-2741767.77167308+16075.7344908765i</v>
      </c>
      <c r="AK546" s="31">
        <f t="shared" si="350"/>
        <v>2741814.8994825645</v>
      </c>
      <c r="AL546" s="31">
        <f t="shared" si="351"/>
        <v>3.1357294472148087</v>
      </c>
      <c r="AM546" s="31" t="str">
        <f t="shared" si="333"/>
        <v>1+11866546.2552623i</v>
      </c>
      <c r="AN546" s="31">
        <f t="shared" si="352"/>
        <v>11866546.255262343</v>
      </c>
      <c r="AO546" s="31">
        <f t="shared" si="353"/>
        <v>1.5707962425243787</v>
      </c>
      <c r="AP546" s="31" t="str">
        <f t="shared" si="334"/>
        <v>1+13907.0966128154i</v>
      </c>
      <c r="AQ546" s="31">
        <f t="shared" si="354"/>
        <v>13907.096648768267</v>
      </c>
      <c r="AR546" s="31">
        <f t="shared" si="355"/>
        <v>1.5707244210602838</v>
      </c>
      <c r="AS546" s="58" t="str">
        <f t="shared" si="356"/>
        <v>-0.000293498252053016+0.0506793309330312i</v>
      </c>
      <c r="AT546" s="49">
        <f t="shared" si="357"/>
        <v>-25.903236890553107</v>
      </c>
      <c r="AU546" s="61">
        <f t="shared" si="358"/>
        <v>90.331812256239658</v>
      </c>
      <c r="AV546" s="58" t="str">
        <f t="shared" si="335"/>
        <v>-0.000351721980491766+0.000332810799382379i</v>
      </c>
      <c r="AW546" s="64">
        <f t="shared" si="359"/>
        <v>-66.299101609518573</v>
      </c>
      <c r="AX546" s="61">
        <f t="shared" si="360"/>
        <v>136.58247400899572</v>
      </c>
    </row>
    <row r="547" spans="14:50" x14ac:dyDescent="0.4">
      <c r="N547" s="10">
        <v>29</v>
      </c>
      <c r="O547" s="50">
        <f t="shared" si="325"/>
        <v>1949844.5997580495</v>
      </c>
      <c r="P547" s="48" t="str">
        <f t="shared" si="326"/>
        <v>5120.19230769231</v>
      </c>
      <c r="Q547" s="17" t="str">
        <f t="shared" si="327"/>
        <v>1+57250.9632795658i</v>
      </c>
      <c r="R547" s="17">
        <f t="shared" si="336"/>
        <v>57250.963288299281</v>
      </c>
      <c r="S547" s="17">
        <f t="shared" si="337"/>
        <v>1.5707788598398864</v>
      </c>
      <c r="T547" s="17" t="str">
        <f t="shared" si="328"/>
        <v>1+0.122389837055427i</v>
      </c>
      <c r="U547" s="17">
        <f t="shared" si="338"/>
        <v>1.0074617969007331</v>
      </c>
      <c r="V547" s="17">
        <f t="shared" si="339"/>
        <v>0.12178416773680688</v>
      </c>
      <c r="W547" s="31" t="str">
        <f t="shared" si="329"/>
        <v>1-198.470006035828i</v>
      </c>
      <c r="X547" s="17">
        <f t="shared" si="340"/>
        <v>198.47252529219654</v>
      </c>
      <c r="Y547" s="17">
        <f t="shared" si="341"/>
        <v>-1.5657578247169683</v>
      </c>
      <c r="Z547" s="31" t="str">
        <f t="shared" si="330"/>
        <v>-1519.75758528224+1208.37900525605i</v>
      </c>
      <c r="AA547" s="17">
        <f t="shared" si="342"/>
        <v>1941.6083380451646</v>
      </c>
      <c r="AB547" s="17">
        <f t="shared" si="343"/>
        <v>2.4698387043293835</v>
      </c>
      <c r="AC547" s="66" t="str">
        <f t="shared" si="344"/>
        <v>0.00642611680188183+0.00659799190924987i</v>
      </c>
      <c r="AD547" s="64">
        <f t="shared" si="345"/>
        <v>-40.714583435809061</v>
      </c>
      <c r="AE547" s="61">
        <f t="shared" si="346"/>
        <v>45.756070673635271</v>
      </c>
      <c r="AF547" s="31" t="str">
        <f t="shared" si="331"/>
        <v>-10.0808080808081</v>
      </c>
      <c r="AG547" s="31" t="str">
        <f t="shared" si="347"/>
        <v>12251234.9404832i</v>
      </c>
      <c r="AH547" s="31">
        <f t="shared" si="348"/>
        <v>12251234.940483199</v>
      </c>
      <c r="AI547" s="31">
        <f t="shared" si="349"/>
        <v>1.5707963267948966</v>
      </c>
      <c r="AJ547" s="31" t="str">
        <f t="shared" si="332"/>
        <v>-2870983.35297328+16450.18645028i</v>
      </c>
      <c r="AK547" s="31">
        <f t="shared" si="350"/>
        <v>2871030.4808002203</v>
      </c>
      <c r="AL547" s="31">
        <f t="shared" si="351"/>
        <v>3.135862907225011</v>
      </c>
      <c r="AM547" s="31" t="str">
        <f t="shared" si="333"/>
        <v>1+12142953.6255853i</v>
      </c>
      <c r="AN547" s="31">
        <f t="shared" si="352"/>
        <v>12142953.625585344</v>
      </c>
      <c r="AO547" s="31">
        <f t="shared" si="353"/>
        <v>1.5707962444426098</v>
      </c>
      <c r="AP547" s="31" t="str">
        <f t="shared" si="334"/>
        <v>1+14231.0345068653i</v>
      </c>
      <c r="AQ547" s="31">
        <f t="shared" si="354"/>
        <v>14231.034541999779</v>
      </c>
      <c r="AR547" s="31">
        <f t="shared" si="355"/>
        <v>1.5707260578346274</v>
      </c>
      <c r="AS547" s="58" t="str">
        <f t="shared" si="356"/>
        <v>-0.000280289079128181+0.04952580339396i</v>
      </c>
      <c r="AT547" s="49">
        <f t="shared" si="357"/>
        <v>-26.103230314686279</v>
      </c>
      <c r="AU547" s="61">
        <f t="shared" si="358"/>
        <v>90.324259451089759</v>
      </c>
      <c r="AV547" s="58" t="str">
        <f t="shared" si="335"/>
        <v>-0.000328572020453217+0.000316409252240284i</v>
      </c>
      <c r="AW547" s="64">
        <f t="shared" si="359"/>
        <v>-66.817813750495333</v>
      </c>
      <c r="AX547" s="61">
        <f t="shared" si="360"/>
        <v>136.08033012472495</v>
      </c>
    </row>
    <row r="548" spans="14:50" x14ac:dyDescent="0.4">
      <c r="N548" s="10">
        <v>30</v>
      </c>
      <c r="O548" s="50">
        <f t="shared" si="325"/>
        <v>1995262.31496888</v>
      </c>
      <c r="P548" s="48" t="str">
        <f t="shared" si="326"/>
        <v>5120.19230769231</v>
      </c>
      <c r="Q548" s="17" t="str">
        <f t="shared" si="327"/>
        <v>1+58584.5095253025i</v>
      </c>
      <c r="R548" s="17">
        <f t="shared" si="336"/>
        <v>58584.509533837176</v>
      </c>
      <c r="S548" s="17">
        <f t="shared" si="337"/>
        <v>1.5707792574363237</v>
      </c>
      <c r="T548" s="17" t="str">
        <f t="shared" si="328"/>
        <v>1+0.125240662585202i</v>
      </c>
      <c r="U548" s="17">
        <f t="shared" si="338"/>
        <v>1.0078120973498881</v>
      </c>
      <c r="V548" s="17">
        <f t="shared" si="339"/>
        <v>0.12459194760766563</v>
      </c>
      <c r="W548" s="31" t="str">
        <f t="shared" si="329"/>
        <v>1-203.092966354382i</v>
      </c>
      <c r="X548" s="17">
        <f t="shared" si="340"/>
        <v>203.09542826617775</v>
      </c>
      <c r="Y548" s="17">
        <f t="shared" si="341"/>
        <v>-1.5658725131512059</v>
      </c>
      <c r="Z548" s="31" t="str">
        <f t="shared" si="330"/>
        <v>-1591.42868221399+1236.52576809771i</v>
      </c>
      <c r="AA548" s="17">
        <f t="shared" si="342"/>
        <v>2015.3513901409322</v>
      </c>
      <c r="AB548" s="17">
        <f t="shared" si="343"/>
        <v>2.4810398928521815</v>
      </c>
      <c r="AC548" s="66" t="str">
        <f t="shared" si="344"/>
        <v>0.00624700876854265+0.00630584981969482i</v>
      </c>
      <c r="AD548" s="64">
        <f t="shared" si="345"/>
        <v>-41.035351805326187</v>
      </c>
      <c r="AE548" s="61">
        <f t="shared" si="346"/>
        <v>45.268569838311933</v>
      </c>
      <c r="AF548" s="31" t="str">
        <f t="shared" si="331"/>
        <v>-10.0808080808081</v>
      </c>
      <c r="AG548" s="31" t="str">
        <f t="shared" si="347"/>
        <v>12536602.8613816i</v>
      </c>
      <c r="AH548" s="31">
        <f t="shared" si="348"/>
        <v>12536602.8613816</v>
      </c>
      <c r="AI548" s="31">
        <f t="shared" si="349"/>
        <v>1.5707963267948966</v>
      </c>
      <c r="AJ548" s="31" t="str">
        <f t="shared" si="332"/>
        <v>-3006288.67700577+16833.3605162833i</v>
      </c>
      <c r="AK548" s="31">
        <f t="shared" si="350"/>
        <v>3006335.8048493806</v>
      </c>
      <c r="AL548" s="31">
        <f t="shared" si="351"/>
        <v>3.1359933295054447</v>
      </c>
      <c r="AM548" s="31" t="str">
        <f t="shared" si="333"/>
        <v>1+12425799.3506516i</v>
      </c>
      <c r="AN548" s="31">
        <f t="shared" si="352"/>
        <v>12425799.350651639</v>
      </c>
      <c r="AO548" s="31">
        <f t="shared" si="353"/>
        <v>1.5707962463171767</v>
      </c>
      <c r="AP548" s="31" t="str">
        <f t="shared" si="334"/>
        <v>1+14562.5178837809i</v>
      </c>
      <c r="AQ548" s="31">
        <f t="shared" si="354"/>
        <v>14562.517918115622</v>
      </c>
      <c r="AR548" s="31">
        <f t="shared" si="355"/>
        <v>1.5707276573514386</v>
      </c>
      <c r="AS548" s="58" t="str">
        <f t="shared" si="356"/>
        <v>-0.000267674379575381+0.0483985283501329i</v>
      </c>
      <c r="AT548" s="49">
        <f t="shared" si="357"/>
        <v>-26.303224034773081</v>
      </c>
      <c r="AU548" s="61">
        <f t="shared" si="358"/>
        <v>90.316878557833746</v>
      </c>
      <c r="AV548" s="58" t="str">
        <f t="shared" si="335"/>
        <v>-0.000306866015466502+0.000300658116549658i</v>
      </c>
      <c r="AW548" s="64">
        <f t="shared" si="359"/>
        <v>-67.338575840099267</v>
      </c>
      <c r="AX548" s="61">
        <f t="shared" si="360"/>
        <v>135.58544839614569</v>
      </c>
    </row>
    <row r="549" spans="14:50" x14ac:dyDescent="0.4">
      <c r="N549" s="10">
        <v>31</v>
      </c>
      <c r="O549" s="50">
        <f t="shared" si="325"/>
        <v>2041737.9446695296</v>
      </c>
      <c r="P549" s="48" t="str">
        <f t="shared" si="326"/>
        <v>5120.19230769231</v>
      </c>
      <c r="Q549" s="17" t="str">
        <f t="shared" si="327"/>
        <v>1+59949.1180534469i</v>
      </c>
      <c r="R549" s="17">
        <f t="shared" si="336"/>
        <v>59949.118061787303</v>
      </c>
      <c r="S549" s="17">
        <f t="shared" si="337"/>
        <v>1.5707796459823613</v>
      </c>
      <c r="T549" s="17" t="str">
        <f t="shared" si="328"/>
        <v>1+0.128157892372036i</v>
      </c>
      <c r="U549" s="17">
        <f t="shared" si="338"/>
        <v>1.0081787764961343</v>
      </c>
      <c r="V549" s="17">
        <f t="shared" si="339"/>
        <v>0.12746308594477448</v>
      </c>
      <c r="W549" s="31" t="str">
        <f t="shared" si="329"/>
        <v>1-207.823609251949i</v>
      </c>
      <c r="X549" s="17">
        <f t="shared" si="340"/>
        <v>207.82601512444677</v>
      </c>
      <c r="Y549" s="17">
        <f t="shared" si="341"/>
        <v>-1.56598459108312</v>
      </c>
      <c r="Z549" s="31" t="str">
        <f t="shared" si="330"/>
        <v>-1666.47753388133+1265.32815326896i</v>
      </c>
      <c r="AA549" s="17">
        <f t="shared" si="342"/>
        <v>2092.4155195338794</v>
      </c>
      <c r="AB549" s="17">
        <f t="shared" si="343"/>
        <v>2.4921768140312501</v>
      </c>
      <c r="AC549" s="66" t="str">
        <f t="shared" si="344"/>
        <v>0.00606980874612909+0.00602516814425389i</v>
      </c>
      <c r="AD549" s="64">
        <f t="shared" si="345"/>
        <v>-41.358139938178091</v>
      </c>
      <c r="AE549" s="61">
        <f t="shared" si="346"/>
        <v>44.788531512572611</v>
      </c>
      <c r="AF549" s="31" t="str">
        <f t="shared" si="331"/>
        <v>-10.0808080808081</v>
      </c>
      <c r="AG549" s="31" t="str">
        <f t="shared" si="347"/>
        <v>12828617.8550586i</v>
      </c>
      <c r="AH549" s="31">
        <f t="shared" si="348"/>
        <v>12828617.855058599</v>
      </c>
      <c r="AI549" s="31">
        <f t="shared" si="349"/>
        <v>1.5707963267948966</v>
      </c>
      <c r="AJ549" s="31" t="str">
        <f t="shared" si="332"/>
        <v>-3147970.74450344+17225.4598528483i</v>
      </c>
      <c r="AK549" s="31">
        <f t="shared" si="350"/>
        <v>3148017.8723629708</v>
      </c>
      <c r="AL549" s="31">
        <f t="shared" si="351"/>
        <v>3.1361207831905364</v>
      </c>
      <c r="AM549" s="31" t="str">
        <f t="shared" si="333"/>
        <v>1+12715233.3990085i</v>
      </c>
      <c r="AN549" s="31">
        <f t="shared" si="352"/>
        <v>12715233.399008539</v>
      </c>
      <c r="AO549" s="31">
        <f t="shared" si="353"/>
        <v>1.5707962481490731</v>
      </c>
      <c r="AP549" s="31" t="str">
        <f t="shared" si="334"/>
        <v>1+14901.7225004361i</v>
      </c>
      <c r="AQ549" s="31">
        <f t="shared" si="354"/>
        <v>14901.72253398927</v>
      </c>
      <c r="AR549" s="31">
        <f t="shared" si="355"/>
        <v>1.5707292204588024</v>
      </c>
      <c r="AS549" s="58" t="str">
        <f t="shared" si="356"/>
        <v>-0.000255627400971033+0.0472969085553254i</v>
      </c>
      <c r="AT549" s="49">
        <f t="shared" si="357"/>
        <v>-26.503218037493919</v>
      </c>
      <c r="AU549" s="61">
        <f t="shared" si="358"/>
        <v>90.309665664009415</v>
      </c>
      <c r="AV549" s="58" t="str">
        <f t="shared" si="335"/>
        <v>-0.0002865234361834+0.000285542991140853i</v>
      </c>
      <c r="AW549" s="64">
        <f t="shared" si="359"/>
        <v>-67.861357975672007</v>
      </c>
      <c r="AX549" s="61">
        <f t="shared" si="360"/>
        <v>135.098197176582</v>
      </c>
    </row>
    <row r="550" spans="14:50" x14ac:dyDescent="0.4">
      <c r="N550" s="10">
        <v>32</v>
      </c>
      <c r="O550" s="50">
        <f t="shared" si="325"/>
        <v>2089296.1308540432</v>
      </c>
      <c r="P550" s="48" t="str">
        <f t="shared" si="326"/>
        <v>5120.19230769231</v>
      </c>
      <c r="Q550" s="17" t="str">
        <f t="shared" si="327"/>
        <v>1+61345.5123975043i</v>
      </c>
      <c r="R550" s="17">
        <f t="shared" si="336"/>
        <v>61345.512405654852</v>
      </c>
      <c r="S550" s="17">
        <f t="shared" si="337"/>
        <v>1.5707800256840112</v>
      </c>
      <c r="T550" s="17" t="str">
        <f t="shared" si="328"/>
        <v>1+0.131143073169776i</v>
      </c>
      <c r="U550" s="17">
        <f t="shared" si="338"/>
        <v>1.0085625938137965</v>
      </c>
      <c r="V550" s="17">
        <f t="shared" si="339"/>
        <v>0.13039891561836991</v>
      </c>
      <c r="W550" s="31" t="str">
        <f t="shared" si="329"/>
        <v>1-212.664442978015i</v>
      </c>
      <c r="X550" s="17">
        <f t="shared" si="340"/>
        <v>212.66679408678118</v>
      </c>
      <c r="Y550" s="17">
        <f t="shared" si="341"/>
        <v>-1.5660941179266448</v>
      </c>
      <c r="Z550" s="31" t="str">
        <f t="shared" si="330"/>
        <v>-1745.06332896068+1294.80143217568i</v>
      </c>
      <c r="AA550" s="17">
        <f t="shared" si="342"/>
        <v>2172.9603702892337</v>
      </c>
      <c r="AB550" s="17">
        <f t="shared" si="343"/>
        <v>2.503244377465859</v>
      </c>
      <c r="AC550" s="66" t="str">
        <f t="shared" si="344"/>
        <v>0.00589467768928748+0.00575565395512991i</v>
      </c>
      <c r="AD550" s="64">
        <f t="shared" si="345"/>
        <v>-41.682915809841191</v>
      </c>
      <c r="AE550" s="61">
        <f t="shared" si="346"/>
        <v>44.316320306763338</v>
      </c>
      <c r="AF550" s="31" t="str">
        <f t="shared" si="331"/>
        <v>-10.0808080808081</v>
      </c>
      <c r="AG550" s="31" t="str">
        <f t="shared" si="347"/>
        <v>13127434.7517293i</v>
      </c>
      <c r="AH550" s="31">
        <f t="shared" si="348"/>
        <v>13127434.7517293</v>
      </c>
      <c r="AI550" s="31">
        <f t="shared" si="349"/>
        <v>1.5707963267948966</v>
      </c>
      <c r="AJ550" s="31" t="str">
        <f t="shared" si="332"/>
        <v>-3296330.08212719+17626.6923562331i</v>
      </c>
      <c r="AK550" s="31">
        <f t="shared" si="350"/>
        <v>3296377.2100019236</v>
      </c>
      <c r="AL550" s="31">
        <f t="shared" si="351"/>
        <v>3.1362453358418718</v>
      </c>
      <c r="AM550" s="31" t="str">
        <f t="shared" si="333"/>
        <v>1+13011409.2324197i</v>
      </c>
      <c r="AN550" s="31">
        <f t="shared" si="352"/>
        <v>13011409.23241974</v>
      </c>
      <c r="AO550" s="31">
        <f t="shared" si="353"/>
        <v>1.5707962499392707</v>
      </c>
      <c r="AP550" s="31" t="str">
        <f t="shared" si="334"/>
        <v>1+15248.8282076088i</v>
      </c>
      <c r="AQ550" s="31">
        <f t="shared" si="354"/>
        <v>15248.828240398205</v>
      </c>
      <c r="AR550" s="31">
        <f t="shared" si="355"/>
        <v>1.5707307479854988</v>
      </c>
      <c r="AS550" s="58" t="str">
        <f t="shared" si="356"/>
        <v>-0.000244122594659845+0.0462203603360347i</v>
      </c>
      <c r="AT550" s="49">
        <f t="shared" si="357"/>
        <v>-26.70321231012921</v>
      </c>
      <c r="AU550" s="61">
        <f t="shared" si="358"/>
        <v>90.302616946164321</v>
      </c>
      <c r="AV550" s="58" t="str">
        <f t="shared" si="335"/>
        <v>-0.00026746742378782+0.000271049041686161i</v>
      </c>
      <c r="AW550" s="64">
        <f t="shared" si="359"/>
        <v>-68.386128119970408</v>
      </c>
      <c r="AX550" s="61">
        <f t="shared" si="360"/>
        <v>134.61893725292765</v>
      </c>
    </row>
    <row r="551" spans="14:50" x14ac:dyDescent="0.4">
      <c r="N551" s="10">
        <v>33</v>
      </c>
      <c r="O551" s="50">
        <f t="shared" si="325"/>
        <v>2137962.0895022359</v>
      </c>
      <c r="P551" s="48" t="str">
        <f t="shared" si="326"/>
        <v>5120.19230769231</v>
      </c>
      <c r="Q551" s="17" t="str">
        <f t="shared" si="327"/>
        <v>1+62774.4329442381i</v>
      </c>
      <c r="R551" s="17">
        <f t="shared" si="336"/>
        <v>62774.432952203133</v>
      </c>
      <c r="S551" s="17">
        <f t="shared" si="337"/>
        <v>1.5707803967425964</v>
      </c>
      <c r="T551" s="17" t="str">
        <f t="shared" si="328"/>
        <v>1+0.134197787760793i</v>
      </c>
      <c r="U551" s="17">
        <f t="shared" si="338"/>
        <v>1.0089643433937052</v>
      </c>
      <c r="V551" s="17">
        <f t="shared" si="339"/>
        <v>0.13340079070305749</v>
      </c>
      <c r="W551" s="31" t="str">
        <f t="shared" si="329"/>
        <v>1-217.618034206692i</v>
      </c>
      <c r="X551" s="17">
        <f t="shared" si="340"/>
        <v>217.62033179826045</v>
      </c>
      <c r="Y551" s="17">
        <f t="shared" si="341"/>
        <v>-1.566201151743845</v>
      </c>
      <c r="Z551" s="31" t="str">
        <f t="shared" si="330"/>
        <v>-1827.35275845951+1324.96123194046i</v>
      </c>
      <c r="AA551" s="17">
        <f t="shared" si="342"/>
        <v>2257.1531560784174</v>
      </c>
      <c r="AB551" s="17">
        <f t="shared" si="343"/>
        <v>2.5142376591570601</v>
      </c>
      <c r="AC551" s="66" t="str">
        <f t="shared" si="344"/>
        <v>0.00572176775763888+0.00549701126833956i</v>
      </c>
      <c r="AD551" s="64">
        <f t="shared" si="345"/>
        <v>-42.009645347296065</v>
      </c>
      <c r="AE551" s="61">
        <f t="shared" si="346"/>
        <v>43.852292589755471</v>
      </c>
      <c r="AF551" s="31" t="str">
        <f t="shared" si="331"/>
        <v>-10.0808080808081</v>
      </c>
      <c r="AG551" s="31" t="str">
        <f t="shared" si="347"/>
        <v>13433211.9880674i</v>
      </c>
      <c r="AH551" s="31">
        <f t="shared" si="348"/>
        <v>13433211.9880674</v>
      </c>
      <c r="AI551" s="31">
        <f t="shared" si="349"/>
        <v>1.5707963267948966</v>
      </c>
      <c r="AJ551" s="31" t="str">
        <f t="shared" si="332"/>
        <v>-3451681.37992288+18037.2707652221i</v>
      </c>
      <c r="AK551" s="31">
        <f t="shared" si="350"/>
        <v>3451728.5078121326</v>
      </c>
      <c r="AL551" s="31">
        <f t="shared" si="351"/>
        <v>3.1363670534839403</v>
      </c>
      <c r="AM551" s="31" t="str">
        <f t="shared" si="333"/>
        <v>1+13314483.8872321i</v>
      </c>
      <c r="AN551" s="31">
        <f t="shared" si="352"/>
        <v>13314483.887232136</v>
      </c>
      <c r="AO551" s="31">
        <f t="shared" si="353"/>
        <v>1.5707962516887184</v>
      </c>
      <c r="AP551" s="31" t="str">
        <f t="shared" si="334"/>
        <v>1+15604.0190453391i</v>
      </c>
      <c r="AQ551" s="31">
        <f t="shared" si="354"/>
        <v>15604.019077382127</v>
      </c>
      <c r="AR551" s="31">
        <f t="shared" si="355"/>
        <v>1.570732240741443</v>
      </c>
      <c r="AS551" s="58" t="str">
        <f t="shared" si="356"/>
        <v>-0.000233135561601825+0.0451683132840184i</v>
      </c>
      <c r="AT551" s="49">
        <f t="shared" si="357"/>
        <v>-26.903206840531286</v>
      </c>
      <c r="AU551" s="61">
        <f t="shared" si="358"/>
        <v>90.29572866783289</v>
      </c>
      <c r="AV551" s="58" t="str">
        <f t="shared" si="335"/>
        <v>-0.000249624674633673+0.000257161049806252i</v>
      </c>
      <c r="AW551" s="64">
        <f t="shared" si="359"/>
        <v>-68.912852187827355</v>
      </c>
      <c r="AX551" s="61">
        <f t="shared" si="360"/>
        <v>134.14802125758843</v>
      </c>
    </row>
    <row r="552" spans="14:50" x14ac:dyDescent="0.4">
      <c r="N552" s="10">
        <v>34</v>
      </c>
      <c r="O552" s="50">
        <f t="shared" si="325"/>
        <v>2187761.6239495561</v>
      </c>
      <c r="P552" s="48" t="str">
        <f t="shared" si="326"/>
        <v>5120.19230769231</v>
      </c>
      <c r="Q552" s="17" t="str">
        <f t="shared" si="327"/>
        <v>1+64236.637326237i</v>
      </c>
      <c r="R552" s="17">
        <f t="shared" si="336"/>
        <v>64236.637334020728</v>
      </c>
      <c r="S552" s="17">
        <f t="shared" si="337"/>
        <v>1.5707807593548571</v>
      </c>
      <c r="T552" s="17" t="str">
        <f t="shared" si="328"/>
        <v>1+0.1373236557952i</v>
      </c>
      <c r="U552" s="17">
        <f t="shared" si="338"/>
        <v>1.0093848554644351</v>
      </c>
      <c r="V552" s="17">
        <f t="shared" si="339"/>
        <v>0.13647008631290675</v>
      </c>
      <c r="W552" s="31" t="str">
        <f t="shared" si="329"/>
        <v>1-222.687009397621i</v>
      </c>
      <c r="X552" s="17">
        <f t="shared" si="340"/>
        <v>222.68925469015372</v>
      </c>
      <c r="Y552" s="17">
        <f t="shared" si="341"/>
        <v>-1.5663057492756518</v>
      </c>
      <c r="Z552" s="31" t="str">
        <f t="shared" si="330"/>
        <v>-1913.52036929056+1355.82354368834i</v>
      </c>
      <c r="AA552" s="17">
        <f t="shared" si="342"/>
        <v>2345.1690099669768</v>
      </c>
      <c r="AB552" s="17">
        <f t="shared" si="343"/>
        <v>2.5251519106440696</v>
      </c>
      <c r="AC552" s="66" t="str">
        <f t="shared" si="344"/>
        <v>0.00555122196601584+0.00524894165075036i</v>
      </c>
      <c r="AD552" s="64">
        <f t="shared" si="345"/>
        <v>-42.338292520078227</v>
      </c>
      <c r="AE552" s="61">
        <f t="shared" si="346"/>
        <v>43.39679595425558</v>
      </c>
      <c r="AF552" s="31" t="str">
        <f t="shared" si="331"/>
        <v>-10.0808080808081</v>
      </c>
      <c r="AG552" s="31" t="str">
        <f t="shared" si="347"/>
        <v>13746111.6912112i</v>
      </c>
      <c r="AH552" s="31">
        <f t="shared" si="348"/>
        <v>13746111.691211199</v>
      </c>
      <c r="AI552" s="31">
        <f t="shared" si="349"/>
        <v>1.5707963267948966</v>
      </c>
      <c r="AJ552" s="31" t="str">
        <f t="shared" si="332"/>
        <v>-3614354.15882152+18457.4127739223i</v>
      </c>
      <c r="AK552" s="31">
        <f t="shared" si="350"/>
        <v>3614401.2867246391</v>
      </c>
      <c r="AL552" s="31">
        <f t="shared" si="351"/>
        <v>3.1364860006390725</v>
      </c>
      <c r="AM552" s="31" t="str">
        <f t="shared" si="333"/>
        <v>1+13624618.0576396i</v>
      </c>
      <c r="AN552" s="31">
        <f t="shared" si="352"/>
        <v>13624618.057639636</v>
      </c>
      <c r="AO552" s="31">
        <f t="shared" si="353"/>
        <v>1.5707962533983437</v>
      </c>
      <c r="AP552" s="31" t="str">
        <f t="shared" si="334"/>
        <v>1+15967.4833405109i</v>
      </c>
      <c r="AQ552" s="31">
        <f t="shared" si="354"/>
        <v>15967.483371824539</v>
      </c>
      <c r="AR552" s="31">
        <f t="shared" si="355"/>
        <v>1.5707336995181138</v>
      </c>
      <c r="AS552" s="58" t="str">
        <f t="shared" si="356"/>
        <v>-0.000222643000654207+0.0441402099557227i</v>
      </c>
      <c r="AT552" s="49">
        <f t="shared" si="357"/>
        <v>-27.103201617099351</v>
      </c>
      <c r="AU552" s="61">
        <f t="shared" si="358"/>
        <v>90.288997177559537</v>
      </c>
      <c r="AV552" s="58" t="str">
        <f t="shared" si="335"/>
        <v>-0.00023292532722527+0.000243863462971377i</v>
      </c>
      <c r="AW552" s="64">
        <f t="shared" si="359"/>
        <v>-69.441494137177585</v>
      </c>
      <c r="AX552" s="61">
        <f t="shared" si="360"/>
        <v>133.68579313181513</v>
      </c>
    </row>
    <row r="553" spans="14:50" x14ac:dyDescent="0.4">
      <c r="N553" s="10">
        <v>35</v>
      </c>
      <c r="O553" s="50">
        <f t="shared" si="325"/>
        <v>2238721.1385683389</v>
      </c>
      <c r="P553" s="48" t="str">
        <f t="shared" si="326"/>
        <v>5120.19230769231</v>
      </c>
      <c r="Q553" s="17" t="str">
        <f t="shared" si="327"/>
        <v>1+65732.9008236183i</v>
      </c>
      <c r="R553" s="17">
        <f t="shared" si="336"/>
        <v>65732.900831224848</v>
      </c>
      <c r="S553" s="17">
        <f t="shared" si="337"/>
        <v>1.570781113713055</v>
      </c>
      <c r="T553" s="17" t="str">
        <f t="shared" si="328"/>
        <v>1+0.140522334649602i</v>
      </c>
      <c r="U553" s="17">
        <f t="shared" si="338"/>
        <v>1.0098249979750822</v>
      </c>
      <c r="V553" s="17">
        <f t="shared" si="339"/>
        <v>0.13960819839083877</v>
      </c>
      <c r="W553" s="31" t="str">
        <f t="shared" si="329"/>
        <v>1-227.874056188543i</v>
      </c>
      <c r="X553" s="17">
        <f t="shared" si="340"/>
        <v>227.87625037247577</v>
      </c>
      <c r="Y553" s="17">
        <f t="shared" si="341"/>
        <v>-1.5664079659719012</v>
      </c>
      <c r="Z553" s="31" t="str">
        <f t="shared" si="330"/>
        <v>-2003.74893450908+1387.40473102554i</v>
      </c>
      <c r="AA553" s="17">
        <f t="shared" si="342"/>
        <v>2437.1913507597892</v>
      </c>
      <c r="AB553" s="17">
        <f t="shared" si="343"/>
        <v>2.5359825671751888</v>
      </c>
      <c r="AC553" s="66" t="str">
        <f t="shared" si="344"/>
        <v>0.00538317389929849+0.00501114484586173i</v>
      </c>
      <c r="AD553" s="64">
        <f t="shared" si="345"/>
        <v>-42.668819434913772</v>
      </c>
      <c r="AE553" s="61">
        <f t="shared" si="346"/>
        <v>42.950168734851232</v>
      </c>
      <c r="AF553" s="31" t="str">
        <f t="shared" si="331"/>
        <v>-10.0808080808081</v>
      </c>
      <c r="AG553" s="31" t="str">
        <f t="shared" si="347"/>
        <v>14066299.7647249i</v>
      </c>
      <c r="AH553" s="31">
        <f t="shared" si="348"/>
        <v>14066299.764724899</v>
      </c>
      <c r="AI553" s="31">
        <f t="shared" si="349"/>
        <v>1.5707963267948966</v>
      </c>
      <c r="AJ553" s="31" t="str">
        <f t="shared" si="332"/>
        <v>-3784693.46959703+18887.341147188i</v>
      </c>
      <c r="AK553" s="31">
        <f t="shared" si="350"/>
        <v>3784740.5975133907</v>
      </c>
      <c r="AL553" s="31">
        <f t="shared" si="351"/>
        <v>3.1366022403615821</v>
      </c>
      <c r="AM553" s="31" t="str">
        <f t="shared" si="333"/>
        <v>1+13941976.1808844i</v>
      </c>
      <c r="AN553" s="31">
        <f t="shared" si="352"/>
        <v>13941976.180884438</v>
      </c>
      <c r="AO553" s="31">
        <f t="shared" si="353"/>
        <v>1.5707962550690533</v>
      </c>
      <c r="AP553" s="31" t="str">
        <f t="shared" si="334"/>
        <v>1+16339.4138067045i</v>
      </c>
      <c r="AQ553" s="31">
        <f t="shared" si="354"/>
        <v>16339.413837305352</v>
      </c>
      <c r="AR553" s="31">
        <f t="shared" si="355"/>
        <v>1.5707351250889736</v>
      </c>
      <c r="AS553" s="58" t="str">
        <f t="shared" si="356"/>
        <v>-0.00021262265917912+0.0431355055784653i</v>
      </c>
      <c r="AT553" s="49">
        <f t="shared" si="357"/>
        <v>-27.303196628754627</v>
      </c>
      <c r="AU553" s="61">
        <f t="shared" si="358"/>
        <v>90.282418906966257</v>
      </c>
      <c r="AV553" s="58" t="str">
        <f t="shared" si="335"/>
        <v>-0.000217302851202459+0.00023114044482038i</v>
      </c>
      <c r="AW553" s="64">
        <f t="shared" si="359"/>
        <v>-69.972016063668391</v>
      </c>
      <c r="AX553" s="61">
        <f t="shared" si="360"/>
        <v>133.23258764181753</v>
      </c>
    </row>
    <row r="554" spans="14:50" x14ac:dyDescent="0.4">
      <c r="N554" s="10">
        <v>36</v>
      </c>
      <c r="O554" s="50">
        <f t="shared" si="325"/>
        <v>2290867.6527677765</v>
      </c>
      <c r="P554" s="48" t="str">
        <f t="shared" si="326"/>
        <v>5120.19230769231</v>
      </c>
      <c r="Q554" s="17" t="str">
        <f t="shared" si="327"/>
        <v>1+67264.0167750949i</v>
      </c>
      <c r="R554" s="17">
        <f t="shared" si="336"/>
        <v>67264.016782528299</v>
      </c>
      <c r="S554" s="17">
        <f t="shared" si="337"/>
        <v>1.5707814600050753</v>
      </c>
      <c r="T554" s="17" t="str">
        <f t="shared" si="328"/>
        <v>1+0.14379552030587i</v>
      </c>
      <c r="U554" s="17">
        <f t="shared" si="338"/>
        <v>1.0102856782415734</v>
      </c>
      <c r="V554" s="17">
        <f t="shared" si="339"/>
        <v>0.14281654344888867</v>
      </c>
      <c r="W554" s="31" t="str">
        <f t="shared" si="329"/>
        <v>1-233.181924820329i</v>
      </c>
      <c r="X554" s="17">
        <f t="shared" si="340"/>
        <v>233.1840690590023</v>
      </c>
      <c r="Y554" s="17">
        <f t="shared" si="341"/>
        <v>-1.5665078560206898</v>
      </c>
      <c r="Z554" s="31" t="str">
        <f t="shared" si="330"/>
        <v>-2098.22984099911+1419.7215387156i</v>
      </c>
      <c r="AA554" s="17">
        <f t="shared" si="342"/>
        <v>2533.4122667169945</v>
      </c>
      <c r="AB554" s="17">
        <f t="shared" si="343"/>
        <v>2.5467252548952932</v>
      </c>
      <c r="AC554" s="66" t="str">
        <f t="shared" si="344"/>
        <v>0.00521774749192399+0.00478331941157179i</v>
      </c>
      <c r="AD554" s="64">
        <f t="shared" si="345"/>
        <v>-43.001186433161536</v>
      </c>
      <c r="AE554" s="61">
        <f t="shared" si="346"/>
        <v>42.51273957962799</v>
      </c>
      <c r="AF554" s="31" t="str">
        <f t="shared" si="331"/>
        <v>-10.0808080808081</v>
      </c>
      <c r="AG554" s="31" t="str">
        <f t="shared" si="347"/>
        <v>14393945.9765635i</v>
      </c>
      <c r="AH554" s="31">
        <f t="shared" si="348"/>
        <v>14393945.9765635</v>
      </c>
      <c r="AI554" s="31">
        <f t="shared" si="349"/>
        <v>1.5707963267948966</v>
      </c>
      <c r="AJ554" s="31" t="str">
        <f t="shared" si="332"/>
        <v>-3963060.62476546+19327.2838387334i</v>
      </c>
      <c r="AK554" s="31">
        <f t="shared" si="350"/>
        <v>3963107.7526944662</v>
      </c>
      <c r="AL554" s="31">
        <f t="shared" si="351"/>
        <v>3.1367158342711363</v>
      </c>
      <c r="AM554" s="31" t="str">
        <f t="shared" si="333"/>
        <v>1+14266726.5244443i</v>
      </c>
      <c r="AN554" s="31">
        <f t="shared" si="352"/>
        <v>14266726.524444336</v>
      </c>
      <c r="AO554" s="31">
        <f t="shared" si="353"/>
        <v>1.5707962567017328</v>
      </c>
      <c r="AP554" s="31" t="str">
        <f t="shared" si="334"/>
        <v>1+16720.0076463762i</v>
      </c>
      <c r="AQ554" s="31">
        <f t="shared" si="354"/>
        <v>16720.007676280493</v>
      </c>
      <c r="AR554" s="31">
        <f t="shared" si="355"/>
        <v>1.5707365182098794</v>
      </c>
      <c r="AS554" s="58" t="str">
        <f t="shared" si="356"/>
        <v>-0.000203053285872367+0.0421536677632168i</v>
      </c>
      <c r="AT554" s="49">
        <f t="shared" si="357"/>
        <v>-27.503191864917206</v>
      </c>
      <c r="AU554" s="61">
        <f t="shared" si="358"/>
        <v>90.275990368864299</v>
      </c>
      <c r="AV554" s="58" t="str">
        <f t="shared" si="335"/>
        <v>-0.00020269393805383+0.000218975925523025i</v>
      </c>
      <c r="AW554" s="64">
        <f t="shared" si="359"/>
        <v>-70.504378298078748</v>
      </c>
      <c r="AX554" s="61">
        <f t="shared" si="360"/>
        <v>132.7887299484922</v>
      </c>
    </row>
    <row r="555" spans="14:50" x14ac:dyDescent="0.4">
      <c r="N555" s="10">
        <v>37</v>
      </c>
      <c r="O555" s="50">
        <f t="shared" si="325"/>
        <v>2344228.8153199251</v>
      </c>
      <c r="P555" s="48" t="str">
        <f t="shared" si="326"/>
        <v>5120.19230769231</v>
      </c>
      <c r="Q555" s="17" t="str">
        <f t="shared" si="327"/>
        <v>1+68830.7969986097i</v>
      </c>
      <c r="R555" s="17">
        <f t="shared" si="336"/>
        <v>68830.797005873887</v>
      </c>
      <c r="S555" s="17">
        <f t="shared" si="337"/>
        <v>1.5707817984145271</v>
      </c>
      <c r="T555" s="17" t="str">
        <f t="shared" si="328"/>
        <v>1+0.147144948250361i</v>
      </c>
      <c r="U555" s="17">
        <f t="shared" si="338"/>
        <v>1.0107678446585058</v>
      </c>
      <c r="V555" s="17">
        <f t="shared" si="339"/>
        <v>0.14609655825566162</v>
      </c>
      <c r="W555" s="31" t="str">
        <f t="shared" si="329"/>
        <v>1-238.61342959518i</v>
      </c>
      <c r="X555" s="17">
        <f t="shared" si="340"/>
        <v>238.61552502545581</v>
      </c>
      <c r="Y555" s="17">
        <f t="shared" si="341"/>
        <v>-1.566605472377065</v>
      </c>
      <c r="Z555" s="31" t="str">
        <f t="shared" si="330"/>
        <v>-2197.16349543052+1452.79110155773i</v>
      </c>
      <c r="AA555" s="17">
        <f t="shared" si="342"/>
        <v>2634.0329174894123</v>
      </c>
      <c r="AB555" s="17">
        <f t="shared" si="343"/>
        <v>2.5573757970405064</v>
      </c>
      <c r="AC555" s="66" t="str">
        <f t="shared" si="344"/>
        <v>0.0050550568714038+0.00456516336336535i</v>
      </c>
      <c r="AD555" s="64">
        <f t="shared" si="345"/>
        <v>-43.335352190288042</v>
      </c>
      <c r="AE555" s="61">
        <f t="shared" si="346"/>
        <v>42.084827075684494</v>
      </c>
      <c r="AF555" s="31" t="str">
        <f t="shared" si="331"/>
        <v>-10.0808080808081</v>
      </c>
      <c r="AG555" s="31" t="str">
        <f t="shared" si="347"/>
        <v>14729224.0490852i</v>
      </c>
      <c r="AH555" s="31">
        <f t="shared" si="348"/>
        <v>14729224.0490852</v>
      </c>
      <c r="AI555" s="31">
        <f t="shared" si="349"/>
        <v>1.5707963267948966</v>
      </c>
      <c r="AJ555" s="31" t="str">
        <f t="shared" si="332"/>
        <v>-4149833.96497689+19777.474111997i</v>
      </c>
      <c r="AK555" s="31">
        <f t="shared" si="350"/>
        <v>4149881.0929179727</v>
      </c>
      <c r="AL555" s="31">
        <f t="shared" si="351"/>
        <v>3.1368268425853705</v>
      </c>
      <c r="AM555" s="31" t="str">
        <f t="shared" si="333"/>
        <v>1+14599041.2752498i</v>
      </c>
      <c r="AN555" s="31">
        <f t="shared" si="352"/>
        <v>14599041.275249831</v>
      </c>
      <c r="AO555" s="31">
        <f t="shared" si="353"/>
        <v>1.5707962582972479</v>
      </c>
      <c r="AP555" s="31" t="str">
        <f t="shared" si="334"/>
        <v>1+17109.4666554174i</v>
      </c>
      <c r="AQ555" s="31">
        <f t="shared" si="354"/>
        <v>17109.466684640989</v>
      </c>
      <c r="AR555" s="31">
        <f t="shared" si="355"/>
        <v>1.570737879619482</v>
      </c>
      <c r="AS555" s="58" t="str">
        <f t="shared" si="356"/>
        <v>-0.000193914585713621+0.0411941762238452i</v>
      </c>
      <c r="AT555" s="49">
        <f t="shared" si="357"/>
        <v>-27.703187315482825</v>
      </c>
      <c r="AU555" s="61">
        <f t="shared" si="358"/>
        <v>90.269708155408523</v>
      </c>
      <c r="AV555" s="58" t="str">
        <f t="shared" si="335"/>
        <v>-0.000189038393340091+0.000207353651819846i</v>
      </c>
      <c r="AW555" s="64">
        <f t="shared" si="359"/>
        <v>-71.038539505770871</v>
      </c>
      <c r="AX555" s="61">
        <f t="shared" si="360"/>
        <v>132.35453523109294</v>
      </c>
    </row>
    <row r="556" spans="14:50" x14ac:dyDescent="0.4">
      <c r="N556" s="10">
        <v>38</v>
      </c>
      <c r="O556" s="50">
        <f t="shared" si="325"/>
        <v>2398832.9190194933</v>
      </c>
      <c r="P556" s="48" t="str">
        <f t="shared" si="326"/>
        <v>5120.19230769231</v>
      </c>
      <c r="Q556" s="17" t="str">
        <f t="shared" si="327"/>
        <v>1+70434.0722217763i</v>
      </c>
      <c r="R556" s="17">
        <f t="shared" si="336"/>
        <v>70434.072228875128</v>
      </c>
      <c r="S556" s="17">
        <f t="shared" si="337"/>
        <v>1.5707821291208393</v>
      </c>
      <c r="T556" s="17" t="str">
        <f t="shared" si="328"/>
        <v>1+0.150572394394109i</v>
      </c>
      <c r="U556" s="17">
        <f t="shared" si="338"/>
        <v>1.0112724884785382</v>
      </c>
      <c r="V556" s="17">
        <f t="shared" si="339"/>
        <v>0.14944969946720277</v>
      </c>
      <c r="W556" s="31" t="str">
        <f t="shared" si="329"/>
        <v>1-244.171450368824i</v>
      </c>
      <c r="X556" s="17">
        <f t="shared" si="340"/>
        <v>244.1734981016881</v>
      </c>
      <c r="Y556" s="17">
        <f t="shared" si="341"/>
        <v>-1.5667008667910658</v>
      </c>
      <c r="Z556" s="31" t="str">
        <f t="shared" si="330"/>
        <v>-2300.75974934864+1486.63095347186i</v>
      </c>
      <c r="AA556" s="17">
        <f t="shared" si="342"/>
        <v>2739.2639551608509</v>
      </c>
      <c r="AB556" s="17">
        <f t="shared" si="343"/>
        <v>2.567930219139881</v>
      </c>
      <c r="AC556" s="66" t="str">
        <f t="shared" si="344"/>
        <v>0.00489520626449521+0.00435637481663039i</v>
      </c>
      <c r="AD556" s="64">
        <f t="shared" si="345"/>
        <v>-43.671273816615688</v>
      </c>
      <c r="AE556" s="61">
        <f t="shared" si="346"/>
        <v>41.66673942833603</v>
      </c>
      <c r="AF556" s="31" t="str">
        <f t="shared" si="331"/>
        <v>-10.0808080808081</v>
      </c>
      <c r="AG556" s="31" t="str">
        <f t="shared" si="347"/>
        <v>15072311.751162i</v>
      </c>
      <c r="AH556" s="31">
        <f t="shared" si="348"/>
        <v>15072311.751162</v>
      </c>
      <c r="AI556" s="31">
        <f t="shared" si="349"/>
        <v>1.5707963267948966</v>
      </c>
      <c r="AJ556" s="31" t="str">
        <f t="shared" si="332"/>
        <v>-4345409.66152708+20238.1506638205i</v>
      </c>
      <c r="AK556" s="31">
        <f t="shared" si="350"/>
        <v>4345456.7894796962</v>
      </c>
      <c r="AL556" s="31">
        <f t="shared" si="351"/>
        <v>3.1369353241517608</v>
      </c>
      <c r="AM556" s="31" t="str">
        <f t="shared" si="333"/>
        <v>1+14939096.6309806i</v>
      </c>
      <c r="AN556" s="31">
        <f t="shared" si="352"/>
        <v>14939096.630980633</v>
      </c>
      <c r="AO556" s="31">
        <f t="shared" si="353"/>
        <v>1.5707962598564449</v>
      </c>
      <c r="AP556" s="31" t="str">
        <f t="shared" si="334"/>
        <v>1+17507.9973301498i</v>
      </c>
      <c r="AQ556" s="31">
        <f t="shared" si="354"/>
        <v>17507.997358708177</v>
      </c>
      <c r="AR556" s="31">
        <f t="shared" si="355"/>
        <v>1.5707392100396187</v>
      </c>
      <c r="AS556" s="58" t="str">
        <f t="shared" si="356"/>
        <v>-0.000185187176942564+0.040256522502668i</v>
      </c>
      <c r="AT556" s="49">
        <f t="shared" si="357"/>
        <v>-27.903182970802263</v>
      </c>
      <c r="AU556" s="61">
        <f t="shared" si="358"/>
        <v>90.263568936293595</v>
      </c>
      <c r="AV556" s="58" t="str">
        <f t="shared" si="335"/>
        <v>-0.000176279030264411+0.000196257236387857i</v>
      </c>
      <c r="AW556" s="64">
        <f t="shared" si="359"/>
        <v>-71.574456787417958</v>
      </c>
      <c r="AX556" s="61">
        <f t="shared" si="360"/>
        <v>131.9303083646297</v>
      </c>
    </row>
    <row r="557" spans="14:50" x14ac:dyDescent="0.4">
      <c r="N557" s="10">
        <v>39</v>
      </c>
      <c r="O557" s="50">
        <f t="shared" si="325"/>
        <v>2454708.915685033</v>
      </c>
      <c r="P557" s="48" t="str">
        <f t="shared" si="326"/>
        <v>5120.19230769231</v>
      </c>
      <c r="Q557" s="17" t="str">
        <f t="shared" si="327"/>
        <v>1+72074.69252234i</v>
      </c>
      <c r="R557" s="17">
        <f t="shared" si="336"/>
        <v>72074.69252927725</v>
      </c>
      <c r="S557" s="17">
        <f t="shared" si="337"/>
        <v>1.5707824522993568</v>
      </c>
      <c r="T557" s="17" t="str">
        <f t="shared" si="328"/>
        <v>1+0.154079676014425i</v>
      </c>
      <c r="U557" s="17">
        <f t="shared" si="338"/>
        <v>1.0118006456613429</v>
      </c>
      <c r="V557" s="17">
        <f t="shared" si="339"/>
        <v>0.15287744319721219</v>
      </c>
      <c r="W557" s="31" t="str">
        <f t="shared" si="329"/>
        <v>1-249.858934077445i</v>
      </c>
      <c r="X557" s="17">
        <f t="shared" si="340"/>
        <v>249.86093519859605</v>
      </c>
      <c r="Y557" s="17">
        <f t="shared" si="341"/>
        <v>-1.5667940898351242</v>
      </c>
      <c r="Z557" s="31" t="str">
        <f t="shared" si="330"/>
        <v>-2409.23834429743+1521.2590367954i</v>
      </c>
      <c r="AA557" s="17">
        <f t="shared" si="342"/>
        <v>2849.3259653231485</v>
      </c>
      <c r="AB557" s="17">
        <f t="shared" si="343"/>
        <v>2.5783847532317492</v>
      </c>
      <c r="AC557" s="66" t="str">
        <f t="shared" si="344"/>
        <v>0.00473828996404081+0.00415665262216257i</v>
      </c>
      <c r="AD557" s="64">
        <f t="shared" si="345"/>
        <v>-44.008906958604143</v>
      </c>
      <c r="AE557" s="61">
        <f t="shared" si="346"/>
        <v>41.258774193335313</v>
      </c>
      <c r="AF557" s="31" t="str">
        <f t="shared" si="331"/>
        <v>-10.0808080808081</v>
      </c>
      <c r="AG557" s="31" t="str">
        <f t="shared" si="347"/>
        <v>15423390.9924349i</v>
      </c>
      <c r="AH557" s="31">
        <f t="shared" si="348"/>
        <v>15423390.9924349</v>
      </c>
      <c r="AI557" s="31">
        <f t="shared" si="349"/>
        <v>1.5707963267948966</v>
      </c>
      <c r="AJ557" s="31" t="str">
        <f t="shared" si="332"/>
        <v>-4550202.55668973+20709.5577510097i</v>
      </c>
      <c r="AK557" s="31">
        <f t="shared" si="350"/>
        <v>4550249.6846533595</v>
      </c>
      <c r="AL557" s="31">
        <f t="shared" si="351"/>
        <v>3.1370413364787764</v>
      </c>
      <c r="AM557" s="31" t="str">
        <f t="shared" si="333"/>
        <v>1+15287072.8934874i</v>
      </c>
      <c r="AN557" s="31">
        <f t="shared" si="352"/>
        <v>15287072.893487433</v>
      </c>
      <c r="AO557" s="31">
        <f t="shared" si="353"/>
        <v>1.57079626138015</v>
      </c>
      <c r="AP557" s="31" t="str">
        <f t="shared" si="334"/>
        <v>1+17915.8109768124i</v>
      </c>
      <c r="AQ557" s="31">
        <f t="shared" si="354"/>
        <v>17915.811004720712</v>
      </c>
      <c r="AR557" s="31">
        <f t="shared" si="355"/>
        <v>1.5707405101756962</v>
      </c>
      <c r="AS557" s="58" t="str">
        <f t="shared" si="356"/>
        <v>-0.000176852549970077+0.0393402097021871i</v>
      </c>
      <c r="AT557" s="49">
        <f t="shared" si="357"/>
        <v>-28.103178821660492</v>
      </c>
      <c r="AU557" s="61">
        <f t="shared" si="358"/>
        <v>90.257569456991163</v>
      </c>
      <c r="AV557" s="58" t="str">
        <f t="shared" si="335"/>
        <v>-0.00016436156447766+0.000185670206199565i</v>
      </c>
      <c r="AW557" s="64">
        <f t="shared" si="359"/>
        <v>-72.112085780264607</v>
      </c>
      <c r="AX557" s="61">
        <f t="shared" si="360"/>
        <v>131.51634365032649</v>
      </c>
    </row>
    <row r="558" spans="14:50" x14ac:dyDescent="0.4">
      <c r="N558" s="10">
        <v>40</v>
      </c>
      <c r="O558" s="50">
        <f t="shared" si="325"/>
        <v>2511886.431509587</v>
      </c>
      <c r="P558" s="48" t="str">
        <f t="shared" si="326"/>
        <v>5120.19230769231</v>
      </c>
      <c r="Q558" s="17" t="str">
        <f t="shared" si="327"/>
        <v>1+73753.5277789009i</v>
      </c>
      <c r="R558" s="17">
        <f t="shared" si="336"/>
        <v>73753.527785680242</v>
      </c>
      <c r="S558" s="17">
        <f t="shared" si="337"/>
        <v>1.570782768121433</v>
      </c>
      <c r="T558" s="17" t="str">
        <f t="shared" si="328"/>
        <v>1+0.157668652718451i</v>
      </c>
      <c r="U558" s="17">
        <f t="shared" si="338"/>
        <v>1.0123533987941422</v>
      </c>
      <c r="V558" s="17">
        <f t="shared" si="339"/>
        <v>0.15638128452243386</v>
      </c>
      <c r="W558" s="31" t="str">
        <f t="shared" si="329"/>
        <v>1-255.67889630019i</v>
      </c>
      <c r="X558" s="17">
        <f t="shared" si="340"/>
        <v>255.68085187061487</v>
      </c>
      <c r="Y558" s="17">
        <f t="shared" si="341"/>
        <v>-1.5668851909308472</v>
      </c>
      <c r="Z558" s="31" t="str">
        <f t="shared" si="330"/>
        <v>-2522.82937792079+1556.69371179651i</v>
      </c>
      <c r="AA558" s="17">
        <f t="shared" si="342"/>
        <v>2964.4499291516117</v>
      </c>
      <c r="AB558" s="17">
        <f t="shared" si="343"/>
        <v>2.588735841110549</v>
      </c>
      <c r="AC558" s="66" t="str">
        <f t="shared" si="344"/>
        <v>0.00458439235392299+0.00396569698932573i</v>
      </c>
      <c r="AD558" s="64">
        <f t="shared" si="345"/>
        <v>-44.348205899956113</v>
      </c>
      <c r="AE558" s="61">
        <f t="shared" si="346"/>
        <v>40.861218060963814</v>
      </c>
      <c r="AF558" s="31" t="str">
        <f t="shared" si="331"/>
        <v>-10.0808080808081</v>
      </c>
      <c r="AG558" s="31" t="str">
        <f t="shared" si="347"/>
        <v>15782647.9197648i</v>
      </c>
      <c r="AH558" s="31">
        <f t="shared" si="348"/>
        <v>15782647.9197648</v>
      </c>
      <c r="AI558" s="31">
        <f t="shared" si="349"/>
        <v>1.5707963267948966</v>
      </c>
      <c r="AJ558" s="31" t="str">
        <f t="shared" si="332"/>
        <v>-4764647.04365259+21191.9453198418i</v>
      </c>
      <c r="AK558" s="31">
        <f t="shared" si="350"/>
        <v>4764694.1716267383</v>
      </c>
      <c r="AL558" s="31">
        <f t="shared" si="351"/>
        <v>3.1371449357663224</v>
      </c>
      <c r="AM558" s="31" t="str">
        <f t="shared" si="333"/>
        <v>1+15643154.5643908i</v>
      </c>
      <c r="AN558" s="31">
        <f t="shared" si="352"/>
        <v>15643154.564390833</v>
      </c>
      <c r="AO558" s="31">
        <f t="shared" si="353"/>
        <v>1.5707962628691714</v>
      </c>
      <c r="AP558" s="31" t="str">
        <f t="shared" si="334"/>
        <v>1+18333.1238235988i</v>
      </c>
      <c r="AQ558" s="31">
        <f t="shared" si="354"/>
        <v>18333.123850871838</v>
      </c>
      <c r="AR558" s="31">
        <f t="shared" si="355"/>
        <v>1.5707417807170634</v>
      </c>
      <c r="AS558" s="58" t="str">
        <f t="shared" si="356"/>
        <v>-0.000168893028137409+0.0384447522228626i</v>
      </c>
      <c r="AT558" s="49">
        <f t="shared" si="357"/>
        <v>-28.303174859257222</v>
      </c>
      <c r="AU558" s="61">
        <f t="shared" si="358"/>
        <v>90.251706537026891</v>
      </c>
      <c r="AV558" s="58" t="str">
        <f t="shared" si="335"/>
        <v>-0.000153234510052404+0.000175576049565753i</v>
      </c>
      <c r="AW558" s="64">
        <f t="shared" si="359"/>
        <v>-72.651380759213339</v>
      </c>
      <c r="AX558" s="61">
        <f t="shared" si="360"/>
        <v>131.11292459799063</v>
      </c>
    </row>
    <row r="559" spans="14:50" x14ac:dyDescent="0.4">
      <c r="N559" s="10">
        <v>41</v>
      </c>
      <c r="O559" s="50">
        <f t="shared" si="325"/>
        <v>2570395.782768866</v>
      </c>
      <c r="P559" s="48" t="str">
        <f t="shared" si="326"/>
        <v>5120.19230769231</v>
      </c>
      <c r="Q559" s="17" t="str">
        <f t="shared" si="327"/>
        <v>1+75471.4681321331i</v>
      </c>
      <c r="R559" s="17">
        <f t="shared" si="336"/>
        <v>75471.468138758122</v>
      </c>
      <c r="S559" s="17">
        <f t="shared" si="337"/>
        <v>1.5707830767545212</v>
      </c>
      <c r="T559" s="17" t="str">
        <f t="shared" si="328"/>
        <v>1+0.161341227429138i</v>
      </c>
      <c r="U559" s="17">
        <f t="shared" si="338"/>
        <v>1.0129318790858253</v>
      </c>
      <c r="V559" s="17">
        <f t="shared" si="339"/>
        <v>0.15996273691876331</v>
      </c>
      <c r="W559" s="31" t="str">
        <f t="shared" si="329"/>
        <v>1-261.634422858061i</v>
      </c>
      <c r="X559" s="17">
        <f t="shared" si="340"/>
        <v>261.63633391459729</v>
      </c>
      <c r="Y559" s="17">
        <f t="shared" si="341"/>
        <v>-1.5669742183751896</v>
      </c>
      <c r="Z559" s="31" t="str">
        <f t="shared" si="330"/>
        <v>-2641.77379203039+1592.95376640888i</v>
      </c>
      <c r="AA559" s="17">
        <f t="shared" si="342"/>
        <v>3084.8777074909895</v>
      </c>
      <c r="AB559" s="17">
        <f t="shared" si="343"/>
        <v>2.598980136626948</v>
      </c>
      <c r="AC559" s="66" t="str">
        <f t="shared" si="344"/>
        <v>0.00443358798908534+0.00378321009180137i</v>
      </c>
      <c r="AD559" s="64">
        <f t="shared" si="345"/>
        <v>-44.689123661872642</v>
      </c>
      <c r="AE559" s="61">
        <f t="shared" si="346"/>
        <v>40.47434669043092</v>
      </c>
      <c r="AF559" s="31" t="str">
        <f t="shared" si="331"/>
        <v>-10.0808080808081</v>
      </c>
      <c r="AG559" s="31" t="str">
        <f t="shared" si="347"/>
        <v>16150273.0159297i</v>
      </c>
      <c r="AH559" s="31">
        <f t="shared" si="348"/>
        <v>16150273.015929701</v>
      </c>
      <c r="AI559" s="31">
        <f t="shared" si="349"/>
        <v>1.5707963267948966</v>
      </c>
      <c r="AJ559" s="31" t="str">
        <f t="shared" si="332"/>
        <v>-4989197.98792348+21685.569138591i</v>
      </c>
      <c r="AK559" s="31">
        <f t="shared" si="350"/>
        <v>4989245.1159076719</v>
      </c>
      <c r="AL559" s="31">
        <f t="shared" si="351"/>
        <v>3.1372461769354953</v>
      </c>
      <c r="AM559" s="31" t="str">
        <f t="shared" si="333"/>
        <v>1+16007530.4429058i</v>
      </c>
      <c r="AN559" s="31">
        <f t="shared" si="352"/>
        <v>16007530.442905832</v>
      </c>
      <c r="AO559" s="31">
        <f t="shared" si="353"/>
        <v>1.5707962643242985</v>
      </c>
      <c r="AP559" s="31" t="str">
        <f t="shared" si="334"/>
        <v>1+18760.157135304i</v>
      </c>
      <c r="AQ559" s="31">
        <f t="shared" si="354"/>
        <v>18760.157161956227</v>
      </c>
      <c r="AR559" s="31">
        <f t="shared" si="355"/>
        <v>1.5707430223373784</v>
      </c>
      <c r="AS559" s="58" t="str">
        <f t="shared" si="356"/>
        <v>-0.000161291730240323+0.0375696755067958i</v>
      </c>
      <c r="AT559" s="49">
        <f t="shared" si="357"/>
        <v>-28.503171075187996</v>
      </c>
      <c r="AU559" s="61">
        <f t="shared" si="358"/>
        <v>90.245977068296767</v>
      </c>
      <c r="AV559" s="58" t="str">
        <f t="shared" si="335"/>
        <v>-0.000142849076600945+0.000165958261579194i</v>
      </c>
      <c r="AW559" s="64">
        <f t="shared" si="359"/>
        <v>-73.192294737060635</v>
      </c>
      <c r="AX559" s="61">
        <f t="shared" si="360"/>
        <v>130.72032375872774</v>
      </c>
    </row>
    <row r="560" spans="14:50" ht="15" thickBot="1" x14ac:dyDescent="0.45">
      <c r="N560" s="10">
        <v>42</v>
      </c>
      <c r="O560" s="50">
        <f t="shared" si="325"/>
        <v>2630267.9918953842</v>
      </c>
      <c r="P560" s="48" t="str">
        <f t="shared" si="326"/>
        <v>5120.19230769231</v>
      </c>
      <c r="Q560" s="17" t="str">
        <f t="shared" si="327"/>
        <v>1+77229.4244567519i</v>
      </c>
      <c r="R560" s="17">
        <f t="shared" si="336"/>
        <v>77229.424463226125</v>
      </c>
      <c r="S560" s="17">
        <f t="shared" si="337"/>
        <v>1.5707833783622627</v>
      </c>
      <c r="T560" s="17" t="str">
        <f t="shared" si="328"/>
        <v>1+0.165099347394212i</v>
      </c>
      <c r="U560" s="17">
        <f t="shared" si="338"/>
        <v>1.0135372684366346</v>
      </c>
      <c r="V560" s="17">
        <f t="shared" si="339"/>
        <v>0.16362333162349998</v>
      </c>
      <c r="W560" s="31" t="str">
        <f t="shared" si="329"/>
        <v>1-267.728671450073i</v>
      </c>
      <c r="X560" s="17">
        <f t="shared" si="340"/>
        <v>267.73053900595869</v>
      </c>
      <c r="Y560" s="17">
        <f t="shared" si="341"/>
        <v>-1.5670612193660323</v>
      </c>
      <c r="Z560" s="31" t="str">
        <f t="shared" si="330"/>
        <v>-2766.32388367575+1630.05842619344i</v>
      </c>
      <c r="AA560" s="17">
        <f t="shared" si="342"/>
        <v>3210.8625480077962</v>
      </c>
      <c r="AB560" s="17">
        <f t="shared" si="343"/>
        <v>2.6091145070706645</v>
      </c>
      <c r="AC560" s="59" t="str">
        <f t="shared" si="344"/>
        <v>0.00428594172715103+0.00360889665136284i</v>
      </c>
      <c r="AD560" s="65">
        <f t="shared" si="345"/>
        <v>-45.031612101824464</v>
      </c>
      <c r="AE560" s="63">
        <f t="shared" si="346"/>
        <v>40.098424592633933</v>
      </c>
      <c r="AF560" s="31" t="str">
        <f t="shared" si="331"/>
        <v>-10.0808080808081</v>
      </c>
      <c r="AG560" s="31" t="str">
        <f t="shared" si="347"/>
        <v>16526461.2006218i</v>
      </c>
      <c r="AH560" s="31">
        <f t="shared" si="348"/>
        <v>16526461.2006218</v>
      </c>
      <c r="AI560" s="31">
        <f t="shared" si="349"/>
        <v>1.5707963267948966</v>
      </c>
      <c r="AJ560" s="31" t="str">
        <f t="shared" si="332"/>
        <v>-5224331.69216132+22190.69093314i</v>
      </c>
      <c r="AK560" s="31">
        <f t="shared" si="350"/>
        <v>5224378.8201551046</v>
      </c>
      <c r="AL560" s="31">
        <f t="shared" si="351"/>
        <v>3.1373451136576613</v>
      </c>
      <c r="AM560" s="31" t="str">
        <f t="shared" si="333"/>
        <v>1+16380393.7259463i</v>
      </c>
      <c r="AN560" s="31">
        <f t="shared" si="352"/>
        <v>16380393.72594633</v>
      </c>
      <c r="AO560" s="31">
        <f t="shared" si="353"/>
        <v>1.570796265746303</v>
      </c>
      <c r="AP560" s="31" t="str">
        <f t="shared" si="334"/>
        <v>1+19197.1373306423i</v>
      </c>
      <c r="AQ560" s="31">
        <f t="shared" si="354"/>
        <v>19197.13735668785</v>
      </c>
      <c r="AR560" s="31">
        <f t="shared" si="355"/>
        <v>1.5707442356949648</v>
      </c>
      <c r="AS560" s="58" t="str">
        <f t="shared" si="356"/>
        <v>-0.000154032534738828+0.036714515787186i</v>
      </c>
      <c r="AT560" s="55">
        <f t="shared" si="357"/>
        <v>-28.703167461426933</v>
      </c>
      <c r="AU560" s="63">
        <f t="shared" si="358"/>
        <v>90.240378013421378</v>
      </c>
      <c r="AV560" s="62" t="str">
        <f t="shared" si="335"/>
        <v>-0.00013315906754876+0.000156800387705626i</v>
      </c>
      <c r="AW560" s="65">
        <f t="shared" si="359"/>
        <v>-73.734779563251379</v>
      </c>
      <c r="AX560" s="63">
        <f t="shared" si="360"/>
        <v>130.33880260605537</v>
      </c>
    </row>
    <row r="561" spans="14:30" x14ac:dyDescent="0.4">
      <c r="N561" s="10"/>
      <c r="P561" s="48"/>
      <c r="Q561" s="17"/>
      <c r="R561" s="17"/>
      <c r="S561" s="17"/>
      <c r="T561" s="17"/>
      <c r="U561" s="17"/>
      <c r="V561" s="17"/>
      <c r="X561" s="17"/>
      <c r="Y561" s="17"/>
      <c r="AA561" s="17"/>
      <c r="AB561" s="17"/>
      <c r="AC561" s="17"/>
      <c r="AD561" s="32"/>
    </row>
    <row r="562" spans="14:30" x14ac:dyDescent="0.4">
      <c r="N562" s="10"/>
      <c r="P562" s="48"/>
      <c r="Q562" s="17"/>
      <c r="R562" s="17"/>
      <c r="S562" s="17"/>
      <c r="T562" s="17"/>
      <c r="U562" s="17"/>
      <c r="V562" s="17"/>
      <c r="X562" s="17"/>
      <c r="Y562" s="17"/>
      <c r="AA562" s="17"/>
      <c r="AB562" s="17"/>
      <c r="AC562" s="17"/>
      <c r="AD562" s="32"/>
    </row>
    <row r="563" spans="14:30" x14ac:dyDescent="0.4">
      <c r="N563" s="10"/>
      <c r="P563" s="48"/>
      <c r="Q563" s="17"/>
      <c r="R563" s="17"/>
      <c r="S563" s="17"/>
      <c r="T563" s="17"/>
      <c r="U563" s="17"/>
      <c r="V563" s="17"/>
      <c r="X563" s="17"/>
      <c r="Y563" s="17"/>
      <c r="AA563" s="17"/>
      <c r="AB563" s="17"/>
      <c r="AC563" s="17"/>
      <c r="AD563" s="32"/>
    </row>
    <row r="564" spans="14:30" x14ac:dyDescent="0.4">
      <c r="N564" s="10"/>
      <c r="P564" s="48"/>
      <c r="Q564" s="17"/>
      <c r="R564" s="17"/>
      <c r="S564" s="17"/>
      <c r="T564" s="17"/>
      <c r="U564" s="17"/>
      <c r="V564" s="17"/>
      <c r="X564" s="17"/>
      <c r="Y564" s="17"/>
      <c r="AA564" s="17"/>
      <c r="AB564" s="17"/>
      <c r="AC564" s="17"/>
      <c r="AD564" s="32"/>
    </row>
    <row r="565" spans="14:30" x14ac:dyDescent="0.4">
      <c r="N565" s="10"/>
      <c r="P565" s="48"/>
      <c r="Q565" s="17"/>
      <c r="R565" s="17"/>
      <c r="S565" s="17"/>
      <c r="T565" s="17"/>
      <c r="U565" s="17"/>
      <c r="V565" s="17"/>
      <c r="X565" s="17"/>
      <c r="Y565" s="17"/>
      <c r="AA565" s="17"/>
      <c r="AB565" s="17"/>
      <c r="AC565" s="17"/>
      <c r="AD565" s="32"/>
    </row>
    <row r="566" spans="14:30" x14ac:dyDescent="0.4">
      <c r="N566" s="10"/>
      <c r="P566" s="48"/>
      <c r="Q566" s="17"/>
      <c r="R566" s="17"/>
      <c r="S566" s="17"/>
      <c r="T566" s="17"/>
      <c r="U566" s="17"/>
      <c r="V566" s="17"/>
      <c r="X566" s="17"/>
      <c r="Y566" s="17"/>
      <c r="AA566" s="17"/>
      <c r="AB566" s="17"/>
      <c r="AC566" s="17"/>
      <c r="AD566" s="32"/>
    </row>
    <row r="567" spans="14:30" x14ac:dyDescent="0.4">
      <c r="N567" s="10"/>
      <c r="P567" s="48"/>
      <c r="Q567" s="17"/>
      <c r="R567" s="17"/>
      <c r="S567" s="17"/>
      <c r="T567" s="17"/>
      <c r="U567" s="17"/>
      <c r="V567" s="17"/>
      <c r="X567" s="17"/>
      <c r="Y567" s="17"/>
      <c r="AA567" s="17"/>
      <c r="AB567" s="17"/>
      <c r="AC567" s="17"/>
      <c r="AD567" s="32"/>
    </row>
    <row r="568" spans="14:30" x14ac:dyDescent="0.4">
      <c r="N568" s="10"/>
      <c r="P568" s="48"/>
      <c r="Q568" s="17"/>
      <c r="R568" s="17"/>
      <c r="S568" s="17"/>
      <c r="T568" s="17"/>
      <c r="U568" s="17"/>
      <c r="V568" s="17"/>
      <c r="X568" s="17"/>
      <c r="Y568" s="17"/>
      <c r="AA568" s="17"/>
      <c r="AB568" s="17"/>
      <c r="AC568" s="17"/>
      <c r="AD568" s="32"/>
    </row>
    <row r="569" spans="14:30" x14ac:dyDescent="0.4">
      <c r="N569" s="10"/>
      <c r="P569" s="48"/>
      <c r="Q569" s="17"/>
      <c r="R569" s="17"/>
      <c r="S569" s="17"/>
      <c r="T569" s="17"/>
      <c r="U569" s="17"/>
      <c r="V569" s="17"/>
      <c r="X569" s="17"/>
      <c r="Y569" s="17"/>
      <c r="AA569" s="17"/>
      <c r="AB569" s="17"/>
      <c r="AC569" s="17"/>
      <c r="AD569" s="32"/>
    </row>
    <row r="570" spans="14:30" x14ac:dyDescent="0.4">
      <c r="N570" s="10"/>
      <c r="P570" s="48"/>
      <c r="Q570" s="17"/>
      <c r="R570" s="17"/>
      <c r="S570" s="17"/>
      <c r="T570" s="17"/>
      <c r="U570" s="17"/>
      <c r="V570" s="17"/>
      <c r="X570" s="17"/>
      <c r="Y570" s="17"/>
      <c r="AA570" s="17"/>
      <c r="AB570" s="17"/>
      <c r="AC570" s="17"/>
      <c r="AD570" s="32"/>
    </row>
    <row r="571" spans="14:30" x14ac:dyDescent="0.4">
      <c r="N571" s="10"/>
      <c r="P571" s="48"/>
      <c r="Q571" s="17"/>
      <c r="R571" s="17"/>
      <c r="S571" s="17"/>
      <c r="T571" s="17"/>
      <c r="U571" s="17"/>
      <c r="V571" s="17"/>
      <c r="X571" s="17"/>
      <c r="Y571" s="17"/>
      <c r="AA571" s="17"/>
      <c r="AB571" s="17"/>
      <c r="AC571" s="17"/>
      <c r="AD571" s="32"/>
    </row>
    <row r="572" spans="14:30" x14ac:dyDescent="0.4">
      <c r="N572" s="10"/>
      <c r="P572" s="48"/>
      <c r="Q572" s="17"/>
      <c r="R572" s="17"/>
      <c r="S572" s="17"/>
      <c r="T572" s="17"/>
      <c r="U572" s="17"/>
      <c r="V572" s="17"/>
      <c r="X572" s="17"/>
      <c r="Y572" s="17"/>
      <c r="AA572" s="17"/>
      <c r="AB572" s="17"/>
      <c r="AC572" s="17"/>
      <c r="AD572" s="32"/>
    </row>
    <row r="573" spans="14:30" x14ac:dyDescent="0.4">
      <c r="N573" s="10"/>
      <c r="P573" s="48"/>
      <c r="Q573" s="17"/>
      <c r="R573" s="17"/>
      <c r="S573" s="17"/>
      <c r="T573" s="17"/>
      <c r="U573" s="17"/>
      <c r="V573" s="17"/>
      <c r="X573" s="17"/>
      <c r="Y573" s="17"/>
      <c r="AA573" s="17"/>
      <c r="AB573" s="17"/>
      <c r="AC573" s="17"/>
      <c r="AD573" s="32"/>
    </row>
    <row r="574" spans="14:30" x14ac:dyDescent="0.4">
      <c r="N574" s="10"/>
      <c r="P574" s="48"/>
      <c r="Q574" s="17"/>
      <c r="R574" s="17"/>
      <c r="S574" s="17"/>
      <c r="T574" s="17"/>
      <c r="U574" s="17"/>
      <c r="V574" s="17"/>
      <c r="X574" s="17"/>
      <c r="Y574" s="17"/>
      <c r="AA574" s="17"/>
      <c r="AB574" s="17"/>
      <c r="AC574" s="17"/>
      <c r="AD574" s="32"/>
    </row>
    <row r="575" spans="14:30" x14ac:dyDescent="0.4">
      <c r="N575" s="10"/>
      <c r="P575" s="48"/>
      <c r="Q575" s="17"/>
      <c r="R575" s="17"/>
      <c r="S575" s="17"/>
      <c r="T575" s="17"/>
      <c r="U575" s="17"/>
      <c r="V575" s="17"/>
      <c r="X575" s="17"/>
      <c r="Y575" s="17"/>
      <c r="AA575" s="17"/>
      <c r="AB575" s="17"/>
      <c r="AC575" s="17"/>
      <c r="AD575" s="32"/>
    </row>
    <row r="576" spans="14:30" x14ac:dyDescent="0.4">
      <c r="N576" s="10"/>
      <c r="P576" s="48"/>
      <c r="Q576" s="17"/>
      <c r="R576" s="17"/>
      <c r="S576" s="17"/>
      <c r="T576" s="17"/>
      <c r="U576" s="17"/>
      <c r="V576" s="17"/>
      <c r="X576" s="17"/>
      <c r="Y576" s="17"/>
      <c r="AA576" s="17"/>
      <c r="AB576" s="17"/>
      <c r="AC576" s="17"/>
      <c r="AD576" s="32"/>
    </row>
    <row r="577" spans="14:30" x14ac:dyDescent="0.4">
      <c r="N577" s="10"/>
      <c r="P577" s="48"/>
      <c r="Q577" s="17"/>
      <c r="R577" s="17"/>
      <c r="S577" s="17"/>
      <c r="T577" s="17"/>
      <c r="U577" s="17"/>
      <c r="V577" s="17"/>
      <c r="X577" s="17"/>
      <c r="Y577" s="17"/>
      <c r="AA577" s="17"/>
      <c r="AB577" s="17"/>
      <c r="AC577" s="17"/>
      <c r="AD577" s="32"/>
    </row>
    <row r="578" spans="14:30" x14ac:dyDescent="0.4">
      <c r="N578" s="10"/>
      <c r="P578" s="48"/>
      <c r="Q578" s="17"/>
      <c r="R578" s="17"/>
      <c r="S578" s="17"/>
      <c r="T578" s="17"/>
      <c r="U578" s="17"/>
      <c r="V578" s="17"/>
      <c r="X578" s="17"/>
      <c r="Y578" s="17"/>
      <c r="AA578" s="17"/>
      <c r="AB578" s="17"/>
      <c r="AC578" s="17"/>
      <c r="AD578" s="32"/>
    </row>
    <row r="579" spans="14:30" x14ac:dyDescent="0.4">
      <c r="N579" s="10"/>
      <c r="P579" s="48"/>
      <c r="Q579" s="17"/>
      <c r="R579" s="17"/>
      <c r="S579" s="17"/>
      <c r="T579" s="17"/>
      <c r="U579" s="17"/>
      <c r="V579" s="17"/>
      <c r="X579" s="17"/>
      <c r="Y579" s="17"/>
      <c r="AA579" s="17"/>
      <c r="AB579" s="17"/>
      <c r="AC579" s="17"/>
      <c r="AD579" s="32"/>
    </row>
    <row r="580" spans="14:30" x14ac:dyDescent="0.4">
      <c r="N580" s="10"/>
      <c r="P580" s="48"/>
      <c r="Q580" s="17"/>
      <c r="R580" s="17"/>
      <c r="S580" s="17"/>
      <c r="T580" s="17"/>
      <c r="U580" s="17"/>
      <c r="V580" s="17"/>
      <c r="X580" s="17"/>
      <c r="Y580" s="17"/>
      <c r="AA580" s="17"/>
      <c r="AB580" s="17"/>
      <c r="AC580" s="17"/>
      <c r="AD580" s="32"/>
    </row>
    <row r="581" spans="14:30" x14ac:dyDescent="0.4">
      <c r="N581" s="10"/>
      <c r="P581" s="48"/>
      <c r="Q581" s="17"/>
      <c r="R581" s="17"/>
      <c r="S581" s="17"/>
      <c r="T581" s="17"/>
      <c r="U581" s="17"/>
      <c r="V581" s="17"/>
      <c r="X581" s="17"/>
      <c r="Y581" s="17"/>
      <c r="AA581" s="17"/>
      <c r="AB581" s="17"/>
      <c r="AC581" s="17"/>
      <c r="AD581" s="32"/>
    </row>
    <row r="582" spans="14:30" x14ac:dyDescent="0.4">
      <c r="N582" s="10"/>
      <c r="P582" s="48"/>
      <c r="Q582" s="17"/>
      <c r="R582" s="17"/>
      <c r="S582" s="17"/>
      <c r="T582" s="17"/>
      <c r="U582" s="17"/>
      <c r="V582" s="17"/>
      <c r="X582" s="17"/>
      <c r="Y582" s="17"/>
      <c r="AA582" s="17"/>
      <c r="AB582" s="17"/>
      <c r="AC582" s="17"/>
      <c r="AD582" s="32"/>
    </row>
    <row r="583" spans="14:30" x14ac:dyDescent="0.4">
      <c r="N583" s="10"/>
      <c r="P583" s="48"/>
      <c r="Q583" s="17"/>
      <c r="R583" s="17"/>
      <c r="S583" s="17"/>
      <c r="T583" s="17"/>
      <c r="U583" s="17"/>
      <c r="V583" s="17"/>
      <c r="X583" s="17"/>
      <c r="Y583" s="17"/>
      <c r="AA583" s="17"/>
      <c r="AB583" s="17"/>
      <c r="AC583" s="17"/>
      <c r="AD583" s="32"/>
    </row>
    <row r="584" spans="14:30" x14ac:dyDescent="0.4">
      <c r="N584" s="10"/>
      <c r="P584" s="48"/>
      <c r="Q584" s="17"/>
      <c r="R584" s="17"/>
      <c r="S584" s="17"/>
      <c r="T584" s="17"/>
      <c r="U584" s="17"/>
      <c r="V584" s="17"/>
      <c r="X584" s="17"/>
      <c r="Y584" s="17"/>
      <c r="AA584" s="17"/>
      <c r="AB584" s="17"/>
      <c r="AC584" s="17"/>
      <c r="AD584" s="32"/>
    </row>
    <row r="585" spans="14:30" x14ac:dyDescent="0.4">
      <c r="N585" s="10"/>
      <c r="P585" s="48"/>
      <c r="Q585" s="17"/>
      <c r="R585" s="17"/>
      <c r="S585" s="17"/>
      <c r="T585" s="17"/>
      <c r="U585" s="17"/>
      <c r="V585" s="17"/>
      <c r="X585" s="17"/>
      <c r="Y585" s="17"/>
      <c r="AA585" s="17"/>
      <c r="AB585" s="17"/>
      <c r="AC585" s="17"/>
      <c r="AD585" s="32"/>
    </row>
    <row r="586" spans="14:30" x14ac:dyDescent="0.4">
      <c r="N586" s="10"/>
      <c r="P586" s="48"/>
      <c r="Q586" s="17"/>
      <c r="R586" s="17"/>
      <c r="S586" s="17"/>
      <c r="T586" s="17"/>
      <c r="U586" s="17"/>
      <c r="V586" s="17"/>
      <c r="X586" s="17"/>
      <c r="Y586" s="17"/>
      <c r="AA586" s="17"/>
      <c r="AB586" s="17"/>
      <c r="AC586" s="17"/>
      <c r="AD586" s="32"/>
    </row>
    <row r="587" spans="14:30" x14ac:dyDescent="0.4">
      <c r="N587" s="10"/>
      <c r="P587" s="48"/>
      <c r="Q587" s="17"/>
      <c r="R587" s="17"/>
      <c r="S587" s="17"/>
      <c r="T587" s="17"/>
      <c r="U587" s="17"/>
      <c r="V587" s="17"/>
      <c r="X587" s="17"/>
      <c r="Y587" s="17"/>
      <c r="AA587" s="17"/>
      <c r="AB587" s="17"/>
      <c r="AC587" s="17"/>
      <c r="AD587" s="32"/>
    </row>
    <row r="588" spans="14:30" x14ac:dyDescent="0.4">
      <c r="N588" s="10"/>
      <c r="P588" s="48"/>
      <c r="Q588" s="17"/>
      <c r="R588" s="17"/>
      <c r="S588" s="17"/>
      <c r="T588" s="17"/>
      <c r="U588" s="17"/>
      <c r="V588" s="17"/>
      <c r="X588" s="17"/>
      <c r="Y588" s="17"/>
      <c r="AA588" s="17"/>
      <c r="AB588" s="17"/>
      <c r="AC588" s="17"/>
      <c r="AD588" s="32"/>
    </row>
    <row r="589" spans="14:30" x14ac:dyDescent="0.4">
      <c r="N589" s="10"/>
      <c r="P589" s="48"/>
      <c r="Q589" s="17"/>
      <c r="R589" s="17"/>
      <c r="S589" s="17"/>
      <c r="T589" s="17"/>
      <c r="U589" s="17"/>
      <c r="V589" s="17"/>
      <c r="X589" s="17"/>
      <c r="Y589" s="17"/>
      <c r="AA589" s="17"/>
      <c r="AB589" s="17"/>
      <c r="AC589" s="17"/>
      <c r="AD589" s="32"/>
    </row>
    <row r="590" spans="14:30" x14ac:dyDescent="0.4">
      <c r="N590" s="10"/>
      <c r="P590" s="48"/>
      <c r="Q590" s="17"/>
      <c r="R590" s="17"/>
      <c r="S590" s="17"/>
      <c r="T590" s="17"/>
      <c r="U590" s="17"/>
      <c r="V590" s="17"/>
      <c r="X590" s="17"/>
      <c r="Y590" s="17"/>
      <c r="AA590" s="17"/>
      <c r="AB590" s="17"/>
      <c r="AC590" s="17"/>
      <c r="AD590" s="32"/>
    </row>
    <row r="591" spans="14:30" x14ac:dyDescent="0.4">
      <c r="N591" s="10"/>
      <c r="P591" s="48"/>
      <c r="Q591" s="17"/>
      <c r="R591" s="17"/>
      <c r="S591" s="17"/>
      <c r="T591" s="17"/>
      <c r="U591" s="17"/>
      <c r="V591" s="17"/>
      <c r="X591" s="17"/>
      <c r="Y591" s="17"/>
      <c r="AA591" s="17"/>
      <c r="AB591" s="17"/>
      <c r="AC591" s="17"/>
      <c r="AD591" s="32"/>
    </row>
    <row r="592" spans="14:30" x14ac:dyDescent="0.4">
      <c r="N592" s="10"/>
      <c r="P592" s="48"/>
      <c r="Q592" s="17"/>
      <c r="R592" s="17"/>
      <c r="S592" s="17"/>
      <c r="T592" s="17"/>
      <c r="U592" s="17"/>
      <c r="V592" s="17"/>
      <c r="X592" s="17"/>
      <c r="Y592" s="17"/>
      <c r="AA592" s="17"/>
      <c r="AB592" s="17"/>
      <c r="AC592" s="17"/>
      <c r="AD592" s="32"/>
    </row>
    <row r="593" spans="14:30" x14ac:dyDescent="0.4">
      <c r="N593" s="10"/>
      <c r="P593" s="48"/>
      <c r="Q593" s="17"/>
      <c r="R593" s="17"/>
      <c r="S593" s="17"/>
      <c r="T593" s="17"/>
      <c r="U593" s="17"/>
      <c r="V593" s="17"/>
      <c r="X593" s="17"/>
      <c r="Y593" s="17"/>
      <c r="AA593" s="17"/>
      <c r="AB593" s="17"/>
      <c r="AC593" s="17"/>
      <c r="AD593" s="32"/>
    </row>
    <row r="594" spans="14:30" x14ac:dyDescent="0.4">
      <c r="N594" s="10"/>
      <c r="P594" s="48"/>
      <c r="Q594" s="17"/>
      <c r="R594" s="17"/>
      <c r="S594" s="17"/>
      <c r="T594" s="17"/>
      <c r="U594" s="17"/>
      <c r="V594" s="17"/>
      <c r="X594" s="17"/>
      <c r="Y594" s="17"/>
      <c r="AA594" s="17"/>
      <c r="AB594" s="17"/>
      <c r="AC594" s="17"/>
      <c r="AD594" s="32"/>
    </row>
    <row r="595" spans="14:30" x14ac:dyDescent="0.4">
      <c r="N595" s="10"/>
      <c r="P595" s="48"/>
      <c r="Q595" s="17"/>
      <c r="R595" s="17"/>
      <c r="S595" s="17"/>
      <c r="T595" s="17"/>
      <c r="U595" s="17"/>
      <c r="V595" s="17"/>
      <c r="X595" s="17"/>
      <c r="Y595" s="17"/>
      <c r="AA595" s="17"/>
      <c r="AB595" s="17"/>
      <c r="AC595" s="17"/>
      <c r="AD595" s="32"/>
    </row>
    <row r="596" spans="14:30" x14ac:dyDescent="0.4">
      <c r="N596" s="10"/>
      <c r="P596" s="48"/>
      <c r="Q596" s="17"/>
      <c r="R596" s="17"/>
      <c r="S596" s="17"/>
      <c r="T596" s="17"/>
      <c r="U596" s="17"/>
      <c r="V596" s="17"/>
      <c r="X596" s="17"/>
      <c r="Y596" s="17"/>
      <c r="AA596" s="17"/>
      <c r="AB596" s="17"/>
      <c r="AC596" s="17"/>
      <c r="AD596" s="32"/>
    </row>
    <row r="597" spans="14:30" x14ac:dyDescent="0.4">
      <c r="N597" s="10"/>
      <c r="P597" s="48"/>
      <c r="Q597" s="17"/>
      <c r="R597" s="17"/>
      <c r="S597" s="17"/>
      <c r="T597" s="17"/>
      <c r="U597" s="17"/>
      <c r="V597" s="17"/>
      <c r="X597" s="17"/>
      <c r="Y597" s="17"/>
      <c r="AA597" s="17"/>
      <c r="AB597" s="17"/>
      <c r="AC597" s="17"/>
      <c r="AD597" s="32"/>
    </row>
    <row r="598" spans="14:30" x14ac:dyDescent="0.4">
      <c r="N598" s="10"/>
      <c r="P598" s="48"/>
      <c r="Q598" s="17"/>
      <c r="R598" s="17"/>
      <c r="S598" s="17"/>
      <c r="T598" s="17"/>
      <c r="U598" s="17"/>
      <c r="V598" s="17"/>
      <c r="X598" s="17"/>
      <c r="Y598" s="17"/>
      <c r="AA598" s="17"/>
      <c r="AB598" s="17"/>
      <c r="AC598" s="17"/>
      <c r="AD598" s="32"/>
    </row>
    <row r="599" spans="14:30" x14ac:dyDescent="0.4">
      <c r="N599" s="10"/>
      <c r="P599" s="48"/>
      <c r="Q599" s="17"/>
      <c r="R599" s="17"/>
      <c r="S599" s="17"/>
      <c r="T599" s="17"/>
      <c r="U599" s="17"/>
      <c r="V599" s="17"/>
      <c r="X599" s="17"/>
      <c r="Y599" s="17"/>
      <c r="AA599" s="17"/>
      <c r="AB599" s="17"/>
      <c r="AC599" s="17"/>
      <c r="AD599" s="32"/>
    </row>
    <row r="600" spans="14:30" x14ac:dyDescent="0.4">
      <c r="N600" s="10"/>
      <c r="P600" s="48"/>
      <c r="Q600" s="17"/>
      <c r="R600" s="17"/>
      <c r="S600" s="17"/>
      <c r="T600" s="17"/>
      <c r="U600" s="17"/>
      <c r="V600" s="17"/>
      <c r="X600" s="17"/>
      <c r="Y600" s="17"/>
      <c r="AA600" s="17"/>
      <c r="AB600" s="17"/>
      <c r="AC600" s="17"/>
      <c r="AD600" s="32"/>
    </row>
    <row r="601" spans="14:30" x14ac:dyDescent="0.4">
      <c r="N601" s="10"/>
      <c r="P601" s="48"/>
      <c r="Q601" s="17"/>
      <c r="R601" s="17"/>
      <c r="S601" s="17"/>
      <c r="T601" s="17"/>
      <c r="U601" s="17"/>
      <c r="V601" s="17"/>
      <c r="X601" s="17"/>
      <c r="Y601" s="17"/>
      <c r="AA601" s="17"/>
      <c r="AB601" s="17"/>
      <c r="AC601" s="17"/>
      <c r="AD601" s="32"/>
    </row>
    <row r="602" spans="14:30" x14ac:dyDescent="0.4">
      <c r="N602" s="10"/>
      <c r="P602" s="48"/>
      <c r="Q602" s="17"/>
      <c r="R602" s="17"/>
      <c r="S602" s="17"/>
      <c r="T602" s="17"/>
      <c r="U602" s="17"/>
      <c r="V602" s="17"/>
      <c r="X602" s="17"/>
      <c r="Y602" s="17"/>
      <c r="AA602" s="17"/>
      <c r="AB602" s="17"/>
      <c r="AC602" s="17"/>
      <c r="AD602" s="32"/>
    </row>
    <row r="603" spans="14:30" x14ac:dyDescent="0.4">
      <c r="N603" s="10"/>
      <c r="P603" s="48"/>
      <c r="Q603" s="17"/>
      <c r="R603" s="17"/>
      <c r="S603" s="17"/>
      <c r="T603" s="17"/>
      <c r="U603" s="17"/>
      <c r="V603" s="17"/>
      <c r="X603" s="17"/>
      <c r="Y603" s="17"/>
      <c r="AA603" s="17"/>
      <c r="AB603" s="17"/>
      <c r="AC603" s="17"/>
      <c r="AD603" s="32"/>
    </row>
    <row r="604" spans="14:30" x14ac:dyDescent="0.4">
      <c r="N604" s="10"/>
      <c r="P604" s="48"/>
      <c r="Q604" s="17"/>
      <c r="R604" s="17"/>
      <c r="S604" s="17"/>
      <c r="T604" s="17"/>
      <c r="U604" s="17"/>
      <c r="V604" s="17"/>
      <c r="X604" s="17"/>
      <c r="Y604" s="17"/>
      <c r="AA604" s="17"/>
      <c r="AB604" s="17"/>
      <c r="AC604" s="17"/>
      <c r="AD604" s="32"/>
    </row>
    <row r="605" spans="14:30" x14ac:dyDescent="0.4">
      <c r="N605" s="10"/>
      <c r="P605" s="48"/>
      <c r="Q605" s="17"/>
      <c r="R605" s="17"/>
      <c r="S605" s="17"/>
      <c r="T605" s="17"/>
      <c r="U605" s="17"/>
      <c r="V605" s="17"/>
      <c r="X605" s="17"/>
      <c r="Y605" s="17"/>
      <c r="AA605" s="17"/>
      <c r="AB605" s="17"/>
      <c r="AC605" s="17"/>
      <c r="AD605" s="32"/>
    </row>
    <row r="606" spans="14:30" x14ac:dyDescent="0.4">
      <c r="N606" s="10"/>
      <c r="P606" s="48"/>
      <c r="Q606" s="17"/>
      <c r="R606" s="17"/>
      <c r="S606" s="17"/>
      <c r="T606" s="17"/>
      <c r="U606" s="17"/>
      <c r="V606" s="17"/>
      <c r="X606" s="17"/>
      <c r="Y606" s="17"/>
      <c r="AA606" s="17"/>
      <c r="AB606" s="17"/>
      <c r="AC606" s="17"/>
      <c r="AD606" s="32"/>
    </row>
    <row r="607" spans="14:30" x14ac:dyDescent="0.4">
      <c r="N607" s="10"/>
      <c r="P607" s="48"/>
      <c r="Q607" s="17"/>
      <c r="R607" s="17"/>
      <c r="S607" s="17"/>
      <c r="T607" s="17"/>
      <c r="U607" s="17"/>
      <c r="V607" s="17"/>
      <c r="X607" s="17"/>
      <c r="Y607" s="17"/>
      <c r="AA607" s="17"/>
      <c r="AB607" s="17"/>
      <c r="AC607" s="17"/>
      <c r="AD607" s="32"/>
    </row>
    <row r="608" spans="14:30" x14ac:dyDescent="0.4">
      <c r="N608" s="10"/>
      <c r="P608" s="48"/>
      <c r="Q608" s="17"/>
      <c r="R608" s="17"/>
      <c r="S608" s="17"/>
      <c r="T608" s="17"/>
      <c r="U608" s="17"/>
      <c r="V608" s="17"/>
      <c r="X608" s="17"/>
      <c r="Y608" s="17"/>
      <c r="AA608" s="17"/>
      <c r="AB608" s="17"/>
      <c r="AC608" s="17"/>
      <c r="AD608" s="32"/>
    </row>
    <row r="609" spans="14:30" x14ac:dyDescent="0.4">
      <c r="N609" s="10"/>
      <c r="P609" s="48"/>
      <c r="Q609" s="17"/>
      <c r="R609" s="17"/>
      <c r="S609" s="17"/>
      <c r="T609" s="17"/>
      <c r="U609" s="17"/>
      <c r="V609" s="17"/>
      <c r="X609" s="17"/>
      <c r="Y609" s="17"/>
      <c r="AA609" s="17"/>
      <c r="AB609" s="17"/>
      <c r="AC609" s="17"/>
      <c r="AD609" s="32"/>
    </row>
    <row r="610" spans="14:30" x14ac:dyDescent="0.4">
      <c r="N610" s="10"/>
      <c r="P610" s="48"/>
      <c r="Q610" s="17"/>
      <c r="R610" s="17"/>
      <c r="S610" s="17"/>
      <c r="T610" s="17"/>
      <c r="U610" s="17"/>
      <c r="V610" s="17"/>
      <c r="X610" s="17"/>
      <c r="Y610" s="17"/>
      <c r="AA610" s="17"/>
      <c r="AB610" s="17"/>
      <c r="AC610" s="17"/>
      <c r="AD610" s="32"/>
    </row>
    <row r="611" spans="14:30" x14ac:dyDescent="0.4">
      <c r="N611" s="10"/>
      <c r="P611" s="48"/>
      <c r="Q611" s="17"/>
      <c r="R611" s="17"/>
      <c r="S611" s="17"/>
      <c r="T611" s="17"/>
      <c r="U611" s="17"/>
      <c r="V611" s="17"/>
      <c r="X611" s="17"/>
      <c r="Y611" s="17"/>
      <c r="AA611" s="17"/>
      <c r="AB611" s="17"/>
      <c r="AC611" s="17"/>
      <c r="AD611" s="32"/>
    </row>
    <row r="612" spans="14:30" x14ac:dyDescent="0.4">
      <c r="N612" s="10"/>
      <c r="P612" s="48"/>
      <c r="Q612" s="17"/>
      <c r="R612" s="17"/>
      <c r="S612" s="17"/>
      <c r="T612" s="17"/>
      <c r="U612" s="17"/>
      <c r="V612" s="17"/>
      <c r="X612" s="17"/>
      <c r="Y612" s="17"/>
      <c r="AA612" s="17"/>
      <c r="AB612" s="17"/>
      <c r="AC612" s="17"/>
      <c r="AD612" s="32"/>
    </row>
    <row r="613" spans="14:30" x14ac:dyDescent="0.4">
      <c r="N613" s="10"/>
      <c r="P613" s="48"/>
      <c r="Q613" s="17"/>
      <c r="R613" s="17"/>
      <c r="S613" s="17"/>
      <c r="T613" s="17"/>
      <c r="U613" s="17"/>
      <c r="V613" s="17"/>
      <c r="X613" s="17"/>
      <c r="Y613" s="17"/>
      <c r="AA613" s="17"/>
      <c r="AB613" s="17"/>
      <c r="AC613" s="17"/>
      <c r="AD613" s="32"/>
    </row>
    <row r="614" spans="14:30" x14ac:dyDescent="0.4">
      <c r="N614" s="10"/>
      <c r="P614" s="48"/>
      <c r="Q614" s="17"/>
      <c r="R614" s="17"/>
      <c r="S614" s="17"/>
      <c r="T614" s="17"/>
      <c r="U614" s="17"/>
      <c r="V614" s="17"/>
      <c r="X614" s="17"/>
      <c r="Y614" s="17"/>
      <c r="AA614" s="17"/>
      <c r="AB614" s="17"/>
      <c r="AC614" s="17"/>
      <c r="AD614" s="32"/>
    </row>
    <row r="615" spans="14:30" x14ac:dyDescent="0.4">
      <c r="N615" s="10"/>
      <c r="P615" s="48"/>
      <c r="Q615" s="17"/>
      <c r="R615" s="17"/>
      <c r="S615" s="17"/>
      <c r="T615" s="17"/>
      <c r="U615" s="17"/>
      <c r="V615" s="17"/>
      <c r="X615" s="17"/>
      <c r="Y615" s="17"/>
      <c r="AA615" s="17"/>
      <c r="AB615" s="17"/>
      <c r="AC615" s="17"/>
      <c r="AD615" s="32"/>
    </row>
    <row r="616" spans="14:30" x14ac:dyDescent="0.4">
      <c r="N616" s="10"/>
      <c r="P616" s="48"/>
      <c r="Q616" s="17"/>
      <c r="R616" s="17"/>
      <c r="S616" s="17"/>
      <c r="T616" s="17"/>
      <c r="U616" s="17"/>
      <c r="V616" s="17"/>
      <c r="X616" s="17"/>
      <c r="Y616" s="17"/>
      <c r="AA616" s="17"/>
      <c r="AB616" s="17"/>
      <c r="AC616" s="17"/>
      <c r="AD616" s="32"/>
    </row>
    <row r="617" spans="14:30" x14ac:dyDescent="0.4">
      <c r="N617" s="10"/>
      <c r="P617" s="48"/>
      <c r="Q617" s="17"/>
      <c r="R617" s="17"/>
      <c r="S617" s="17"/>
      <c r="T617" s="17"/>
      <c r="U617" s="17"/>
      <c r="V617" s="17"/>
      <c r="X617" s="17"/>
      <c r="Y617" s="17"/>
      <c r="AA617" s="17"/>
      <c r="AB617" s="17"/>
      <c r="AC617" s="17"/>
      <c r="AD617" s="32"/>
    </row>
    <row r="618" spans="14:30" x14ac:dyDescent="0.4">
      <c r="N618" s="10"/>
      <c r="P618" s="48"/>
      <c r="Q618" s="17"/>
      <c r="R618" s="17"/>
      <c r="S618" s="17"/>
      <c r="T618" s="17"/>
      <c r="U618" s="17"/>
      <c r="V618" s="17"/>
      <c r="X618" s="17"/>
      <c r="Y618" s="17"/>
      <c r="AA618" s="17"/>
      <c r="AB618" s="17"/>
      <c r="AC618" s="17"/>
      <c r="AD618" s="32"/>
    </row>
    <row r="619" spans="14:30" x14ac:dyDescent="0.4">
      <c r="N619" s="10"/>
      <c r="P619" s="48"/>
      <c r="Q619" s="17"/>
      <c r="R619" s="17"/>
      <c r="S619" s="17"/>
      <c r="T619" s="17"/>
      <c r="U619" s="17"/>
      <c r="V619" s="17"/>
      <c r="X619" s="17"/>
      <c r="Y619" s="17"/>
      <c r="AA619" s="17"/>
      <c r="AB619" s="17"/>
      <c r="AC619" s="17"/>
      <c r="AD619" s="32"/>
    </row>
    <row r="620" spans="14:30" x14ac:dyDescent="0.4">
      <c r="N620" s="10"/>
      <c r="P620" s="48"/>
      <c r="Q620" s="17"/>
      <c r="R620" s="17"/>
      <c r="S620" s="17"/>
      <c r="T620" s="17"/>
      <c r="U620" s="17"/>
      <c r="V620" s="17"/>
      <c r="X620" s="17"/>
      <c r="Y620" s="17"/>
      <c r="AA620" s="17"/>
      <c r="AB620" s="17"/>
      <c r="AC620" s="17"/>
      <c r="AD620" s="32"/>
    </row>
    <row r="621" spans="14:30" x14ac:dyDescent="0.4">
      <c r="N621" s="10"/>
      <c r="P621" s="48"/>
      <c r="Q621" s="17"/>
      <c r="R621" s="17"/>
      <c r="S621" s="17"/>
      <c r="T621" s="17"/>
      <c r="U621" s="17"/>
      <c r="V621" s="17"/>
      <c r="X621" s="17"/>
      <c r="Y621" s="17"/>
      <c r="AA621" s="17"/>
      <c r="AB621" s="17"/>
      <c r="AC621" s="17"/>
      <c r="AD621" s="32"/>
    </row>
    <row r="622" spans="14:30" x14ac:dyDescent="0.4">
      <c r="N622" s="10"/>
      <c r="P622" s="48"/>
      <c r="Q622" s="17"/>
      <c r="R622" s="17"/>
      <c r="S622" s="17"/>
      <c r="T622" s="17"/>
      <c r="U622" s="17"/>
      <c r="V622" s="17"/>
      <c r="X622" s="17"/>
      <c r="Y622" s="17"/>
      <c r="AA622" s="17"/>
      <c r="AB622" s="17"/>
      <c r="AC622" s="17"/>
      <c r="AD622" s="32"/>
    </row>
    <row r="623" spans="14:30" x14ac:dyDescent="0.4">
      <c r="N623" s="10"/>
      <c r="P623" s="48"/>
      <c r="Q623" s="17"/>
      <c r="R623" s="17"/>
      <c r="S623" s="17"/>
      <c r="T623" s="17"/>
      <c r="U623" s="17"/>
      <c r="V623" s="17"/>
      <c r="X623" s="17"/>
      <c r="Y623" s="17"/>
      <c r="AA623" s="17"/>
      <c r="AB623" s="17"/>
      <c r="AC623" s="17"/>
      <c r="AD623" s="32"/>
    </row>
    <row r="624" spans="14:30" x14ac:dyDescent="0.4">
      <c r="N624" s="10"/>
      <c r="P624" s="48"/>
      <c r="Q624" s="17"/>
      <c r="R624" s="17"/>
      <c r="S624" s="17"/>
      <c r="T624" s="17"/>
      <c r="U624" s="17"/>
      <c r="V624" s="17"/>
      <c r="X624" s="17"/>
      <c r="Y624" s="17"/>
      <c r="AA624" s="17"/>
      <c r="AB624" s="17"/>
      <c r="AC624" s="17"/>
      <c r="AD624" s="32"/>
    </row>
    <row r="625" spans="14:30" x14ac:dyDescent="0.4">
      <c r="N625" s="10"/>
      <c r="P625" s="48"/>
      <c r="Q625" s="17"/>
      <c r="R625" s="17"/>
      <c r="S625" s="17"/>
      <c r="T625" s="17"/>
      <c r="U625" s="17"/>
      <c r="V625" s="17"/>
      <c r="X625" s="17"/>
      <c r="Y625" s="17"/>
      <c r="AA625" s="17"/>
      <c r="AB625" s="17"/>
      <c r="AC625" s="17"/>
      <c r="AD625" s="32"/>
    </row>
    <row r="626" spans="14:30" x14ac:dyDescent="0.4">
      <c r="N626" s="10"/>
      <c r="P626" s="48"/>
      <c r="Q626" s="17"/>
      <c r="R626" s="17"/>
      <c r="S626" s="17"/>
      <c r="T626" s="17"/>
      <c r="U626" s="17"/>
      <c r="V626" s="17"/>
      <c r="X626" s="17"/>
      <c r="Y626" s="17"/>
      <c r="AA626" s="17"/>
      <c r="AB626" s="17"/>
      <c r="AC626" s="17"/>
      <c r="AD626" s="32"/>
    </row>
    <row r="627" spans="14:30" x14ac:dyDescent="0.4">
      <c r="N627" s="10"/>
      <c r="P627" s="48"/>
      <c r="Q627" s="17"/>
      <c r="R627" s="17"/>
      <c r="S627" s="17"/>
      <c r="T627" s="17"/>
      <c r="U627" s="17"/>
      <c r="V627" s="17"/>
      <c r="X627" s="17"/>
      <c r="Y627" s="17"/>
      <c r="AA627" s="17"/>
      <c r="AB627" s="17"/>
      <c r="AC627" s="17"/>
      <c r="AD627" s="32"/>
    </row>
    <row r="628" spans="14:30" x14ac:dyDescent="0.4">
      <c r="N628" s="10"/>
      <c r="P628" s="48"/>
      <c r="Q628" s="17"/>
      <c r="R628" s="17"/>
      <c r="S628" s="17"/>
      <c r="T628" s="17"/>
      <c r="U628" s="17"/>
      <c r="V628" s="17"/>
      <c r="X628" s="17"/>
      <c r="Y628" s="17"/>
      <c r="AA628" s="17"/>
      <c r="AB628" s="17"/>
      <c r="AC628" s="17"/>
      <c r="AD628" s="32"/>
    </row>
    <row r="629" spans="14:30" x14ac:dyDescent="0.4">
      <c r="N629" s="10"/>
      <c r="P629" s="48"/>
      <c r="Q629" s="17"/>
      <c r="R629" s="17"/>
      <c r="S629" s="17"/>
      <c r="T629" s="17"/>
      <c r="U629" s="17"/>
      <c r="V629" s="17"/>
      <c r="X629" s="17"/>
      <c r="Y629" s="17"/>
      <c r="AA629" s="17"/>
      <c r="AB629" s="17"/>
      <c r="AC629" s="17"/>
      <c r="AD629" s="32"/>
    </row>
    <row r="630" spans="14:30" x14ac:dyDescent="0.4">
      <c r="N630" s="10"/>
      <c r="P630" s="48"/>
      <c r="Q630" s="17"/>
      <c r="R630" s="17"/>
      <c r="S630" s="17"/>
      <c r="T630" s="17"/>
      <c r="U630" s="17"/>
      <c r="V630" s="17"/>
      <c r="X630" s="17"/>
      <c r="Y630" s="17"/>
      <c r="AA630" s="17"/>
      <c r="AB630" s="17"/>
      <c r="AC630" s="17"/>
      <c r="AD630" s="32"/>
    </row>
    <row r="631" spans="14:30" x14ac:dyDescent="0.4">
      <c r="N631" s="10"/>
      <c r="P631" s="48"/>
      <c r="Q631" s="17"/>
      <c r="R631" s="17"/>
      <c r="S631" s="17"/>
      <c r="T631" s="17"/>
      <c r="U631" s="17"/>
      <c r="V631" s="17"/>
      <c r="X631" s="17"/>
      <c r="Y631" s="17"/>
      <c r="AA631" s="17"/>
      <c r="AB631" s="17"/>
      <c r="AC631" s="17"/>
      <c r="AD631" s="32"/>
    </row>
    <row r="632" spans="14:30" x14ac:dyDescent="0.4">
      <c r="N632" s="10"/>
      <c r="P632" s="48"/>
      <c r="Q632" s="17"/>
      <c r="R632" s="17"/>
      <c r="S632" s="17"/>
      <c r="T632" s="17"/>
      <c r="U632" s="17"/>
      <c r="V632" s="17"/>
      <c r="X632" s="17"/>
      <c r="Y632" s="17"/>
      <c r="AA632" s="17"/>
      <c r="AB632" s="17"/>
      <c r="AC632" s="17"/>
      <c r="AD632" s="32"/>
    </row>
    <row r="633" spans="14:30" x14ac:dyDescent="0.4">
      <c r="N633" s="10"/>
      <c r="P633" s="48"/>
      <c r="Q633" s="17"/>
      <c r="R633" s="17"/>
      <c r="S633" s="17"/>
      <c r="T633" s="17"/>
      <c r="U633" s="17"/>
      <c r="V633" s="17"/>
      <c r="X633" s="17"/>
      <c r="Y633" s="17"/>
      <c r="AA633" s="17"/>
      <c r="AB633" s="17"/>
      <c r="AC633" s="17"/>
      <c r="AD633" s="32"/>
    </row>
    <row r="634" spans="14:30" x14ac:dyDescent="0.4">
      <c r="N634" s="10"/>
      <c r="P634" s="48"/>
      <c r="Q634" s="17"/>
      <c r="R634" s="17"/>
      <c r="S634" s="17"/>
      <c r="T634" s="17"/>
      <c r="U634" s="17"/>
      <c r="V634" s="17"/>
      <c r="X634" s="17"/>
      <c r="Y634" s="17"/>
      <c r="AA634" s="17"/>
      <c r="AB634" s="17"/>
      <c r="AC634" s="17"/>
      <c r="AD634" s="32"/>
    </row>
    <row r="635" spans="14:30" x14ac:dyDescent="0.4">
      <c r="N635" s="10"/>
      <c r="P635" s="48"/>
      <c r="Q635" s="17"/>
      <c r="R635" s="17"/>
      <c r="S635" s="17"/>
      <c r="T635" s="17"/>
      <c r="U635" s="17"/>
      <c r="V635" s="17"/>
      <c r="X635" s="17"/>
      <c r="Y635" s="17"/>
      <c r="AA635" s="17"/>
      <c r="AB635" s="17"/>
      <c r="AC635" s="17"/>
      <c r="AD635" s="32"/>
    </row>
    <row r="636" spans="14:30" x14ac:dyDescent="0.4">
      <c r="N636" s="10"/>
      <c r="P636" s="48"/>
      <c r="Q636" s="17"/>
      <c r="R636" s="17"/>
      <c r="S636" s="17"/>
      <c r="T636" s="17"/>
      <c r="U636" s="17"/>
      <c r="V636" s="17"/>
      <c r="X636" s="17"/>
      <c r="Y636" s="17"/>
      <c r="AA636" s="17"/>
      <c r="AB636" s="17"/>
      <c r="AC636" s="17"/>
      <c r="AD636" s="32"/>
    </row>
    <row r="637" spans="14:30" x14ac:dyDescent="0.4">
      <c r="N637" s="10"/>
      <c r="P637" s="48"/>
      <c r="Q637" s="17"/>
      <c r="R637" s="17"/>
      <c r="S637" s="17"/>
      <c r="T637" s="17"/>
      <c r="U637" s="17"/>
      <c r="V637" s="17"/>
      <c r="X637" s="17"/>
      <c r="Y637" s="17"/>
      <c r="AA637" s="17"/>
      <c r="AB637" s="17"/>
      <c r="AC637" s="17"/>
      <c r="AD637" s="32"/>
    </row>
    <row r="638" spans="14:30" x14ac:dyDescent="0.4">
      <c r="N638" s="10"/>
      <c r="P638" s="48"/>
      <c r="Q638" s="17"/>
      <c r="R638" s="17"/>
      <c r="S638" s="17"/>
      <c r="T638" s="17"/>
      <c r="U638" s="17"/>
      <c r="V638" s="17"/>
      <c r="X638" s="17"/>
      <c r="Y638" s="17"/>
      <c r="AA638" s="17"/>
      <c r="AB638" s="17"/>
      <c r="AC638" s="17"/>
      <c r="AD638" s="32"/>
    </row>
    <row r="639" spans="14:30" x14ac:dyDescent="0.4">
      <c r="N639" s="10"/>
      <c r="P639" s="48"/>
      <c r="Q639" s="17"/>
      <c r="R639" s="17"/>
      <c r="S639" s="17"/>
      <c r="T639" s="17"/>
      <c r="U639" s="17"/>
      <c r="V639" s="17"/>
      <c r="X639" s="17"/>
      <c r="Y639" s="17"/>
      <c r="AA639" s="17"/>
      <c r="AB639" s="17"/>
      <c r="AC639" s="17"/>
      <c r="AD639" s="32"/>
    </row>
    <row r="640" spans="14:30" x14ac:dyDescent="0.4">
      <c r="N640" s="10"/>
      <c r="P640" s="48"/>
      <c r="Q640" s="17"/>
      <c r="R640" s="17"/>
      <c r="S640" s="17"/>
      <c r="T640" s="17"/>
      <c r="U640" s="17"/>
      <c r="V640" s="17"/>
      <c r="X640" s="17"/>
      <c r="Y640" s="17"/>
      <c r="AA640" s="17"/>
      <c r="AB640" s="17"/>
      <c r="AC640" s="17"/>
      <c r="AD640" s="32"/>
    </row>
    <row r="641" spans="14:30" x14ac:dyDescent="0.4">
      <c r="N641" s="10"/>
      <c r="P641" s="48"/>
      <c r="Q641" s="17"/>
      <c r="R641" s="17"/>
      <c r="S641" s="17"/>
      <c r="T641" s="17"/>
      <c r="U641" s="17"/>
      <c r="V641" s="17"/>
      <c r="X641" s="17"/>
      <c r="Y641" s="17"/>
      <c r="AA641" s="17"/>
      <c r="AB641" s="17"/>
      <c r="AC641" s="17"/>
      <c r="AD641" s="32"/>
    </row>
    <row r="642" spans="14:30" x14ac:dyDescent="0.4">
      <c r="N642" s="10"/>
      <c r="P642" s="48"/>
      <c r="Q642" s="17"/>
      <c r="R642" s="17"/>
      <c r="S642" s="17"/>
      <c r="T642" s="17"/>
      <c r="U642" s="17"/>
      <c r="V642" s="17"/>
      <c r="X642" s="17"/>
      <c r="Y642" s="17"/>
      <c r="AA642" s="17"/>
      <c r="AB642" s="17"/>
      <c r="AC642" s="17"/>
      <c r="AD642" s="32"/>
    </row>
    <row r="643" spans="14:30" x14ac:dyDescent="0.4">
      <c r="N643" s="10"/>
      <c r="P643" s="48"/>
      <c r="Q643" s="17"/>
      <c r="R643" s="17"/>
      <c r="S643" s="17"/>
      <c r="T643" s="17"/>
      <c r="U643" s="17"/>
      <c r="V643" s="17"/>
      <c r="X643" s="17"/>
      <c r="Y643" s="17"/>
      <c r="AA643" s="17"/>
      <c r="AB643" s="17"/>
      <c r="AC643" s="17"/>
      <c r="AD643" s="32"/>
    </row>
    <row r="644" spans="14:30" x14ac:dyDescent="0.4">
      <c r="N644" s="10"/>
      <c r="P644" s="48"/>
      <c r="Q644" s="17"/>
      <c r="R644" s="17"/>
      <c r="S644" s="17"/>
      <c r="T644" s="17"/>
      <c r="U644" s="17"/>
      <c r="V644" s="17"/>
      <c r="X644" s="17"/>
      <c r="Y644" s="17"/>
      <c r="AA644" s="17"/>
      <c r="AB644" s="17"/>
      <c r="AC644" s="17"/>
      <c r="AD644" s="32"/>
    </row>
    <row r="645" spans="14:30" x14ac:dyDescent="0.4">
      <c r="N645" s="10"/>
      <c r="P645" s="48"/>
      <c r="Q645" s="17"/>
      <c r="R645" s="17"/>
      <c r="S645" s="17"/>
      <c r="T645" s="17"/>
      <c r="U645" s="17"/>
      <c r="V645" s="17"/>
      <c r="X645" s="17"/>
      <c r="Y645" s="17"/>
      <c r="AA645" s="17"/>
      <c r="AB645" s="17"/>
      <c r="AC645" s="17"/>
      <c r="AD645" s="32"/>
    </row>
    <row r="646" spans="14:30" x14ac:dyDescent="0.4">
      <c r="N646" s="10"/>
      <c r="P646" s="48"/>
      <c r="Q646" s="17"/>
      <c r="R646" s="17"/>
      <c r="S646" s="17"/>
      <c r="T646" s="17"/>
      <c r="U646" s="17"/>
      <c r="V646" s="17"/>
      <c r="X646" s="17"/>
      <c r="Y646" s="17"/>
      <c r="AA646" s="17"/>
      <c r="AB646" s="17"/>
      <c r="AC646" s="17"/>
      <c r="AD646" s="32"/>
    </row>
    <row r="647" spans="14:30" x14ac:dyDescent="0.4">
      <c r="N647" s="10"/>
      <c r="P647" s="48"/>
      <c r="Q647" s="17"/>
      <c r="R647" s="17"/>
      <c r="S647" s="17"/>
      <c r="T647" s="17"/>
      <c r="U647" s="17"/>
      <c r="V647" s="17"/>
      <c r="X647" s="17"/>
      <c r="Y647" s="17"/>
      <c r="AA647" s="17"/>
      <c r="AB647" s="17"/>
      <c r="AC647" s="17"/>
      <c r="AD647" s="32"/>
    </row>
    <row r="648" spans="14:30" x14ac:dyDescent="0.4">
      <c r="N648" s="10"/>
      <c r="P648" s="48"/>
      <c r="Q648" s="17"/>
      <c r="R648" s="17"/>
      <c r="S648" s="17"/>
      <c r="T648" s="17"/>
      <c r="U648" s="17"/>
      <c r="V648" s="17"/>
      <c r="X648" s="17"/>
      <c r="Y648" s="17"/>
      <c r="AA648" s="17"/>
      <c r="AB648" s="17"/>
      <c r="AC648" s="17"/>
      <c r="AD648" s="32"/>
    </row>
    <row r="649" spans="14:30" x14ac:dyDescent="0.4">
      <c r="N649" s="10"/>
      <c r="P649" s="48"/>
      <c r="Q649" s="17"/>
      <c r="R649" s="17"/>
      <c r="S649" s="17"/>
      <c r="T649" s="17"/>
      <c r="U649" s="17"/>
      <c r="V649" s="17"/>
      <c r="X649" s="17"/>
      <c r="Y649" s="17"/>
      <c r="AA649" s="17"/>
      <c r="AB649" s="17"/>
      <c r="AC649" s="17"/>
      <c r="AD649" s="32"/>
    </row>
    <row r="650" spans="14:30" x14ac:dyDescent="0.4">
      <c r="N650" s="10"/>
      <c r="P650" s="48"/>
      <c r="Q650" s="17"/>
      <c r="R650" s="17"/>
      <c r="S650" s="17"/>
      <c r="T650" s="17"/>
      <c r="U650" s="17"/>
      <c r="V650" s="17"/>
      <c r="X650" s="17"/>
      <c r="Y650" s="17"/>
      <c r="AA650" s="17"/>
      <c r="AB650" s="17"/>
      <c r="AC650" s="17"/>
      <c r="AD650" s="32"/>
    </row>
    <row r="651" spans="14:30" x14ac:dyDescent="0.4">
      <c r="N651" s="10"/>
      <c r="P651" s="48"/>
      <c r="Q651" s="17"/>
      <c r="R651" s="17"/>
      <c r="S651" s="17"/>
      <c r="T651" s="17"/>
      <c r="U651" s="17"/>
      <c r="V651" s="17"/>
      <c r="X651" s="17"/>
      <c r="Y651" s="17"/>
      <c r="AA651" s="17"/>
      <c r="AB651" s="17"/>
      <c r="AC651" s="17"/>
      <c r="AD651" s="32"/>
    </row>
    <row r="652" spans="14:30" x14ac:dyDescent="0.4">
      <c r="N652" s="10"/>
      <c r="P652" s="48"/>
      <c r="Q652" s="17"/>
      <c r="R652" s="17"/>
      <c r="S652" s="17"/>
      <c r="T652" s="17"/>
      <c r="U652" s="17"/>
      <c r="V652" s="17"/>
      <c r="X652" s="17"/>
      <c r="Y652" s="17"/>
      <c r="AA652" s="17"/>
      <c r="AB652" s="17"/>
      <c r="AC652" s="17"/>
      <c r="AD652" s="32"/>
    </row>
    <row r="653" spans="14:30" x14ac:dyDescent="0.4">
      <c r="N653" s="10"/>
      <c r="P653" s="48"/>
      <c r="Q653" s="17"/>
      <c r="R653" s="17"/>
      <c r="S653" s="17"/>
      <c r="T653" s="17"/>
      <c r="U653" s="17"/>
      <c r="V653" s="17"/>
      <c r="X653" s="17"/>
      <c r="Y653" s="17"/>
      <c r="AA653" s="17"/>
      <c r="AB653" s="17"/>
      <c r="AC653" s="17"/>
      <c r="AD653" s="32"/>
    </row>
    <row r="654" spans="14:30" x14ac:dyDescent="0.4">
      <c r="N654" s="10"/>
      <c r="P654" s="48"/>
      <c r="Q654" s="17"/>
      <c r="R654" s="17"/>
      <c r="S654" s="17"/>
      <c r="T654" s="17"/>
      <c r="U654" s="17"/>
      <c r="V654" s="17"/>
      <c r="X654" s="17"/>
      <c r="Y654" s="17"/>
      <c r="AA654" s="17"/>
      <c r="AB654" s="17"/>
      <c r="AC654" s="17"/>
      <c r="AD654" s="32"/>
    </row>
    <row r="655" spans="14:30" x14ac:dyDescent="0.4">
      <c r="N655" s="10"/>
      <c r="P655" s="48"/>
      <c r="Q655" s="17"/>
      <c r="R655" s="17"/>
      <c r="S655" s="17"/>
      <c r="T655" s="17"/>
      <c r="U655" s="17"/>
      <c r="V655" s="17"/>
      <c r="X655" s="17"/>
      <c r="Y655" s="17"/>
      <c r="AA655" s="17"/>
      <c r="AB655" s="17"/>
      <c r="AC655" s="17"/>
      <c r="AD655" s="32"/>
    </row>
    <row r="656" spans="14:30" x14ac:dyDescent="0.4">
      <c r="N656" s="10"/>
      <c r="P656" s="48"/>
      <c r="Q656" s="17"/>
      <c r="R656" s="17"/>
      <c r="S656" s="17"/>
      <c r="T656" s="17"/>
      <c r="U656" s="17"/>
      <c r="V656" s="17"/>
      <c r="X656" s="17"/>
      <c r="Y656" s="17"/>
      <c r="AA656" s="17"/>
      <c r="AB656" s="17"/>
      <c r="AC656" s="17"/>
      <c r="AD656" s="32"/>
    </row>
    <row r="657" spans="14:30" x14ac:dyDescent="0.4">
      <c r="N657" s="10"/>
      <c r="P657" s="48"/>
      <c r="Q657" s="17"/>
      <c r="R657" s="17"/>
      <c r="S657" s="17"/>
      <c r="T657" s="17"/>
      <c r="U657" s="17"/>
      <c r="V657" s="17"/>
      <c r="X657" s="17"/>
      <c r="Y657" s="17"/>
      <c r="AA657" s="17"/>
      <c r="AB657" s="17"/>
      <c r="AC657" s="17"/>
      <c r="AD657" s="32"/>
    </row>
    <row r="658" spans="14:30" x14ac:dyDescent="0.4">
      <c r="N658" s="10"/>
      <c r="P658" s="48"/>
      <c r="Q658" s="17"/>
      <c r="R658" s="17"/>
      <c r="S658" s="17"/>
      <c r="T658" s="17"/>
      <c r="U658" s="17"/>
      <c r="V658" s="17"/>
      <c r="X658" s="17"/>
      <c r="Y658" s="17"/>
      <c r="AA658" s="17"/>
      <c r="AB658" s="17"/>
      <c r="AC658" s="17"/>
      <c r="AD658" s="32"/>
    </row>
    <row r="659" spans="14:30" x14ac:dyDescent="0.4">
      <c r="N659" s="10"/>
      <c r="P659" s="48"/>
      <c r="Q659" s="17"/>
      <c r="R659" s="17"/>
      <c r="S659" s="17"/>
      <c r="T659" s="17"/>
      <c r="U659" s="17"/>
      <c r="V659" s="17"/>
      <c r="X659" s="17"/>
      <c r="Y659" s="17"/>
      <c r="AA659" s="17"/>
      <c r="AB659" s="17"/>
      <c r="AC659" s="17"/>
      <c r="AD659" s="32"/>
    </row>
    <row r="660" spans="14:30" x14ac:dyDescent="0.4">
      <c r="N660" s="10"/>
      <c r="P660" s="48"/>
      <c r="Q660" s="17"/>
      <c r="R660" s="17"/>
      <c r="S660" s="17"/>
      <c r="T660" s="17"/>
      <c r="U660" s="17"/>
      <c r="V660" s="17"/>
      <c r="X660" s="17"/>
      <c r="Y660" s="17"/>
      <c r="AA660" s="17"/>
      <c r="AB660" s="17"/>
      <c r="AC660" s="17"/>
      <c r="AD660" s="32"/>
    </row>
    <row r="661" spans="14:30" x14ac:dyDescent="0.4">
      <c r="N661" s="10"/>
      <c r="P661" s="48"/>
      <c r="Q661" s="17"/>
      <c r="R661" s="17"/>
      <c r="S661" s="17"/>
      <c r="T661" s="17"/>
      <c r="U661" s="17"/>
      <c r="V661" s="17"/>
      <c r="X661" s="17"/>
      <c r="Y661" s="17"/>
      <c r="AA661" s="17"/>
      <c r="AB661" s="17"/>
      <c r="AC661" s="17"/>
      <c r="AD661" s="32"/>
    </row>
    <row r="662" spans="14:30" x14ac:dyDescent="0.4">
      <c r="N662" s="10"/>
      <c r="P662" s="48"/>
      <c r="Q662" s="17"/>
      <c r="R662" s="17"/>
      <c r="S662" s="17"/>
      <c r="T662" s="17"/>
      <c r="U662" s="17"/>
      <c r="V662" s="17"/>
      <c r="X662" s="17"/>
      <c r="Y662" s="17"/>
      <c r="AA662" s="17"/>
      <c r="AB662" s="17"/>
      <c r="AC662" s="17"/>
      <c r="AD662" s="32"/>
    </row>
    <row r="663" spans="14:30" x14ac:dyDescent="0.4">
      <c r="N663" s="10"/>
      <c r="P663" s="48"/>
      <c r="Q663" s="17"/>
      <c r="R663" s="17"/>
      <c r="S663" s="17"/>
      <c r="T663" s="17"/>
      <c r="U663" s="17"/>
      <c r="V663" s="17"/>
      <c r="X663" s="17"/>
      <c r="Y663" s="17"/>
      <c r="AA663" s="17"/>
      <c r="AB663" s="17"/>
      <c r="AC663" s="17"/>
      <c r="AD663" s="32"/>
    </row>
    <row r="664" spans="14:30" x14ac:dyDescent="0.4">
      <c r="N664" s="10"/>
      <c r="P664" s="48"/>
      <c r="Q664" s="17"/>
      <c r="R664" s="17"/>
      <c r="S664" s="17"/>
      <c r="T664" s="17"/>
      <c r="U664" s="17"/>
      <c r="V664" s="17"/>
      <c r="X664" s="17"/>
      <c r="Y664" s="17"/>
      <c r="AA664" s="17"/>
      <c r="AB664" s="17"/>
      <c r="AC664" s="17"/>
      <c r="AD664" s="32"/>
    </row>
    <row r="665" spans="14:30" x14ac:dyDescent="0.4">
      <c r="N665" s="10"/>
      <c r="P665" s="48"/>
      <c r="Q665" s="17"/>
      <c r="R665" s="17"/>
      <c r="S665" s="17"/>
      <c r="T665" s="17"/>
      <c r="U665" s="17"/>
      <c r="V665" s="17"/>
      <c r="X665" s="17"/>
      <c r="Y665" s="17"/>
      <c r="AA665" s="17"/>
      <c r="AB665" s="17"/>
      <c r="AC665" s="17"/>
      <c r="AD665" s="32"/>
    </row>
    <row r="666" spans="14:30" x14ac:dyDescent="0.4">
      <c r="N666" s="10"/>
      <c r="P666" s="48"/>
      <c r="Q666" s="17"/>
      <c r="R666" s="17"/>
      <c r="S666" s="17"/>
      <c r="T666" s="17"/>
      <c r="U666" s="17"/>
      <c r="V666" s="17"/>
      <c r="X666" s="17"/>
      <c r="Y666" s="17"/>
      <c r="AA666" s="17"/>
      <c r="AB666" s="17"/>
      <c r="AC666" s="17"/>
      <c r="AD666" s="32"/>
    </row>
    <row r="667" spans="14:30" x14ac:dyDescent="0.4">
      <c r="N667" s="10"/>
      <c r="P667" s="48"/>
      <c r="Q667" s="17"/>
      <c r="R667" s="17"/>
      <c r="S667" s="17"/>
      <c r="T667" s="17"/>
      <c r="U667" s="17"/>
      <c r="V667" s="17"/>
      <c r="X667" s="17"/>
      <c r="Y667" s="17"/>
      <c r="AA667" s="17"/>
      <c r="AB667" s="17"/>
      <c r="AC667" s="17"/>
      <c r="AD667" s="32"/>
    </row>
    <row r="668" spans="14:30" x14ac:dyDescent="0.4">
      <c r="N668" s="10"/>
      <c r="P668" s="48"/>
      <c r="Q668" s="17"/>
      <c r="R668" s="17"/>
      <c r="S668" s="17"/>
      <c r="T668" s="17"/>
      <c r="U668" s="17"/>
      <c r="V668" s="17"/>
      <c r="X668" s="17"/>
      <c r="Y668" s="17"/>
      <c r="AA668" s="17"/>
      <c r="AB668" s="17"/>
      <c r="AC668" s="17"/>
      <c r="AD668" s="32"/>
    </row>
    <row r="669" spans="14:30" x14ac:dyDescent="0.4">
      <c r="N669" s="10"/>
      <c r="P669" s="48"/>
      <c r="Q669" s="17"/>
      <c r="R669" s="17"/>
      <c r="S669" s="17"/>
      <c r="T669" s="17"/>
      <c r="U669" s="17"/>
      <c r="V669" s="17"/>
      <c r="X669" s="17"/>
      <c r="Y669" s="17"/>
      <c r="AA669" s="17"/>
      <c r="AB669" s="17"/>
      <c r="AC669" s="17"/>
      <c r="AD669" s="32"/>
    </row>
    <row r="670" spans="14:30" x14ac:dyDescent="0.4">
      <c r="N670" s="10"/>
      <c r="P670" s="48"/>
      <c r="Q670" s="17"/>
      <c r="R670" s="17"/>
      <c r="S670" s="17"/>
      <c r="T670" s="17"/>
      <c r="U670" s="17"/>
      <c r="V670" s="17"/>
      <c r="X670" s="17"/>
      <c r="Y670" s="17"/>
      <c r="AA670" s="17"/>
      <c r="AB670" s="17"/>
      <c r="AC670" s="17"/>
      <c r="AD670" s="32"/>
    </row>
    <row r="671" spans="14:30" x14ac:dyDescent="0.4">
      <c r="N671" s="10"/>
      <c r="P671" s="48"/>
      <c r="Q671" s="17"/>
      <c r="R671" s="17"/>
      <c r="S671" s="17"/>
      <c r="T671" s="17"/>
      <c r="U671" s="17"/>
      <c r="V671" s="17"/>
      <c r="X671" s="17"/>
      <c r="Y671" s="17"/>
      <c r="AA671" s="17"/>
      <c r="AB671" s="17"/>
      <c r="AC671" s="17"/>
      <c r="AD671" s="32"/>
    </row>
    <row r="672" spans="14:30" x14ac:dyDescent="0.4">
      <c r="N672" s="10"/>
      <c r="P672" s="48"/>
      <c r="Q672" s="17"/>
      <c r="R672" s="17"/>
      <c r="S672" s="17"/>
      <c r="T672" s="17"/>
      <c r="U672" s="17"/>
      <c r="V672" s="17"/>
      <c r="X672" s="17"/>
      <c r="Y672" s="17"/>
      <c r="AA672" s="17"/>
      <c r="AB672" s="17"/>
      <c r="AC672" s="17"/>
      <c r="AD672" s="32"/>
    </row>
    <row r="673" spans="14:30" x14ac:dyDescent="0.4">
      <c r="N673" s="10"/>
      <c r="P673" s="48"/>
      <c r="Q673" s="17"/>
      <c r="R673" s="17"/>
      <c r="S673" s="17"/>
      <c r="T673" s="17"/>
      <c r="U673" s="17"/>
      <c r="V673" s="17"/>
      <c r="X673" s="17"/>
      <c r="Y673" s="17"/>
      <c r="AA673" s="17"/>
      <c r="AB673" s="17"/>
      <c r="AC673" s="17"/>
      <c r="AD673" s="32"/>
    </row>
    <row r="674" spans="14:30" x14ac:dyDescent="0.4">
      <c r="N674" s="10"/>
      <c r="P674" s="48"/>
      <c r="Q674" s="17"/>
      <c r="R674" s="17"/>
      <c r="S674" s="17"/>
      <c r="T674" s="17"/>
      <c r="U674" s="17"/>
      <c r="V674" s="17"/>
      <c r="X674" s="17"/>
      <c r="Y674" s="17"/>
      <c r="AA674" s="17"/>
      <c r="AB674" s="17"/>
      <c r="AC674" s="17"/>
      <c r="AD674" s="32"/>
    </row>
    <row r="675" spans="14:30" x14ac:dyDescent="0.4">
      <c r="N675" s="10"/>
      <c r="P675" s="48"/>
      <c r="Q675" s="17"/>
      <c r="R675" s="17"/>
      <c r="S675" s="17"/>
      <c r="T675" s="17"/>
      <c r="U675" s="17"/>
      <c r="V675" s="17"/>
      <c r="X675" s="17"/>
      <c r="Y675" s="17"/>
      <c r="AA675" s="17"/>
      <c r="AB675" s="17"/>
      <c r="AC675" s="17"/>
      <c r="AD675" s="32"/>
    </row>
    <row r="676" spans="14:30" x14ac:dyDescent="0.4">
      <c r="N676" s="10"/>
      <c r="P676" s="48"/>
      <c r="Q676" s="17"/>
      <c r="R676" s="17"/>
      <c r="S676" s="17"/>
      <c r="T676" s="17"/>
      <c r="U676" s="17"/>
      <c r="V676" s="17"/>
      <c r="X676" s="17"/>
      <c r="Y676" s="17"/>
      <c r="AA676" s="17"/>
      <c r="AB676" s="17"/>
      <c r="AC676" s="17"/>
      <c r="AD676" s="32"/>
    </row>
    <row r="677" spans="14:30" x14ac:dyDescent="0.4">
      <c r="N677" s="10"/>
      <c r="P677" s="48"/>
      <c r="Q677" s="17"/>
      <c r="R677" s="17"/>
      <c r="S677" s="17"/>
      <c r="T677" s="17"/>
      <c r="U677" s="17"/>
      <c r="V677" s="17"/>
      <c r="X677" s="17"/>
      <c r="Y677" s="17"/>
      <c r="AA677" s="17"/>
      <c r="AB677" s="17"/>
      <c r="AC677" s="17"/>
      <c r="AD677" s="32"/>
    </row>
    <row r="678" spans="14:30" x14ac:dyDescent="0.4">
      <c r="N678" s="10"/>
      <c r="P678" s="48"/>
      <c r="Q678" s="17"/>
      <c r="R678" s="17"/>
      <c r="S678" s="17"/>
      <c r="T678" s="17"/>
      <c r="U678" s="17"/>
      <c r="V678" s="17"/>
      <c r="X678" s="17"/>
      <c r="Y678" s="17"/>
      <c r="AA678" s="17"/>
      <c r="AB678" s="17"/>
      <c r="AC678" s="17"/>
      <c r="AD678" s="32"/>
    </row>
    <row r="679" spans="14:30" x14ac:dyDescent="0.4">
      <c r="N679" s="10"/>
      <c r="P679" s="48"/>
      <c r="Q679" s="17"/>
      <c r="R679" s="17"/>
      <c r="S679" s="17"/>
      <c r="T679" s="17"/>
      <c r="U679" s="17"/>
      <c r="V679" s="17"/>
      <c r="X679" s="17"/>
      <c r="Y679" s="17"/>
      <c r="AA679" s="17"/>
      <c r="AB679" s="17"/>
      <c r="AC679" s="17"/>
      <c r="AD679" s="32"/>
    </row>
    <row r="680" spans="14:30" x14ac:dyDescent="0.4">
      <c r="N680" s="10"/>
      <c r="P680" s="48"/>
      <c r="Q680" s="17"/>
      <c r="R680" s="17"/>
      <c r="S680" s="17"/>
      <c r="T680" s="17"/>
      <c r="U680" s="17"/>
      <c r="V680" s="17"/>
      <c r="X680" s="17"/>
      <c r="Y680" s="17"/>
      <c r="AA680" s="17"/>
      <c r="AB680" s="17"/>
      <c r="AC680" s="17"/>
      <c r="AD680" s="32"/>
    </row>
    <row r="681" spans="14:30" x14ac:dyDescent="0.4">
      <c r="N681" s="10"/>
      <c r="P681" s="48"/>
      <c r="Q681" s="17"/>
      <c r="R681" s="17"/>
      <c r="S681" s="17"/>
      <c r="T681" s="17"/>
      <c r="U681" s="17"/>
      <c r="V681" s="17"/>
      <c r="X681" s="17"/>
      <c r="Y681" s="17"/>
      <c r="AA681" s="17"/>
      <c r="AB681" s="17"/>
      <c r="AC681" s="17"/>
      <c r="AD681" s="32"/>
    </row>
    <row r="682" spans="14:30" x14ac:dyDescent="0.4">
      <c r="N682" s="10"/>
      <c r="P682" s="48"/>
      <c r="Q682" s="17"/>
      <c r="R682" s="17"/>
      <c r="S682" s="17"/>
      <c r="T682" s="17"/>
      <c r="U682" s="17"/>
      <c r="V682" s="17"/>
      <c r="X682" s="17"/>
      <c r="Y682" s="17"/>
      <c r="AA682" s="17"/>
      <c r="AB682" s="17"/>
      <c r="AC682" s="17"/>
      <c r="AD682" s="32"/>
    </row>
    <row r="683" spans="14:30" x14ac:dyDescent="0.4">
      <c r="N683" s="10"/>
      <c r="P683" s="48"/>
      <c r="Q683" s="17"/>
      <c r="R683" s="17"/>
      <c r="S683" s="17"/>
      <c r="T683" s="17"/>
      <c r="U683" s="17"/>
      <c r="V683" s="17"/>
      <c r="X683" s="17"/>
      <c r="Y683" s="17"/>
      <c r="AA683" s="17"/>
      <c r="AB683" s="17"/>
      <c r="AC683" s="17"/>
      <c r="AD683" s="32"/>
    </row>
    <row r="684" spans="14:30" x14ac:dyDescent="0.4">
      <c r="N684" s="10"/>
      <c r="P684" s="48"/>
      <c r="Q684" s="17"/>
      <c r="R684" s="17"/>
      <c r="S684" s="17"/>
      <c r="T684" s="17"/>
      <c r="U684" s="17"/>
      <c r="V684" s="17"/>
      <c r="X684" s="17"/>
      <c r="Y684" s="17"/>
      <c r="AA684" s="17"/>
      <c r="AB684" s="17"/>
      <c r="AC684" s="17"/>
      <c r="AD684" s="32"/>
    </row>
    <row r="685" spans="14:30" x14ac:dyDescent="0.4">
      <c r="N685" s="10"/>
      <c r="P685" s="48"/>
      <c r="Q685" s="17"/>
      <c r="R685" s="17"/>
      <c r="S685" s="17"/>
      <c r="T685" s="17"/>
      <c r="U685" s="17"/>
      <c r="V685" s="17"/>
      <c r="X685" s="17"/>
      <c r="Y685" s="17"/>
      <c r="AA685" s="17"/>
      <c r="AB685" s="17"/>
      <c r="AC685" s="17"/>
      <c r="AD685" s="32"/>
    </row>
    <row r="686" spans="14:30" x14ac:dyDescent="0.4">
      <c r="N686" s="10"/>
      <c r="P686" s="48"/>
      <c r="Q686" s="17"/>
      <c r="R686" s="17"/>
      <c r="S686" s="17"/>
      <c r="T686" s="17"/>
      <c r="U686" s="17"/>
      <c r="V686" s="17"/>
      <c r="X686" s="17"/>
      <c r="Y686" s="17"/>
      <c r="AA686" s="17"/>
      <c r="AB686" s="17"/>
      <c r="AC686" s="17"/>
      <c r="AD686" s="32"/>
    </row>
    <row r="687" spans="14:30" x14ac:dyDescent="0.4">
      <c r="N687" s="10"/>
      <c r="P687" s="48"/>
      <c r="Q687" s="17"/>
      <c r="R687" s="17"/>
      <c r="S687" s="17"/>
      <c r="T687" s="17"/>
      <c r="U687" s="17"/>
      <c r="V687" s="17"/>
      <c r="X687" s="17"/>
      <c r="Y687" s="17"/>
      <c r="AA687" s="17"/>
      <c r="AB687" s="17"/>
      <c r="AC687" s="17"/>
      <c r="AD687" s="32"/>
    </row>
    <row r="688" spans="14:30" x14ac:dyDescent="0.4">
      <c r="N688" s="10"/>
      <c r="P688" s="48"/>
      <c r="Q688" s="17"/>
      <c r="R688" s="17"/>
      <c r="S688" s="17"/>
      <c r="T688" s="17"/>
      <c r="U688" s="17"/>
      <c r="V688" s="17"/>
      <c r="X688" s="17"/>
      <c r="Y688" s="17"/>
      <c r="AA688" s="17"/>
      <c r="AB688" s="17"/>
      <c r="AC688" s="17"/>
      <c r="AD688" s="32"/>
    </row>
    <row r="689" spans="14:30" x14ac:dyDescent="0.4">
      <c r="N689" s="10"/>
      <c r="P689" s="48"/>
      <c r="Q689" s="17"/>
      <c r="R689" s="17"/>
      <c r="S689" s="17"/>
      <c r="T689" s="17"/>
      <c r="U689" s="17"/>
      <c r="V689" s="17"/>
      <c r="X689" s="17"/>
      <c r="Y689" s="17"/>
      <c r="AA689" s="17"/>
      <c r="AB689" s="17"/>
      <c r="AC689" s="17"/>
      <c r="AD689" s="32"/>
    </row>
    <row r="690" spans="14:30" x14ac:dyDescent="0.4">
      <c r="N690" s="10"/>
      <c r="P690" s="48"/>
      <c r="Q690" s="17"/>
      <c r="R690" s="17"/>
      <c r="S690" s="17"/>
      <c r="T690" s="17"/>
      <c r="U690" s="17"/>
      <c r="V690" s="17"/>
      <c r="X690" s="17"/>
      <c r="Y690" s="17"/>
      <c r="AA690" s="17"/>
      <c r="AB690" s="17"/>
      <c r="AC690" s="17"/>
      <c r="AD690" s="32"/>
    </row>
    <row r="691" spans="14:30" x14ac:dyDescent="0.4">
      <c r="N691" s="10"/>
      <c r="P691" s="48"/>
      <c r="Q691" s="17"/>
      <c r="R691" s="17"/>
      <c r="S691" s="17"/>
      <c r="T691" s="17"/>
      <c r="U691" s="17"/>
      <c r="V691" s="17"/>
      <c r="X691" s="17"/>
      <c r="Y691" s="17"/>
      <c r="AA691" s="17"/>
      <c r="AB691" s="17"/>
      <c r="AC691" s="17"/>
      <c r="AD691" s="32"/>
    </row>
    <row r="692" spans="14:30" x14ac:dyDescent="0.4">
      <c r="N692" s="10"/>
      <c r="P692" s="48"/>
      <c r="Q692" s="17"/>
      <c r="R692" s="17"/>
      <c r="S692" s="17"/>
      <c r="T692" s="17"/>
      <c r="U692" s="17"/>
      <c r="V692" s="17"/>
      <c r="X692" s="17"/>
      <c r="Y692" s="17"/>
      <c r="AA692" s="17"/>
      <c r="AB692" s="17"/>
      <c r="AC692" s="17"/>
      <c r="AD692" s="32"/>
    </row>
    <row r="693" spans="14:30" x14ac:dyDescent="0.4">
      <c r="N693" s="10"/>
      <c r="P693" s="48"/>
      <c r="Q693" s="17"/>
      <c r="R693" s="17"/>
      <c r="S693" s="17"/>
      <c r="T693" s="17"/>
      <c r="U693" s="17"/>
      <c r="V693" s="17"/>
      <c r="X693" s="17"/>
      <c r="Y693" s="17"/>
      <c r="AA693" s="17"/>
      <c r="AB693" s="17"/>
      <c r="AC693" s="17"/>
      <c r="AD693" s="32"/>
    </row>
    <row r="694" spans="14:30" x14ac:dyDescent="0.4">
      <c r="N694" s="10"/>
      <c r="P694" s="48"/>
      <c r="Q694" s="17"/>
      <c r="R694" s="17"/>
      <c r="S694" s="17"/>
      <c r="T694" s="17"/>
      <c r="U694" s="17"/>
      <c r="V694" s="17"/>
      <c r="X694" s="17"/>
      <c r="Y694" s="17"/>
      <c r="AA694" s="17"/>
      <c r="AB694" s="17"/>
      <c r="AC694" s="17"/>
      <c r="AD694" s="32"/>
    </row>
    <row r="695" spans="14:30" x14ac:dyDescent="0.4">
      <c r="N695" s="10"/>
      <c r="P695" s="48"/>
      <c r="Q695" s="17"/>
      <c r="R695" s="17"/>
      <c r="S695" s="17"/>
      <c r="T695" s="17"/>
      <c r="U695" s="17"/>
      <c r="V695" s="17"/>
      <c r="X695" s="17"/>
      <c r="Y695" s="17"/>
      <c r="AA695" s="17"/>
      <c r="AB695" s="17"/>
      <c r="AC695" s="17"/>
      <c r="AD695" s="32"/>
    </row>
    <row r="696" spans="14:30" x14ac:dyDescent="0.4">
      <c r="N696" s="10"/>
      <c r="P696" s="48"/>
      <c r="Q696" s="17"/>
      <c r="R696" s="17"/>
      <c r="S696" s="17"/>
      <c r="T696" s="17"/>
      <c r="U696" s="17"/>
      <c r="V696" s="17"/>
      <c r="X696" s="17"/>
      <c r="Y696" s="17"/>
      <c r="AA696" s="17"/>
      <c r="AB696" s="17"/>
      <c r="AC696" s="17"/>
      <c r="AD696" s="32"/>
    </row>
    <row r="697" spans="14:30" x14ac:dyDescent="0.4">
      <c r="N697" s="10"/>
      <c r="P697" s="48"/>
      <c r="Q697" s="17"/>
      <c r="R697" s="17"/>
      <c r="S697" s="17"/>
      <c r="T697" s="17"/>
      <c r="U697" s="17"/>
      <c r="V697" s="17"/>
      <c r="X697" s="17"/>
      <c r="Y697" s="17"/>
      <c r="AA697" s="17"/>
      <c r="AB697" s="17"/>
      <c r="AC697" s="17"/>
      <c r="AD697" s="32"/>
    </row>
    <row r="698" spans="14:30" x14ac:dyDescent="0.4">
      <c r="N698" s="10"/>
      <c r="P698" s="48"/>
      <c r="Q698" s="17"/>
      <c r="R698" s="17"/>
      <c r="S698" s="17"/>
      <c r="T698" s="17"/>
      <c r="U698" s="17"/>
      <c r="V698" s="17"/>
      <c r="X698" s="17"/>
      <c r="Y698" s="17"/>
      <c r="AA698" s="17"/>
      <c r="AB698" s="17"/>
      <c r="AC698" s="17"/>
      <c r="AD698" s="32"/>
    </row>
    <row r="699" spans="14:30" x14ac:dyDescent="0.4">
      <c r="N699" s="10"/>
      <c r="P699" s="48"/>
      <c r="Q699" s="17"/>
      <c r="R699" s="17"/>
      <c r="S699" s="17"/>
      <c r="T699" s="17"/>
      <c r="U699" s="17"/>
      <c r="V699" s="17"/>
      <c r="X699" s="17"/>
      <c r="Y699" s="17"/>
      <c r="AA699" s="17"/>
      <c r="AB699" s="17"/>
      <c r="AC699" s="17"/>
      <c r="AD699" s="32"/>
    </row>
    <row r="700" spans="14:30" x14ac:dyDescent="0.4">
      <c r="N700" s="10"/>
      <c r="P700" s="48"/>
      <c r="Q700" s="17"/>
      <c r="R700" s="17"/>
      <c r="S700" s="17"/>
      <c r="T700" s="17"/>
      <c r="U700" s="17"/>
      <c r="V700" s="17"/>
      <c r="X700" s="17"/>
      <c r="Y700" s="17"/>
      <c r="AA700" s="17"/>
      <c r="AB700" s="17"/>
      <c r="AC700" s="17"/>
      <c r="AD700" s="32"/>
    </row>
    <row r="701" spans="14:30" x14ac:dyDescent="0.4">
      <c r="N701" s="10"/>
      <c r="P701" s="48"/>
      <c r="Q701" s="17"/>
      <c r="R701" s="17"/>
      <c r="S701" s="17"/>
      <c r="T701" s="17"/>
      <c r="U701" s="17"/>
      <c r="V701" s="17"/>
      <c r="X701" s="17"/>
      <c r="Y701" s="17"/>
      <c r="AA701" s="17"/>
      <c r="AB701" s="17"/>
      <c r="AC701" s="17"/>
      <c r="AD701" s="32"/>
    </row>
    <row r="702" spans="14:30" x14ac:dyDescent="0.4">
      <c r="N702" s="10"/>
      <c r="P702" s="48"/>
      <c r="Q702" s="17"/>
      <c r="R702" s="17"/>
      <c r="S702" s="17"/>
      <c r="T702" s="17"/>
      <c r="U702" s="17"/>
      <c r="V702" s="17"/>
      <c r="X702" s="17"/>
      <c r="Y702" s="17"/>
      <c r="AA702" s="17"/>
      <c r="AB702" s="17"/>
      <c r="AC702" s="17"/>
      <c r="AD702" s="32"/>
    </row>
    <row r="703" spans="14:30" x14ac:dyDescent="0.4">
      <c r="N703" s="10"/>
      <c r="P703" s="48"/>
      <c r="Q703" s="17"/>
      <c r="R703" s="17"/>
      <c r="S703" s="17"/>
      <c r="T703" s="17"/>
      <c r="U703" s="17"/>
      <c r="V703" s="17"/>
      <c r="X703" s="17"/>
      <c r="Y703" s="17"/>
      <c r="AA703" s="17"/>
      <c r="AB703" s="17"/>
      <c r="AC703" s="17"/>
      <c r="AD703" s="32"/>
    </row>
    <row r="704" spans="14:30" x14ac:dyDescent="0.4">
      <c r="N704" s="10"/>
      <c r="P704" s="48"/>
      <c r="Q704" s="17"/>
      <c r="R704" s="17"/>
      <c r="S704" s="17"/>
      <c r="T704" s="17"/>
      <c r="U704" s="17"/>
      <c r="V704" s="17"/>
      <c r="X704" s="17"/>
      <c r="Y704" s="17"/>
      <c r="AA704" s="17"/>
      <c r="AB704" s="17"/>
      <c r="AC704" s="17"/>
      <c r="AD704" s="32"/>
    </row>
    <row r="705" spans="14:30" x14ac:dyDescent="0.4">
      <c r="N705" s="10"/>
      <c r="P705" s="48"/>
      <c r="Q705" s="17"/>
      <c r="R705" s="17"/>
      <c r="S705" s="17"/>
      <c r="T705" s="17"/>
      <c r="U705" s="17"/>
      <c r="V705" s="17"/>
      <c r="X705" s="17"/>
      <c r="Y705" s="17"/>
      <c r="AA705" s="17"/>
      <c r="AB705" s="17"/>
      <c r="AC705" s="17"/>
      <c r="AD705" s="32"/>
    </row>
    <row r="706" spans="14:30" x14ac:dyDescent="0.4">
      <c r="N706" s="10"/>
      <c r="P706" s="48"/>
      <c r="Q706" s="17"/>
      <c r="R706" s="17"/>
      <c r="S706" s="17"/>
      <c r="T706" s="17"/>
      <c r="U706" s="17"/>
      <c r="V706" s="17"/>
      <c r="X706" s="17"/>
      <c r="Y706" s="17"/>
      <c r="AA706" s="17"/>
      <c r="AB706" s="17"/>
      <c r="AC706" s="17"/>
      <c r="AD706" s="32"/>
    </row>
    <row r="707" spans="14:30" x14ac:dyDescent="0.4">
      <c r="N707" s="10"/>
      <c r="P707" s="48"/>
      <c r="Q707" s="17"/>
      <c r="R707" s="17"/>
      <c r="S707" s="17"/>
      <c r="T707" s="17"/>
      <c r="U707" s="17"/>
      <c r="V707" s="17"/>
      <c r="X707" s="17"/>
      <c r="Y707" s="17"/>
      <c r="AA707" s="17"/>
      <c r="AB707" s="17"/>
      <c r="AC707" s="17"/>
      <c r="AD707" s="32"/>
    </row>
    <row r="708" spans="14:30" x14ac:dyDescent="0.4">
      <c r="N708" s="10"/>
      <c r="P708" s="48"/>
      <c r="Q708" s="17"/>
      <c r="R708" s="17"/>
      <c r="S708" s="17"/>
      <c r="T708" s="17"/>
      <c r="U708" s="17"/>
      <c r="V708" s="17"/>
      <c r="X708" s="17"/>
      <c r="Y708" s="17"/>
      <c r="AA708" s="17"/>
      <c r="AB708" s="17"/>
      <c r="AC708" s="17"/>
      <c r="AD708" s="32"/>
    </row>
  </sheetData>
  <mergeCells count="31">
    <mergeCell ref="AV4:AX4"/>
    <mergeCell ref="Q5:S5"/>
    <mergeCell ref="T5:V5"/>
    <mergeCell ref="W5:Y5"/>
    <mergeCell ref="Z5:AB5"/>
    <mergeCell ref="AC5:AE5"/>
    <mergeCell ref="AM5:AO5"/>
    <mergeCell ref="AV5:AX5"/>
    <mergeCell ref="E6:K6"/>
    <mergeCell ref="A1:M1"/>
    <mergeCell ref="N1:X1"/>
    <mergeCell ref="P4:AE4"/>
    <mergeCell ref="AF4:AU4"/>
    <mergeCell ref="AG5:AI5"/>
    <mergeCell ref="AJ5:AL5"/>
    <mergeCell ref="AP5:AR5"/>
    <mergeCell ref="AS5:AU5"/>
    <mergeCell ref="P16:AE16"/>
    <mergeCell ref="AF16:AU16"/>
    <mergeCell ref="AV16:AX16"/>
    <mergeCell ref="Q17:S17"/>
    <mergeCell ref="T17:V17"/>
    <mergeCell ref="W17:Y17"/>
    <mergeCell ref="Z17:AB17"/>
    <mergeCell ref="AC17:AE17"/>
    <mergeCell ref="AG17:AI17"/>
    <mergeCell ref="AJ17:AL17"/>
    <mergeCell ref="AM17:AO17"/>
    <mergeCell ref="AP17:AR17"/>
    <mergeCell ref="AS17:AU17"/>
    <mergeCell ref="AV17:AX17"/>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708"/>
  <sheetViews>
    <sheetView zoomScale="85" zoomScaleNormal="85" workbookViewId="0">
      <selection activeCell="K35" sqref="K35"/>
    </sheetView>
  </sheetViews>
  <sheetFormatPr defaultRowHeight="14.6" x14ac:dyDescent="0.4"/>
  <cols>
    <col min="1" max="1" width="13.07421875" customWidth="1"/>
    <col min="2" max="2" width="25" customWidth="1"/>
    <col min="8" max="10" width="8.84375" style="31"/>
    <col min="15" max="15" width="16.69140625" style="50" bestFit="1" customWidth="1"/>
    <col min="16" max="16" width="16.69140625" customWidth="1"/>
    <col min="29" max="29" width="8.84375" style="31"/>
    <col min="33" max="33" width="10.07421875" customWidth="1"/>
    <col min="34" max="34" width="12" bestFit="1" customWidth="1"/>
    <col min="42" max="42" width="8.84375" style="31"/>
    <col min="45" max="45" width="8.84375" style="31"/>
  </cols>
  <sheetData>
    <row r="1" spans="1:48" s="31" customFormat="1" ht="27.45" x14ac:dyDescent="0.65">
      <c r="A1" s="284" t="s">
        <v>16</v>
      </c>
      <c r="B1" s="284"/>
      <c r="C1" s="284"/>
      <c r="D1" s="284"/>
      <c r="E1" s="284"/>
      <c r="F1" s="284"/>
      <c r="G1" s="284"/>
      <c r="H1" s="284"/>
      <c r="I1" s="284"/>
      <c r="J1" s="284"/>
      <c r="K1" s="284"/>
      <c r="L1" s="284"/>
      <c r="M1" s="284"/>
      <c r="N1" s="284" t="s">
        <v>183</v>
      </c>
      <c r="O1" s="284"/>
      <c r="P1" s="284"/>
      <c r="Q1" s="284"/>
      <c r="R1" s="284"/>
      <c r="S1" s="284"/>
      <c r="T1" s="284"/>
      <c r="U1" s="284"/>
      <c r="V1" s="284"/>
      <c r="W1" s="284"/>
      <c r="X1" s="284"/>
    </row>
    <row r="2" spans="1:48" s="31" customFormat="1" x14ac:dyDescent="0.4">
      <c r="A2" s="11"/>
      <c r="B2" s="11" t="s">
        <v>17</v>
      </c>
      <c r="C2" s="12"/>
      <c r="D2" s="17"/>
      <c r="E2" s="11"/>
      <c r="F2" s="11"/>
      <c r="G2" s="11"/>
      <c r="H2" s="11"/>
      <c r="I2" s="11"/>
      <c r="J2" s="11"/>
      <c r="K2" s="11"/>
      <c r="L2" s="11"/>
      <c r="M2" s="11"/>
    </row>
    <row r="3" spans="1:48" s="31" customFormat="1" ht="15" thickBot="1" x14ac:dyDescent="0.45">
      <c r="A3" s="11"/>
      <c r="B3" s="11" t="s">
        <v>18</v>
      </c>
      <c r="C3" s="13"/>
      <c r="D3" s="17"/>
      <c r="E3" s="11"/>
      <c r="F3" s="23"/>
      <c r="G3" s="24"/>
      <c r="H3" s="24"/>
      <c r="I3" s="24"/>
      <c r="J3" s="24"/>
      <c r="K3" s="38"/>
      <c r="L3" s="11"/>
      <c r="M3" s="11"/>
    </row>
    <row r="4" spans="1:48" s="31" customFormat="1" ht="15" thickBot="1" x14ac:dyDescent="0.45">
      <c r="A4" s="11"/>
      <c r="B4" s="11" t="s">
        <v>19</v>
      </c>
      <c r="C4" s="14"/>
      <c r="D4" s="17"/>
      <c r="E4" s="11"/>
      <c r="F4" s="23"/>
      <c r="G4" s="24"/>
      <c r="H4" s="24"/>
      <c r="I4" s="24"/>
      <c r="J4" s="24"/>
      <c r="K4" s="38"/>
      <c r="L4" s="11"/>
      <c r="M4" s="11"/>
      <c r="N4" s="84"/>
      <c r="O4" s="90"/>
      <c r="P4" s="286" t="s">
        <v>214</v>
      </c>
      <c r="Q4" s="286"/>
      <c r="R4" s="286"/>
      <c r="S4" s="286"/>
      <c r="T4" s="286"/>
      <c r="U4" s="286"/>
      <c r="V4" s="286"/>
      <c r="W4" s="286"/>
      <c r="X4" s="286"/>
      <c r="Y4" s="286"/>
      <c r="Z4" s="286"/>
      <c r="AA4" s="286"/>
      <c r="AB4" s="286"/>
      <c r="AC4" s="286"/>
      <c r="AD4" s="286"/>
      <c r="AE4" s="287"/>
      <c r="AF4" s="288" t="s">
        <v>215</v>
      </c>
      <c r="AG4" s="286"/>
      <c r="AH4" s="286"/>
      <c r="AI4" s="286"/>
      <c r="AJ4" s="286"/>
      <c r="AK4" s="286"/>
      <c r="AL4" s="286"/>
      <c r="AM4" s="286"/>
      <c r="AN4" s="286"/>
      <c r="AO4" s="286"/>
      <c r="AP4" s="286"/>
      <c r="AQ4" s="286"/>
      <c r="AR4" s="287"/>
      <c r="AS4" s="288" t="s">
        <v>226</v>
      </c>
      <c r="AT4" s="286"/>
      <c r="AU4" s="287"/>
    </row>
    <row r="5" spans="1:48" s="31" customFormat="1" x14ac:dyDescent="0.4">
      <c r="A5" s="11"/>
      <c r="D5" s="17"/>
      <c r="E5" s="11"/>
      <c r="F5" s="11"/>
      <c r="G5" s="11"/>
      <c r="H5" s="11"/>
      <c r="I5" s="11"/>
      <c r="J5" s="11"/>
      <c r="K5" s="11"/>
      <c r="L5" s="11"/>
      <c r="M5" s="11"/>
      <c r="N5" s="58"/>
      <c r="O5" s="61"/>
      <c r="P5" s="49"/>
      <c r="Q5" s="289" t="s">
        <v>206</v>
      </c>
      <c r="R5" s="289"/>
      <c r="S5" s="289"/>
      <c r="T5" s="290" t="s">
        <v>208</v>
      </c>
      <c r="U5" s="290"/>
      <c r="V5" s="290"/>
      <c r="W5" s="290" t="s">
        <v>208</v>
      </c>
      <c r="X5" s="290"/>
      <c r="Y5" s="290"/>
      <c r="Z5" s="290" t="s">
        <v>211</v>
      </c>
      <c r="AA5" s="290"/>
      <c r="AB5" s="290"/>
      <c r="AC5" s="291" t="s">
        <v>213</v>
      </c>
      <c r="AD5" s="290"/>
      <c r="AE5" s="292"/>
      <c r="AF5" s="49"/>
      <c r="AG5" s="290" t="s">
        <v>222</v>
      </c>
      <c r="AH5" s="290"/>
      <c r="AI5" s="290"/>
      <c r="AJ5" s="290" t="s">
        <v>223</v>
      </c>
      <c r="AK5" s="290"/>
      <c r="AL5" s="290"/>
      <c r="AM5" s="290" t="s">
        <v>217</v>
      </c>
      <c r="AN5" s="290"/>
      <c r="AO5" s="290"/>
      <c r="AP5" s="291" t="s">
        <v>213</v>
      </c>
      <c r="AQ5" s="290"/>
      <c r="AR5" s="292"/>
      <c r="AS5" s="291" t="s">
        <v>213</v>
      </c>
      <c r="AT5" s="290"/>
      <c r="AU5" s="292"/>
    </row>
    <row r="6" spans="1:48" s="31" customFormat="1" ht="15" thickBot="1" x14ac:dyDescent="0.45">
      <c r="A6" s="10" t="s">
        <v>20</v>
      </c>
      <c r="B6" s="10" t="s">
        <v>21</v>
      </c>
      <c r="C6" s="10" t="s">
        <v>22</v>
      </c>
      <c r="D6" s="17"/>
      <c r="E6" s="285" t="s">
        <v>23</v>
      </c>
      <c r="F6" s="285"/>
      <c r="G6" s="285"/>
      <c r="H6" s="285"/>
      <c r="I6" s="285"/>
      <c r="J6" s="285"/>
      <c r="K6" s="285"/>
      <c r="L6" s="35"/>
      <c r="M6" s="25"/>
      <c r="N6" s="58"/>
      <c r="O6" s="61"/>
      <c r="P6" s="79" t="s">
        <v>189</v>
      </c>
      <c r="Q6" s="49" t="s">
        <v>212</v>
      </c>
      <c r="R6" s="79" t="s">
        <v>209</v>
      </c>
      <c r="S6" s="79" t="s">
        <v>210</v>
      </c>
      <c r="T6" s="79" t="s">
        <v>212</v>
      </c>
      <c r="U6" s="79" t="s">
        <v>209</v>
      </c>
      <c r="V6" s="79" t="s">
        <v>210</v>
      </c>
      <c r="W6" s="81" t="s">
        <v>212</v>
      </c>
      <c r="X6" s="79" t="s">
        <v>209</v>
      </c>
      <c r="Y6" s="79" t="s">
        <v>210</v>
      </c>
      <c r="Z6" s="81" t="s">
        <v>212</v>
      </c>
      <c r="AA6" s="81" t="s">
        <v>209</v>
      </c>
      <c r="AB6" s="81" t="s">
        <v>210</v>
      </c>
      <c r="AC6" s="82" t="s">
        <v>227</v>
      </c>
      <c r="AD6" s="81" t="s">
        <v>209</v>
      </c>
      <c r="AE6" s="83" t="s">
        <v>210</v>
      </c>
      <c r="AF6" s="79" t="s">
        <v>224</v>
      </c>
      <c r="AG6" s="81" t="s">
        <v>212</v>
      </c>
      <c r="AH6" s="81" t="s">
        <v>225</v>
      </c>
      <c r="AI6" s="81" t="s">
        <v>210</v>
      </c>
      <c r="AJ6" s="81" t="s">
        <v>212</v>
      </c>
      <c r="AK6" s="81" t="s">
        <v>225</v>
      </c>
      <c r="AL6" s="81" t="s">
        <v>210</v>
      </c>
      <c r="AM6" s="81" t="s">
        <v>212</v>
      </c>
      <c r="AN6" s="81" t="s">
        <v>225</v>
      </c>
      <c r="AO6" s="81" t="s">
        <v>210</v>
      </c>
      <c r="AP6" s="82" t="s">
        <v>227</v>
      </c>
      <c r="AQ6" s="81" t="s">
        <v>209</v>
      </c>
      <c r="AR6" s="83" t="s">
        <v>210</v>
      </c>
      <c r="AS6" s="82" t="s">
        <v>227</v>
      </c>
      <c r="AT6" s="81" t="s">
        <v>209</v>
      </c>
      <c r="AU6" s="83" t="s">
        <v>210</v>
      </c>
    </row>
    <row r="7" spans="1:48" s="31" customFormat="1" ht="15" thickBot="1" x14ac:dyDescent="0.45">
      <c r="A7" s="10"/>
      <c r="B7" s="10"/>
      <c r="C7" s="10"/>
      <c r="D7" s="17"/>
      <c r="E7" s="45"/>
      <c r="F7" s="45"/>
      <c r="G7" s="45"/>
      <c r="H7" s="45"/>
      <c r="I7" s="45"/>
      <c r="J7" s="45"/>
      <c r="K7" s="45"/>
      <c r="L7" s="45"/>
      <c r="M7" s="25"/>
      <c r="N7" s="31" t="s">
        <v>395</v>
      </c>
      <c r="O7" s="90">
        <f>fcross</f>
        <v>1000</v>
      </c>
      <c r="P7" s="86" t="str">
        <f>COMPLEX(ADC_VINmin,0)</f>
        <v>4791.13110539846</v>
      </c>
      <c r="Q7" s="87" t="str">
        <f>IMSUM(COMPLEX(1,0),IMDIV(COMPLEX(0,2*PI()*O7),COMPLEX(wp_lf_VINmin,0)))</f>
        <v>1+29.2919191634195i</v>
      </c>
      <c r="R7" s="87">
        <f t="shared" ref="R7:R13" si="0">IMABS(Q7)</f>
        <v>29.308983746904339</v>
      </c>
      <c r="S7" s="87">
        <f t="shared" ref="S7:S13" si="1">IMARGUMENT(Q7)</f>
        <v>1.5366704720511135</v>
      </c>
      <c r="T7" s="87" t="str">
        <f>IMSUM(COMPLEX(1,0),IMDIV(COMPLEX(0,2*PI()*O7),COMPLEX(wz_esr_VINmin,0)))</f>
        <v>1+0.0000627690212187242i</v>
      </c>
      <c r="U7" s="87">
        <f t="shared" ref="U7:U13" si="2">IMABS(T7)</f>
        <v>1.0000000019699748</v>
      </c>
      <c r="V7" s="87">
        <f t="shared" ref="V7:V13" si="3">IMARGUMENT(T7)</f>
        <v>6.2769021136288596E-5</v>
      </c>
      <c r="W7" s="85" t="str">
        <f>IMSUB(COMPLEX(1,0),IMDIV(COMPLEX(0,2*PI()*O7),COMPLEX(wz_RHP_VINmin,0)))</f>
        <v>1-0.116270985250716i</v>
      </c>
      <c r="X7" s="87">
        <f t="shared" ref="X7:X13" si="4">IMABS(W7)</f>
        <v>1.0067367789105415</v>
      </c>
      <c r="Y7" s="87">
        <f t="shared" ref="Y7:Y13" si="5">IMARGUMENT(W7)</f>
        <v>-0.11575124104776342</v>
      </c>
      <c r="Z7" s="85" t="str">
        <f>IMSUM(COMPLEX(1,0),IMDIV(COMPLEX(0,2*PI()*O7),COMPLEX(Q_VINmin*(wsl_VINmin/2),0)),IMDIV(IMPOWER(COMPLEX(0,2*PI()*O7),2),IMPOWER(COMPLEX(wsl_VINmin/2,0),2)))</f>
        <v>0.9996-0.0243645694650381i</v>
      </c>
      <c r="AA7" s="87">
        <f t="shared" ref="AA7:AA13" si="6">IMABS(Z7)</f>
        <v>0.99989689080685551</v>
      </c>
      <c r="AB7" s="87">
        <f t="shared" ref="AB7:AB13" si="7">IMARGUMENT(Z7)</f>
        <v>-2.4369493924540901E-2</v>
      </c>
      <c r="AC7" s="88" t="str">
        <f t="shared" ref="AC7:AC13" si="8">(IMDIV(IMPRODUCT(P7,T7,W7),IMPRODUCT(Q7,Z7)))</f>
        <v>-9.40816736591631-164.318826644789i</v>
      </c>
      <c r="AD7" s="89">
        <f t="shared" ref="AD7:AD13" si="9">20*LOG(IMABS(AC7))</f>
        <v>44.32796025752328</v>
      </c>
      <c r="AE7" s="90">
        <f t="shared" ref="AE7:AE13" si="10">(180/PI())*IMARGUMENT(AC7)</f>
        <v>-93.276924585601847</v>
      </c>
      <c r="AF7" s="85" t="str">
        <f t="shared" ref="AF7:AF13" si="11">COMPLEX(Adc_ea,0)</f>
        <v>-1.39902068552014E-06</v>
      </c>
      <c r="AG7" s="85" t="str">
        <f t="shared" ref="AG7:AG13" si="12">COMPLEX(0,2*PI()*O7*wp0_ea)</f>
        <v>0.000207772371737815i</v>
      </c>
      <c r="AH7" s="85">
        <f t="shared" ref="AH7:AH13" si="13">IMABS(AG7)</f>
        <v>2.0777237173781501E-4</v>
      </c>
      <c r="AI7" s="85">
        <f t="shared" ref="AI7:AI13" si="14">IMARGUMENT(AG7)</f>
        <v>1.5707963267948966</v>
      </c>
      <c r="AJ7" s="85" t="str">
        <f t="shared" ref="AJ7:AJ13" si="15">IMSUM(COMPLEX(1,0),IMDIV(COMPLEX(0,2*PI()*O7),COMPLEX(wp1_ea,0)))</f>
        <v>1+0.0150085057333902i</v>
      </c>
      <c r="AK7" s="85">
        <f t="shared" ref="AK7:AK13" si="16">IMABS(AJ7)</f>
        <v>1.0001126212803981</v>
      </c>
      <c r="AL7" s="85">
        <f t="shared" ref="AL7:AL13" si="17">IMARGUMENT(AJ7)</f>
        <v>1.5007378970796358E-2</v>
      </c>
      <c r="AM7" s="85" t="str">
        <f t="shared" ref="AM7:AM13" si="18">IMSUM(COMPLEX(1,0),IMDIV(COMPLEX(0,2*PI()*O7),COMPLEX(wz_ea,0)))</f>
        <v>1+7.29854805281982i</v>
      </c>
      <c r="AN7" s="85">
        <f t="shared" ref="AN7:AN13" si="19">IMABS(AM7)</f>
        <v>7.3667362976639783</v>
      </c>
      <c r="AO7" s="85">
        <f t="shared" ref="AO7:AO13" si="20">IMARGUMENT(AM7)</f>
        <v>1.4346306164353351</v>
      </c>
      <c r="AP7" s="84" t="str">
        <f t="shared" ref="AP7:AP13" si="21">IMPRODUCT(AF7,IMDIV(AM7,IMPRODUCT(AG7,AJ7)))</f>
        <v>-0.049032157697044+0.00746932924900638i</v>
      </c>
      <c r="AQ7" s="85">
        <f t="shared" ref="AQ7:AQ13" si="22">20*LOG(IMABS(AP7))</f>
        <v>-26.090748909900924</v>
      </c>
      <c r="AR7" s="90">
        <f t="shared" ref="AR7:AR13" si="23">(180/PI())*IMARGUMENT(AP7)</f>
        <v>171.33842000541631</v>
      </c>
      <c r="AS7" s="84" t="str">
        <f t="shared" ref="AS7:AS13" si="24">IMPRODUCT(AC7,AP7)</f>
        <v>1.68865416394612+7.98663392095474i</v>
      </c>
      <c r="AT7" s="89">
        <f t="shared" ref="AT7:AT13" si="25">20*LOG(IMABS(AS7))</f>
        <v>18.237211347622356</v>
      </c>
      <c r="AU7" s="90">
        <f t="shared" ref="AU7:AU13" si="26">(180/PI())*IMARGUMENT(AS7)</f>
        <v>78.061495419814491</v>
      </c>
    </row>
    <row r="8" spans="1:48" s="31" customFormat="1" ht="15" thickBot="1" x14ac:dyDescent="0.45">
      <c r="A8" s="10"/>
      <c r="B8" s="10"/>
      <c r="C8" s="10"/>
      <c r="D8" s="17"/>
      <c r="E8" s="97"/>
      <c r="F8" s="97"/>
      <c r="G8" s="97"/>
      <c r="H8" s="97"/>
      <c r="I8" s="97"/>
      <c r="J8" s="97"/>
      <c r="K8" s="97"/>
      <c r="L8" s="97"/>
      <c r="M8" s="25"/>
      <c r="N8" s="84" t="s">
        <v>254</v>
      </c>
      <c r="O8" s="90">
        <f>fcross</f>
        <v>1000</v>
      </c>
      <c r="P8" s="86" t="str">
        <f t="shared" ref="P8:P13" si="27">COMPLEX(Adc,0)</f>
        <v>5120.19230769231</v>
      </c>
      <c r="Q8" s="87" t="str">
        <f t="shared" ref="Q8:Q13" si="28">IMSUM(COMPLEX(1,0),IMDIV(COMPLEX(0,2*PI()*O8),COMPLEX(wp_lf,0)))</f>
        <v>1+29.3618082623969i</v>
      </c>
      <c r="R8" s="87">
        <f t="shared" si="0"/>
        <v>29.378832251091243</v>
      </c>
      <c r="S8" s="87">
        <f t="shared" si="1"/>
        <v>1.5367516380527442</v>
      </c>
      <c r="T8" s="87" t="str">
        <f t="shared" ref="T8:T13" si="29">IMSUM(COMPLEX(1,0),IMDIV(COMPLEX(0,2*PI()*O8),COMPLEX(wz_esr,0)))</f>
        <v>1+0.0000627690212187242i</v>
      </c>
      <c r="U8" s="87">
        <f t="shared" si="2"/>
        <v>1.0000000019699748</v>
      </c>
      <c r="V8" s="87">
        <f t="shared" si="3"/>
        <v>6.2769021136288596E-5</v>
      </c>
      <c r="W8" s="85" t="str">
        <f t="shared" ref="W8:W13" si="30">IMSUB(COMPLEX(1,0),IMDIV(COMPLEX(0,2*PI()*O8),COMPLEX(wz_rhp,0)))</f>
        <v>1-0.101787601976309i</v>
      </c>
      <c r="X8" s="87">
        <f t="shared" si="4"/>
        <v>1.00516700896721</v>
      </c>
      <c r="Y8" s="87">
        <f t="shared" si="5"/>
        <v>-0.10143824039066934</v>
      </c>
      <c r="Z8" s="85" t="str">
        <f t="shared" ref="Z8:Z13" si="31">IMSUM(COMPLEX(1,0),IMDIV(COMPLEX(0,2*PI()*O8),COMPLEX(Q*(wsl/2),0)),IMDIV(IMPOWER(COMPLEX(0,2*PI()*O8),2),IMPOWER(COMPLEX(wsl/2,0),2)))</f>
        <v>0.9996+0.61973092902173i</v>
      </c>
      <c r="AA8" s="87">
        <f t="shared" si="6"/>
        <v>1.1761235412940838</v>
      </c>
      <c r="AB8" s="87">
        <f t="shared" si="7"/>
        <v>0.55498050080793704</v>
      </c>
      <c r="AC8" s="88" t="str">
        <f t="shared" si="8"/>
        <v>-86.8244503776531-121.025872180499i</v>
      </c>
      <c r="AD8" s="89">
        <f t="shared" si="9"/>
        <v>43.460740545518547</v>
      </c>
      <c r="AE8" s="90">
        <f t="shared" si="10"/>
        <v>-125.65581008421319</v>
      </c>
      <c r="AF8" s="85" t="str">
        <f t="shared" si="11"/>
        <v>-1.39902068552014E-06</v>
      </c>
      <c r="AG8" s="85" t="str">
        <f t="shared" si="12"/>
        <v>0.000207772371737815i</v>
      </c>
      <c r="AH8" s="85">
        <f t="shared" si="13"/>
        <v>2.0777237173781501E-4</v>
      </c>
      <c r="AI8" s="85">
        <f t="shared" si="14"/>
        <v>1.5707963267948966</v>
      </c>
      <c r="AJ8" s="85" t="str">
        <f t="shared" si="15"/>
        <v>1+0.0150085057333902i</v>
      </c>
      <c r="AK8" s="85">
        <f t="shared" si="16"/>
        <v>1.0001126212803981</v>
      </c>
      <c r="AL8" s="85">
        <f t="shared" si="17"/>
        <v>1.5007378970796358E-2</v>
      </c>
      <c r="AM8" s="85" t="str">
        <f t="shared" si="18"/>
        <v>1+7.29854805281982i</v>
      </c>
      <c r="AN8" s="85">
        <f t="shared" si="19"/>
        <v>7.3667362976639783</v>
      </c>
      <c r="AO8" s="85">
        <f t="shared" si="20"/>
        <v>1.4346306164353351</v>
      </c>
      <c r="AP8" s="84" t="str">
        <f t="shared" si="21"/>
        <v>-0.049032157697044+0.00746932924900638i</v>
      </c>
      <c r="AQ8" s="85">
        <f t="shared" si="22"/>
        <v>-26.090748909900924</v>
      </c>
      <c r="AR8" s="90">
        <f t="shared" si="23"/>
        <v>171.33842000541631</v>
      </c>
      <c r="AS8" s="84" t="str">
        <f t="shared" si="24"/>
        <v>5.16117222984057+5.28563924344181i</v>
      </c>
      <c r="AT8" s="89">
        <f t="shared" si="25"/>
        <v>17.369991635617616</v>
      </c>
      <c r="AU8" s="90">
        <f t="shared" si="26"/>
        <v>45.682609921203117</v>
      </c>
    </row>
    <row r="9" spans="1:48" s="31" customFormat="1" x14ac:dyDescent="0.4">
      <c r="A9" s="69" t="s">
        <v>159</v>
      </c>
      <c r="B9" s="10"/>
      <c r="C9" s="10"/>
      <c r="D9" s="17"/>
      <c r="E9" s="35"/>
      <c r="F9" s="35"/>
      <c r="G9" s="35"/>
      <c r="H9" s="45"/>
      <c r="I9" s="45"/>
      <c r="J9" s="45"/>
      <c r="K9" s="35"/>
      <c r="L9" s="35"/>
      <c r="M9" s="25"/>
      <c r="N9" s="71" t="s">
        <v>255</v>
      </c>
      <c r="O9" s="91">
        <f>wz_rhp/(2*PI())</f>
        <v>9824.3792032034162</v>
      </c>
      <c r="P9" s="72" t="str">
        <f t="shared" si="27"/>
        <v>5120.19230769231</v>
      </c>
      <c r="Q9" s="73" t="str">
        <f t="shared" si="28"/>
        <v>1+288.461538461539i</v>
      </c>
      <c r="R9" s="73">
        <f t="shared" si="0"/>
        <v>288.46327178966465</v>
      </c>
      <c r="S9" s="73">
        <f t="shared" si="1"/>
        <v>1.5673296740153397</v>
      </c>
      <c r="T9" s="73" t="str">
        <f t="shared" si="29"/>
        <v>1+0.000616666666666667i</v>
      </c>
      <c r="U9" s="73">
        <f t="shared" si="2"/>
        <v>1.0000001901388709</v>
      </c>
      <c r="V9" s="73">
        <f t="shared" si="3"/>
        <v>6.1666658849847487E-4</v>
      </c>
      <c r="W9" s="74" t="str">
        <f t="shared" si="30"/>
        <v>1-i</v>
      </c>
      <c r="X9" s="73">
        <f t="shared" si="4"/>
        <v>1.4142135623730951</v>
      </c>
      <c r="Y9" s="73">
        <f t="shared" si="5"/>
        <v>-0.78539816339744828</v>
      </c>
      <c r="Z9" s="74" t="str">
        <f t="shared" si="31"/>
        <v>0.961392629308666+6.08847165066301i</v>
      </c>
      <c r="AA9" s="73">
        <f t="shared" si="6"/>
        <v>6.1639080808052444</v>
      </c>
      <c r="AB9" s="73">
        <f t="shared" si="7"/>
        <v>1.4141856360512461</v>
      </c>
      <c r="AC9" s="75" t="str">
        <f t="shared" si="8"/>
        <v>-3.30330328557499+2.38179626139308i</v>
      </c>
      <c r="AD9" s="76">
        <f t="shared" si="9"/>
        <v>12.197093490071769</v>
      </c>
      <c r="AE9" s="77">
        <f t="shared" si="10"/>
        <v>144.20708857243335</v>
      </c>
      <c r="AF9" s="74" t="str">
        <f t="shared" si="11"/>
        <v>-1.39902068552014E-06</v>
      </c>
      <c r="AG9" s="74" t="str">
        <f t="shared" si="12"/>
        <v>0.00204123456790123i</v>
      </c>
      <c r="AH9" s="74">
        <f t="shared" si="13"/>
        <v>2.0412345679012298E-3</v>
      </c>
      <c r="AI9" s="74">
        <f t="shared" si="14"/>
        <v>1.5707963267948966</v>
      </c>
      <c r="AJ9" s="74" t="str">
        <f t="shared" si="15"/>
        <v>1+0.147449251598278i</v>
      </c>
      <c r="AK9" s="74">
        <f t="shared" si="16"/>
        <v>1.0108121891810031</v>
      </c>
      <c r="AL9" s="74">
        <f t="shared" si="17"/>
        <v>0.14639439950791328</v>
      </c>
      <c r="AM9" s="74" t="str">
        <f t="shared" si="18"/>
        <v>1+71.7037037037038i</v>
      </c>
      <c r="AN9" s="74">
        <f t="shared" si="19"/>
        <v>71.71067650516585</v>
      </c>
      <c r="AO9" s="74">
        <f t="shared" si="20"/>
        <v>1.5568509498757486</v>
      </c>
      <c r="AP9" s="71" t="str">
        <f t="shared" si="21"/>
        <v>-0.0479996289877386+0.00776288904661588i</v>
      </c>
      <c r="AQ9" s="74">
        <f t="shared" si="22"/>
        <v>-26.263108585893796</v>
      </c>
      <c r="AR9" s="77">
        <f t="shared" si="23"/>
        <v>170.81320752265816</v>
      </c>
      <c r="AS9" s="71" t="str">
        <f t="shared" si="24"/>
        <v>0.140067712032738-0.139968513764491i</v>
      </c>
      <c r="AT9" s="76">
        <f t="shared" si="25"/>
        <v>-14.066015095822044</v>
      </c>
      <c r="AU9" s="77">
        <f t="shared" si="26"/>
        <v>-44.979703904908561</v>
      </c>
    </row>
    <row r="10" spans="1:48" s="31" customFormat="1" x14ac:dyDescent="0.4">
      <c r="A10" s="31" t="s">
        <v>26</v>
      </c>
      <c r="B10" s="3">
        <f>VIN_min</f>
        <v>14</v>
      </c>
      <c r="C10" s="31" t="s">
        <v>11</v>
      </c>
      <c r="E10" s="31" t="s">
        <v>29</v>
      </c>
      <c r="N10" s="58" t="s">
        <v>208</v>
      </c>
      <c r="O10" s="92">
        <f>wz_esr/(2*PI())</f>
        <v>15931425.734924462</v>
      </c>
      <c r="P10" s="78" t="str">
        <f t="shared" si="27"/>
        <v>5120.19230769231</v>
      </c>
      <c r="Q10" s="79" t="str">
        <f t="shared" si="28"/>
        <v>1+467775.467775468i</v>
      </c>
      <c r="R10" s="79">
        <f t="shared" si="0"/>
        <v>467775.46777653688</v>
      </c>
      <c r="S10" s="79">
        <f t="shared" si="1"/>
        <v>1.5707941890171189</v>
      </c>
      <c r="T10" s="79" t="str">
        <f t="shared" si="29"/>
        <v>1+i</v>
      </c>
      <c r="U10" s="79">
        <f t="shared" si="2"/>
        <v>1.4142135623730951</v>
      </c>
      <c r="V10" s="79">
        <f t="shared" si="3"/>
        <v>0.78539816339744828</v>
      </c>
      <c r="W10" s="49" t="str">
        <f t="shared" si="30"/>
        <v>1-1621.62162162162i</v>
      </c>
      <c r="X10" s="79">
        <f t="shared" si="4"/>
        <v>1621.6219299549241</v>
      </c>
      <c r="Y10" s="79">
        <f t="shared" si="5"/>
        <v>-1.5701796602063982</v>
      </c>
      <c r="Z10" s="49" t="str">
        <f t="shared" si="31"/>
        <v>-101523.130378965+9873.19727134542i</v>
      </c>
      <c r="AA10" s="79">
        <f t="shared" si="6"/>
        <v>102002.0883428532</v>
      </c>
      <c r="AB10" s="79">
        <f t="shared" si="7"/>
        <v>3.0446467974233875</v>
      </c>
      <c r="AC10" s="66" t="str">
        <f t="shared" si="8"/>
        <v>0.0001562376198136+0.000190139414781409i</v>
      </c>
      <c r="AD10" s="64">
        <f t="shared" si="9"/>
        <v>-72.177912511916745</v>
      </c>
      <c r="AE10" s="61">
        <f t="shared" si="10"/>
        <v>50.590043278149224</v>
      </c>
      <c r="AF10" s="49" t="str">
        <f t="shared" si="11"/>
        <v>-1.39902068552014E-06</v>
      </c>
      <c r="AG10" s="49" t="str">
        <f t="shared" si="12"/>
        <v>3.31011011011011i</v>
      </c>
      <c r="AH10" s="49">
        <f t="shared" si="13"/>
        <v>3.3101101101101098</v>
      </c>
      <c r="AI10" s="49">
        <f t="shared" si="14"/>
        <v>1.5707963267948966</v>
      </c>
      <c r="AJ10" s="49" t="str">
        <f t="shared" si="15"/>
        <v>1+239.106894483694i</v>
      </c>
      <c r="AK10" s="49">
        <f t="shared" si="16"/>
        <v>239.10898558949302</v>
      </c>
      <c r="AL10" s="49">
        <f t="shared" si="17"/>
        <v>1.5666141212927442</v>
      </c>
      <c r="AM10" s="49" t="str">
        <f t="shared" si="18"/>
        <v>1+116276.276276276i</v>
      </c>
      <c r="AN10" s="49">
        <f t="shared" si="19"/>
        <v>116276.2762805761</v>
      </c>
      <c r="AO10" s="49">
        <f t="shared" si="20"/>
        <v>1.5707877265882852</v>
      </c>
      <c r="AP10" s="58" t="str">
        <f t="shared" si="21"/>
        <v>-8.57801946229665E-07+0.00020552901024486i</v>
      </c>
      <c r="AQ10" s="49">
        <f t="shared" si="22"/>
        <v>-73.742461733402223</v>
      </c>
      <c r="AR10" s="61">
        <f t="shared" si="23"/>
        <v>90.239129968787935</v>
      </c>
      <c r="AS10" s="58" t="str">
        <f t="shared" si="24"/>
        <v>-3.92131866629103E-08+3.19482614032475E-08i</v>
      </c>
      <c r="AT10" s="64">
        <f t="shared" si="25"/>
        <v>-145.92037424531895</v>
      </c>
      <c r="AU10" s="61">
        <f t="shared" si="26"/>
        <v>140.82917324693716</v>
      </c>
    </row>
    <row r="11" spans="1:48" s="31" customFormat="1" ht="15" thickBot="1" x14ac:dyDescent="0.45">
      <c r="A11" s="31" t="s">
        <v>27</v>
      </c>
      <c r="B11" s="3">
        <f>VIN_nom</f>
        <v>15</v>
      </c>
      <c r="C11" s="31" t="s">
        <v>11</v>
      </c>
      <c r="E11" s="31" t="s">
        <v>30</v>
      </c>
      <c r="N11" s="62" t="s">
        <v>206</v>
      </c>
      <c r="O11" s="93">
        <f>wp_lf/(2*PI())</f>
        <v>34.057847904438518</v>
      </c>
      <c r="P11" s="80" t="str">
        <f t="shared" si="27"/>
        <v>5120.19230769231</v>
      </c>
      <c r="Q11" s="54" t="str">
        <f t="shared" si="28"/>
        <v>1+i</v>
      </c>
      <c r="R11" s="54">
        <f t="shared" si="0"/>
        <v>1.4142135623730951</v>
      </c>
      <c r="S11" s="54">
        <f t="shared" si="1"/>
        <v>0.78539816339744828</v>
      </c>
      <c r="T11" s="54" t="str">
        <f t="shared" si="29"/>
        <v>1+2.13777777777778E-06i</v>
      </c>
      <c r="U11" s="54">
        <f t="shared" si="2"/>
        <v>1.0000000000022851</v>
      </c>
      <c r="V11" s="54">
        <f t="shared" si="3"/>
        <v>2.1377777777745234E-6</v>
      </c>
      <c r="W11" s="55" t="str">
        <f t="shared" si="30"/>
        <v>1-0.00346666666666666i</v>
      </c>
      <c r="X11" s="54">
        <f t="shared" si="4"/>
        <v>1.0000060088708356</v>
      </c>
      <c r="Y11" s="54">
        <f t="shared" si="5"/>
        <v>-3.4666527795569188E-3</v>
      </c>
      <c r="Z11" s="55" t="str">
        <f t="shared" si="31"/>
        <v>0.999999536025198+0.0211067017222984i</v>
      </c>
      <c r="AA11" s="54">
        <f t="shared" si="6"/>
        <v>1.0002222577548479</v>
      </c>
      <c r="AB11" s="54">
        <f t="shared" si="7"/>
        <v>2.1103578053482161E-2</v>
      </c>
      <c r="AC11" s="59" t="str">
        <f t="shared" si="8"/>
        <v>2495.89348261107-2621.64699554851i</v>
      </c>
      <c r="AD11" s="65">
        <f t="shared" si="9"/>
        <v>71.173547400025441</v>
      </c>
      <c r="AE11" s="63">
        <f t="shared" si="10"/>
        <v>-46.407648042751248</v>
      </c>
      <c r="AF11" s="55" t="str">
        <f t="shared" si="11"/>
        <v>-1.39902068552014E-06</v>
      </c>
      <c r="AG11" s="55" t="str">
        <f t="shared" si="12"/>
        <v>7.07627983539095E-06i</v>
      </c>
      <c r="AH11" s="55">
        <f t="shared" si="13"/>
        <v>7.0762798353909499E-6</v>
      </c>
      <c r="AI11" s="55">
        <f t="shared" si="14"/>
        <v>1.5707963267948966</v>
      </c>
      <c r="AJ11" s="55" t="str">
        <f t="shared" si="15"/>
        <v>1+0.000511157405540697i</v>
      </c>
      <c r="AK11" s="55">
        <f t="shared" si="16"/>
        <v>1.0000001306409381</v>
      </c>
      <c r="AL11" s="55">
        <f t="shared" si="17"/>
        <v>5.1115736102197906E-4</v>
      </c>
      <c r="AM11" s="55" t="str">
        <f t="shared" si="18"/>
        <v>1+0.248572839506173i</v>
      </c>
      <c r="AN11" s="55">
        <f t="shared" si="19"/>
        <v>1.0304311993239343</v>
      </c>
      <c r="AO11" s="55">
        <f t="shared" si="20"/>
        <v>0.24363500285423795</v>
      </c>
      <c r="AP11" s="62" t="str">
        <f t="shared" si="21"/>
        <v>-0.0490431896336096+0.197730744379611i</v>
      </c>
      <c r="AQ11" s="55">
        <f t="shared" si="22"/>
        <v>-13.819238401652164</v>
      </c>
      <c r="AR11" s="63">
        <f t="shared" si="23"/>
        <v>103.92997024575205</v>
      </c>
      <c r="AS11" s="62" t="str">
        <f t="shared" si="24"/>
        <v>395.973634557393+622.088806963975i</v>
      </c>
      <c r="AT11" s="65">
        <f t="shared" si="25"/>
        <v>57.354308998373284</v>
      </c>
      <c r="AU11" s="63">
        <f t="shared" si="26"/>
        <v>57.522322203000776</v>
      </c>
    </row>
    <row r="12" spans="1:48" s="31" customFormat="1" x14ac:dyDescent="0.4">
      <c r="A12" s="31" t="s">
        <v>28</v>
      </c>
      <c r="B12" s="3">
        <f>VIN_max</f>
        <v>16.8</v>
      </c>
      <c r="C12" s="31" t="s">
        <v>11</v>
      </c>
      <c r="E12" s="31" t="s">
        <v>31</v>
      </c>
      <c r="N12" s="71" t="s">
        <v>217</v>
      </c>
      <c r="O12" s="77">
        <f>wz_ea/(2*PI())</f>
        <v>137.01355293723773</v>
      </c>
      <c r="P12" s="72" t="str">
        <f t="shared" si="27"/>
        <v>5120.19230769231</v>
      </c>
      <c r="Q12" s="73" t="str">
        <f t="shared" si="28"/>
        <v>1+4.02296567069295i</v>
      </c>
      <c r="R12" s="73">
        <f t="shared" si="0"/>
        <v>4.1453893408911515</v>
      </c>
      <c r="S12" s="73">
        <f t="shared" si="1"/>
        <v>1.3271613239406592</v>
      </c>
      <c r="T12" s="73" t="str">
        <f t="shared" si="29"/>
        <v>1+8.60020661157026E-06i</v>
      </c>
      <c r="U12" s="73">
        <f t="shared" si="2"/>
        <v>1.0000000000369818</v>
      </c>
      <c r="V12" s="73">
        <f t="shared" si="3"/>
        <v>8.6002066113582261E-6</v>
      </c>
      <c r="W12" s="74" t="str">
        <f t="shared" si="30"/>
        <v>1-0.0139462809917355i</v>
      </c>
      <c r="X12" s="73">
        <f t="shared" si="4"/>
        <v>1.0000972446484895</v>
      </c>
      <c r="Y12" s="73">
        <f t="shared" si="5"/>
        <v>-1.394537691914813E-2</v>
      </c>
      <c r="Z12" s="74" t="str">
        <f t="shared" si="31"/>
        <v>0.999992490914525+0.0849115364503622i</v>
      </c>
      <c r="AA12" s="73">
        <f t="shared" si="6"/>
        <v>1.0035910277138778</v>
      </c>
      <c r="AB12" s="73">
        <f t="shared" si="7"/>
        <v>8.4708977930998949E-2</v>
      </c>
      <c r="AC12" s="75" t="str">
        <f t="shared" si="8"/>
        <v>177.835935147211-1217.93883828962i</v>
      </c>
      <c r="AD12" s="76">
        <f t="shared" si="9"/>
        <v>61.804128144805773</v>
      </c>
      <c r="AE12" s="77">
        <f t="shared" si="10"/>
        <v>-81.692728002752048</v>
      </c>
      <c r="AF12" s="74" t="str">
        <f t="shared" si="11"/>
        <v>-1.39902068552014E-06</v>
      </c>
      <c r="AG12" s="74" t="str">
        <f t="shared" si="12"/>
        <v>0.0000284676308539945i</v>
      </c>
      <c r="AH12" s="74">
        <f t="shared" si="13"/>
        <v>2.8467630853994501E-5</v>
      </c>
      <c r="AI12" s="74">
        <f t="shared" si="14"/>
        <v>1.5707963267948966</v>
      </c>
      <c r="AJ12" s="74" t="str">
        <f t="shared" si="15"/>
        <v>1+0.0020563686948107i</v>
      </c>
      <c r="AK12" s="74">
        <f t="shared" si="16"/>
        <v>1.0000021143238693</v>
      </c>
      <c r="AL12" s="74">
        <f t="shared" si="17"/>
        <v>2.0563657962620464E-3</v>
      </c>
      <c r="AM12" s="74" t="str">
        <f t="shared" si="18"/>
        <v>1+i</v>
      </c>
      <c r="AN12" s="74">
        <f t="shared" si="19"/>
        <v>1.4142135623730951</v>
      </c>
      <c r="AO12" s="74">
        <f t="shared" si="20"/>
        <v>0.78539816339744828</v>
      </c>
      <c r="AP12" s="71" t="str">
        <f t="shared" si="21"/>
        <v>-0.0490429950619377+0.0492451116476474i</v>
      </c>
      <c r="AQ12" s="74">
        <f t="shared" si="22"/>
        <v>-23.160262202250337</v>
      </c>
      <c r="AR12" s="77">
        <f t="shared" si="23"/>
        <v>134.88217891873916</v>
      </c>
      <c r="AS12" s="71" t="str">
        <f t="shared" si="24"/>
        <v>51.2559271823186+68.4889189132682i</v>
      </c>
      <c r="AT12" s="76">
        <f t="shared" si="25"/>
        <v>38.643865942555436</v>
      </c>
      <c r="AU12" s="77">
        <f t="shared" si="26"/>
        <v>53.189450915987138</v>
      </c>
    </row>
    <row r="13" spans="1:48" s="31" customFormat="1" ht="15" thickBot="1" x14ac:dyDescent="0.45">
      <c r="A13" s="31" t="s">
        <v>60</v>
      </c>
      <c r="B13" s="3">
        <f>Fsw</f>
        <v>100000</v>
      </c>
      <c r="C13" s="31" t="s">
        <v>61</v>
      </c>
      <c r="E13" s="31" t="s">
        <v>62</v>
      </c>
      <c r="N13" s="62" t="s">
        <v>223</v>
      </c>
      <c r="O13" s="63">
        <f>wp1_ea/(2*PI())</f>
        <v>66628.88483130261</v>
      </c>
      <c r="P13" s="80" t="str">
        <f t="shared" si="27"/>
        <v>5120.19230769231</v>
      </c>
      <c r="Q13" s="54" t="str">
        <f t="shared" si="28"/>
        <v>1+1956.34454115403i</v>
      </c>
      <c r="R13" s="54">
        <f t="shared" si="0"/>
        <v>1956.3447967327158</v>
      </c>
      <c r="S13" s="54">
        <f t="shared" si="1"/>
        <v>1.5702851694338746</v>
      </c>
      <c r="T13" s="54" t="str">
        <f t="shared" si="29"/>
        <v>1+0.00418222988575596i</v>
      </c>
      <c r="U13" s="54">
        <f t="shared" si="2"/>
        <v>1.0000087454851669</v>
      </c>
      <c r="V13" s="54">
        <f t="shared" si="3"/>
        <v>4.1822055021522786E-3</v>
      </c>
      <c r="W13" s="55" t="str">
        <f t="shared" si="30"/>
        <v>1-6.78199440933398i</v>
      </c>
      <c r="X13" s="54">
        <f t="shared" si="4"/>
        <v>6.8553226159122049</v>
      </c>
      <c r="Y13" s="54">
        <f t="shared" si="5"/>
        <v>-1.4244019272869834</v>
      </c>
      <c r="Z13" s="55" t="str">
        <f t="shared" si="31"/>
        <v>-0.7757633175452+41.2919806961849i</v>
      </c>
      <c r="AA13" s="54">
        <f t="shared" si="6"/>
        <v>41.299267288160877</v>
      </c>
      <c r="AB13" s="54">
        <f t="shared" si="7"/>
        <v>1.5895813802683332</v>
      </c>
      <c r="AC13" s="59" t="str">
        <f t="shared" si="8"/>
        <v>-0.0573101092769079+0.430643736476965i</v>
      </c>
      <c r="AD13" s="65">
        <f t="shared" si="9"/>
        <v>-7.2413955515344632</v>
      </c>
      <c r="AE13" s="63">
        <f t="shared" si="10"/>
        <v>97.580386837983312</v>
      </c>
      <c r="AF13" s="55" t="str">
        <f t="shared" si="11"/>
        <v>-1.39902068552014E-06</v>
      </c>
      <c r="AG13" s="55" t="str">
        <f t="shared" si="12"/>
        <v>0.0138436414276454i</v>
      </c>
      <c r="AH13" s="55">
        <f t="shared" si="13"/>
        <v>1.38436414276454E-2</v>
      </c>
      <c r="AI13" s="55">
        <f t="shared" si="14"/>
        <v>1.5707963267948966</v>
      </c>
      <c r="AJ13" s="55" t="str">
        <f t="shared" si="15"/>
        <v>1+i</v>
      </c>
      <c r="AK13" s="55">
        <f t="shared" si="16"/>
        <v>1.4142135623730951</v>
      </c>
      <c r="AL13" s="55">
        <f t="shared" si="17"/>
        <v>0.78539816339744828</v>
      </c>
      <c r="AM13" s="55" t="str">
        <f t="shared" si="18"/>
        <v>1+486.294117647059i</v>
      </c>
      <c r="AN13" s="55">
        <f t="shared" si="19"/>
        <v>486.29514583031948</v>
      </c>
      <c r="AO13" s="55">
        <f t="shared" si="20"/>
        <v>1.5687399609986346</v>
      </c>
      <c r="AP13" s="62" t="str">
        <f t="shared" si="21"/>
        <v>-0.0245216012238536+0.0246226599440489i</v>
      </c>
      <c r="AQ13" s="55">
        <f t="shared" si="22"/>
        <v>-29.180825386001182</v>
      </c>
      <c r="AR13" s="63">
        <f t="shared" si="23"/>
        <v>134.8821789187391</v>
      </c>
      <c r="AS13" s="62" t="str">
        <f t="shared" si="24"/>
        <v>-0.00919825863452311-0.01197120130752i</v>
      </c>
      <c r="AT13" s="65">
        <f t="shared" si="25"/>
        <v>-36.422220937535656</v>
      </c>
      <c r="AU13" s="63">
        <f t="shared" si="26"/>
        <v>-127.53743424327763</v>
      </c>
    </row>
    <row r="14" spans="1:48" s="31" customFormat="1" x14ac:dyDescent="0.4">
      <c r="B14" s="26"/>
      <c r="O14" s="50"/>
    </row>
    <row r="15" spans="1:48" ht="15" thickBot="1" x14ac:dyDescent="0.45">
      <c r="A15" s="68" t="s">
        <v>216</v>
      </c>
      <c r="N15" s="31"/>
      <c r="O15" s="50" t="s">
        <v>185</v>
      </c>
      <c r="P15" s="31">
        <f>B16</f>
        <v>15</v>
      </c>
      <c r="Q15" s="31" t="s">
        <v>11</v>
      </c>
      <c r="R15" s="31"/>
      <c r="S15" s="31"/>
      <c r="T15" s="31"/>
      <c r="U15" s="31"/>
      <c r="V15" s="31"/>
      <c r="W15" s="31"/>
      <c r="X15" s="31"/>
      <c r="Y15" s="31"/>
      <c r="Z15" s="31"/>
      <c r="AA15" s="31"/>
      <c r="AB15" s="31"/>
      <c r="AD15" s="31"/>
      <c r="AE15" s="31"/>
      <c r="AF15" s="31"/>
      <c r="AG15" s="31"/>
      <c r="AH15" s="31"/>
      <c r="AI15" s="31"/>
      <c r="AJ15" s="31"/>
      <c r="AK15" s="31"/>
      <c r="AL15" s="31"/>
      <c r="AM15" s="31"/>
      <c r="AN15" s="31"/>
      <c r="AO15" s="31"/>
      <c r="AQ15" s="31"/>
      <c r="AR15" s="31"/>
      <c r="AT15" s="31"/>
      <c r="AU15" s="31"/>
      <c r="AV15" s="31"/>
    </row>
    <row r="16" spans="1:48" ht="15" thickBot="1" x14ac:dyDescent="0.45">
      <c r="A16" t="s">
        <v>187</v>
      </c>
      <c r="B16" s="43">
        <f>VIN_var</f>
        <v>15</v>
      </c>
      <c r="C16" t="s">
        <v>11</v>
      </c>
      <c r="E16" t="s">
        <v>188</v>
      </c>
      <c r="F16" s="31"/>
      <c r="G16" s="31"/>
      <c r="N16" s="31"/>
      <c r="O16" s="67"/>
      <c r="P16" s="286" t="s">
        <v>214</v>
      </c>
      <c r="Q16" s="286"/>
      <c r="R16" s="286"/>
      <c r="S16" s="286"/>
      <c r="T16" s="286"/>
      <c r="U16" s="286"/>
      <c r="V16" s="286"/>
      <c r="W16" s="286"/>
      <c r="X16" s="286"/>
      <c r="Y16" s="286"/>
      <c r="Z16" s="286"/>
      <c r="AA16" s="286"/>
      <c r="AB16" s="286"/>
      <c r="AC16" s="286"/>
      <c r="AD16" s="286"/>
      <c r="AE16" s="287"/>
      <c r="AF16" s="288" t="s">
        <v>215</v>
      </c>
      <c r="AG16" s="286"/>
      <c r="AH16" s="286"/>
      <c r="AI16" s="286"/>
      <c r="AJ16" s="286"/>
      <c r="AK16" s="286"/>
      <c r="AL16" s="286"/>
      <c r="AM16" s="286"/>
      <c r="AN16" s="286"/>
      <c r="AO16" s="286"/>
      <c r="AP16" s="286"/>
      <c r="AQ16" s="286"/>
      <c r="AR16" s="287"/>
      <c r="AS16" s="288" t="s">
        <v>226</v>
      </c>
      <c r="AT16" s="286"/>
      <c r="AU16" s="287"/>
      <c r="AV16" s="31"/>
    </row>
    <row r="17" spans="1:48" x14ac:dyDescent="0.4">
      <c r="A17" t="s">
        <v>501</v>
      </c>
      <c r="B17" s="43">
        <f>POUT_Total</f>
        <v>75</v>
      </c>
      <c r="C17" t="s">
        <v>36</v>
      </c>
      <c r="E17" t="s">
        <v>502</v>
      </c>
      <c r="N17" s="31"/>
      <c r="O17" s="52"/>
      <c r="P17" s="49"/>
      <c r="Q17" s="289" t="s">
        <v>206</v>
      </c>
      <c r="R17" s="289"/>
      <c r="S17" s="289"/>
      <c r="T17" s="290" t="s">
        <v>208</v>
      </c>
      <c r="U17" s="290"/>
      <c r="V17" s="290"/>
      <c r="W17" s="290" t="s">
        <v>208</v>
      </c>
      <c r="X17" s="290"/>
      <c r="Y17" s="290"/>
      <c r="Z17" s="290" t="s">
        <v>211</v>
      </c>
      <c r="AA17" s="290"/>
      <c r="AB17" s="290"/>
      <c r="AC17" s="291" t="s">
        <v>213</v>
      </c>
      <c r="AD17" s="290"/>
      <c r="AE17" s="292"/>
      <c r="AF17" s="49"/>
      <c r="AG17" s="290" t="s">
        <v>222</v>
      </c>
      <c r="AH17" s="290"/>
      <c r="AI17" s="290"/>
      <c r="AJ17" s="290" t="s">
        <v>223</v>
      </c>
      <c r="AK17" s="290"/>
      <c r="AL17" s="290"/>
      <c r="AM17" s="290" t="s">
        <v>217</v>
      </c>
      <c r="AN17" s="290"/>
      <c r="AO17" s="290"/>
      <c r="AP17" s="291" t="s">
        <v>213</v>
      </c>
      <c r="AQ17" s="290"/>
      <c r="AR17" s="292"/>
      <c r="AS17" s="291" t="s">
        <v>213</v>
      </c>
      <c r="AT17" s="290"/>
      <c r="AU17" s="292"/>
      <c r="AV17" s="31"/>
    </row>
    <row r="18" spans="1:48" ht="15" thickBot="1" x14ac:dyDescent="0.45">
      <c r="A18" t="s">
        <v>503</v>
      </c>
      <c r="B18" s="1">
        <f>Cout_total</f>
        <v>2.9999999999999999E-7</v>
      </c>
      <c r="C18" t="s">
        <v>151</v>
      </c>
      <c r="N18" s="10"/>
      <c r="O18" s="53" t="s">
        <v>184</v>
      </c>
      <c r="P18" s="54" t="s">
        <v>189</v>
      </c>
      <c r="Q18" s="55" t="s">
        <v>212</v>
      </c>
      <c r="R18" s="54" t="s">
        <v>209</v>
      </c>
      <c r="S18" s="54" t="s">
        <v>210</v>
      </c>
      <c r="T18" s="54" t="s">
        <v>212</v>
      </c>
      <c r="U18" s="54" t="s">
        <v>209</v>
      </c>
      <c r="V18" s="54" t="s">
        <v>210</v>
      </c>
      <c r="W18" s="56" t="s">
        <v>212</v>
      </c>
      <c r="X18" s="54" t="s">
        <v>209</v>
      </c>
      <c r="Y18" s="54" t="s">
        <v>210</v>
      </c>
      <c r="Z18" s="56" t="s">
        <v>212</v>
      </c>
      <c r="AA18" s="56" t="s">
        <v>209</v>
      </c>
      <c r="AB18" s="56" t="s">
        <v>210</v>
      </c>
      <c r="AC18" s="60" t="s">
        <v>227</v>
      </c>
      <c r="AD18" s="56" t="s">
        <v>209</v>
      </c>
      <c r="AE18" s="57" t="s">
        <v>210</v>
      </c>
      <c r="AF18" s="54" t="s">
        <v>224</v>
      </c>
      <c r="AG18" s="56" t="s">
        <v>212</v>
      </c>
      <c r="AH18" s="56" t="s">
        <v>225</v>
      </c>
      <c r="AI18" s="56" t="s">
        <v>210</v>
      </c>
      <c r="AJ18" s="56" t="s">
        <v>212</v>
      </c>
      <c r="AK18" s="56" t="s">
        <v>225</v>
      </c>
      <c r="AL18" s="56" t="s">
        <v>210</v>
      </c>
      <c r="AM18" s="56" t="s">
        <v>212</v>
      </c>
      <c r="AN18" s="56" t="s">
        <v>225</v>
      </c>
      <c r="AO18" s="56" t="s">
        <v>210</v>
      </c>
      <c r="AP18" s="60" t="s">
        <v>227</v>
      </c>
      <c r="AQ18" s="56" t="s">
        <v>209</v>
      </c>
      <c r="AR18" s="57" t="s">
        <v>210</v>
      </c>
      <c r="AS18" s="60" t="s">
        <v>227</v>
      </c>
      <c r="AT18" s="56" t="s">
        <v>209</v>
      </c>
      <c r="AU18" s="57" t="s">
        <v>210</v>
      </c>
      <c r="AV18" s="31"/>
    </row>
    <row r="19" spans="1:48" x14ac:dyDescent="0.4">
      <c r="A19" t="s">
        <v>491</v>
      </c>
      <c r="B19" s="1">
        <f>Resr_total</f>
        <v>3.3299999999999996E-2</v>
      </c>
      <c r="C19" s="2" t="s">
        <v>35</v>
      </c>
      <c r="N19" s="10">
        <v>1</v>
      </c>
      <c r="O19" s="50">
        <f>10^(1+(N19/100))</f>
        <v>10.232929922807543</v>
      </c>
      <c r="P19" s="48" t="str">
        <f t="shared" ref="P19:P82" si="32">COMPLEX(Adc,0)</f>
        <v>5120.19230769231</v>
      </c>
      <c r="Q19" s="17" t="str">
        <f t="shared" ref="Q19:Q82" si="33">IMSUM(COMPLEX(1,0),IMDIV(COMPLEX(0,2*PI()*O19),COMPLEX(wp_lf,0)))</f>
        <v>1+0.300457326356019i</v>
      </c>
      <c r="R19" s="17">
        <f>IMABS(Q19)</f>
        <v>1.0441621545339628</v>
      </c>
      <c r="S19" s="17">
        <f>IMARGUMENT(Q19)</f>
        <v>0.29187630711358736</v>
      </c>
      <c r="T19" s="17" t="str">
        <f t="shared" ref="T19:T82" si="34">IMSUM(COMPLEX(1,0),IMDIV(COMPLEX(0,2*PI()*O19),COMPLEX(wz_esr,0)))</f>
        <v>1+6.42310995454424E-07i</v>
      </c>
      <c r="U19" s="17">
        <f>IMABS(T19)</f>
        <v>1.0000000000002063</v>
      </c>
      <c r="V19" s="17">
        <f>IMARGUMENT(T19)</f>
        <v>6.4231099545433571E-7</v>
      </c>
      <c r="W19" s="31" t="str">
        <f t="shared" ref="W19:W82" si="35">IMSUB(COMPLEX(1,0),IMDIV(COMPLEX(0,2*PI()*O19),COMPLEX(wz_rhp,0)))</f>
        <v>1-0.0010415853980342i</v>
      </c>
      <c r="X19" s="17">
        <f>IMABS(W19)</f>
        <v>1.0000005424499236</v>
      </c>
      <c r="Y19" s="17">
        <f>IMARGUMENT(W19)</f>
        <v>-1.0415850213623967E-3</v>
      </c>
      <c r="Z19" s="31" t="str">
        <f t="shared" ref="Z19:Z82" si="36">IMSUM(COMPLEX(1,0),IMDIV(COMPLEX(0,2*PI()*O19),COMPLEX(Q*(wsl/2),0)),IMDIV(IMPOWER(COMPLEX(0,2*PI()*O19),2),IMPOWER(COMPLEX(wsl/2,0),2)))</f>
        <v>0.999999958114858+0.00634166316767577i</v>
      </c>
      <c r="AA19" s="17">
        <f>IMABS(Z19)</f>
        <v>1.0000200662593977</v>
      </c>
      <c r="AB19" s="17">
        <f>IMARGUMENT(Z19)</f>
        <v>6.3415784217669864E-3</v>
      </c>
      <c r="AC19" s="66" t="str">
        <f>(IMDIV(IMPRODUCT(P19,T19,W19),IMPRODUCT(Q19,Z19)))</f>
        <v>4685.60475900993-1445.62312482961i</v>
      </c>
      <c r="AD19" s="64">
        <f>20*LOG(IMABS(AC19))</f>
        <v>73.810196911614611</v>
      </c>
      <c r="AE19" s="61">
        <f>(180/PI())*IMARGUMENT(AC19)</f>
        <v>-17.146267840510163</v>
      </c>
      <c r="AF19" s="31" t="str">
        <f t="shared" ref="AF19:AF82" si="37">COMPLEX(Adc_ea,0)</f>
        <v>-1.39902068552014E-06</v>
      </c>
      <c r="AG19" s="31" t="str">
        <f t="shared" ref="AG19:AG82" si="38">COMPLEX(0,2*PI()*O19*wp0_ea)</f>
        <v>2.12612011988857E-06i</v>
      </c>
      <c r="AH19" s="31">
        <f>IMABS(AG19)</f>
        <v>2.1261201198885698E-6</v>
      </c>
      <c r="AI19" s="31">
        <f>IMARGUMENT(AG19)</f>
        <v>1.5707963267948966</v>
      </c>
      <c r="AJ19" s="31" t="str">
        <f t="shared" ref="AJ19:AJ82" si="39">IMSUM(COMPLEX(1,0),IMDIV(COMPLEX(0,2*PI()*O19),COMPLEX(wp1_ea,0)))</f>
        <v>1+0.000153580987415837i</v>
      </c>
      <c r="AK19" s="31">
        <f>IMABS(AJ19)</f>
        <v>1.0000000117935597</v>
      </c>
      <c r="AL19" s="31">
        <f>IMARGUMENT(AJ19)</f>
        <v>1.5358098620832597E-4</v>
      </c>
      <c r="AM19" s="31" t="str">
        <f t="shared" ref="AM19:AM82" si="40">IMSUM(COMPLEX(1,0),IMDIV(COMPLEX(0,2*PI()*O19),COMPLEX(wz_ea,0)))</f>
        <v>1+0.0746855307627486i</v>
      </c>
      <c r="AN19" s="31">
        <f>IMABS(AM19)</f>
        <v>1.0027850859009191</v>
      </c>
      <c r="AO19" s="31">
        <f>IMARGUMENT(AM19)</f>
        <v>7.4547130144572107E-2</v>
      </c>
      <c r="AP19" s="58" t="str">
        <f>IMPRODUCT(AF19,IMDIV(AM19,IMPRODUCT(AG19,AJ19)))</f>
        <v>-0.0490432012909194+0.658023357471352i</v>
      </c>
      <c r="AQ19" s="49">
        <f>20*LOG(IMABS(AP19))</f>
        <v>-3.6111160065962582</v>
      </c>
      <c r="AR19" s="61">
        <f>(180/PI())*IMARGUMENT(AP19)</f>
        <v>94.262436389773271</v>
      </c>
      <c r="AS19" s="58" t="str">
        <f>IMPRODUCT(AC19,AP19)</f>
        <v>721.456724872794+3154.13536120929i</v>
      </c>
      <c r="AT19" s="64">
        <f>20*LOG(IMABS(AS19))</f>
        <v>70.199080905018363</v>
      </c>
      <c r="AU19" s="61">
        <f>(180/PI())*IMARGUMENT(AS19)</f>
        <v>77.116168549263108</v>
      </c>
      <c r="AV19" s="31"/>
    </row>
    <row r="20" spans="1:48" x14ac:dyDescent="0.4">
      <c r="N20" s="10">
        <v>2</v>
      </c>
      <c r="O20" s="50">
        <f t="shared" ref="O20:O83" si="41">10^(1+(N20/100))</f>
        <v>10.471285480509</v>
      </c>
      <c r="P20" s="48" t="str">
        <f t="shared" si="32"/>
        <v>5120.19230769231</v>
      </c>
      <c r="Q20" s="17" t="str">
        <f t="shared" si="33"/>
        <v>1+0.307455876539526i</v>
      </c>
      <c r="R20" s="17">
        <f t="shared" ref="R20:R83" si="42">IMABS(Q20)</f>
        <v>1.0461974555592688</v>
      </c>
      <c r="S20" s="17">
        <f t="shared" ref="S20:S83" si="43">IMARGUMENT(Q20)</f>
        <v>0.29828293418206303</v>
      </c>
      <c r="T20" s="17" t="str">
        <f t="shared" si="34"/>
        <v>1+6.57272340513387E-07i</v>
      </c>
      <c r="U20" s="17">
        <f t="shared" ref="U20:U83" si="44">IMABS(T20)</f>
        <v>1.000000000000216</v>
      </c>
      <c r="V20" s="17">
        <f t="shared" ref="V20:V83" si="45">IMARGUMENT(T20)</f>
        <v>6.572723405132923E-7</v>
      </c>
      <c r="W20" s="31" t="str">
        <f t="shared" si="35"/>
        <v>1-0.00106584703867036i</v>
      </c>
      <c r="X20" s="17">
        <f t="shared" ref="X20:X83" si="46">IMABS(W20)</f>
        <v>1.0000005680147936</v>
      </c>
      <c r="Y20" s="17">
        <f t="shared" ref="Y20:Y83" si="47">IMARGUMENT(W20)</f>
        <v>-1.0658466350592635E-3</v>
      </c>
      <c r="Z20" s="31" t="str">
        <f t="shared" si="36"/>
        <v>0.999999956140872+0.00648937947888759i</v>
      </c>
      <c r="AA20" s="17">
        <f t="shared" ref="AA20:AA83" si="48">IMABS(Z20)</f>
        <v>1.0000210119431325</v>
      </c>
      <c r="AB20" s="17">
        <f t="shared" ref="AB20:AB83" si="49">IMARGUMENT(Z20)</f>
        <v>6.4892886721133374E-3</v>
      </c>
      <c r="AC20" s="66" t="str">
        <f t="shared" ref="AC20:AC83" si="50">(IMDIV(IMPRODUCT(P20,T20,W20),IMPRODUCT(Q20,Z20)))</f>
        <v>4666.89218489804-1473.54264907636i</v>
      </c>
      <c r="AD20" s="64">
        <f t="shared" ref="AD20:AD83" si="51">20*LOG(IMABS(AC20))</f>
        <v>73.79327469541694</v>
      </c>
      <c r="AE20" s="61">
        <f t="shared" ref="AE20:AE83" si="52">(180/PI())*IMARGUMENT(AC20)</f>
        <v>-17.523192937230853</v>
      </c>
      <c r="AF20" s="31" t="str">
        <f t="shared" si="37"/>
        <v>-1.39902068552014E-06</v>
      </c>
      <c r="AG20" s="31" t="str">
        <f t="shared" si="38"/>
        <v>0.0000021756438194291i</v>
      </c>
      <c r="AH20" s="31">
        <f t="shared" ref="AH20:AH83" si="53">IMABS(AG20)</f>
        <v>2.1756438194290999E-6</v>
      </c>
      <c r="AI20" s="31">
        <f t="shared" ref="AI20:AI83" si="54">IMARGUMENT(AG20)</f>
        <v>1.5707963267948966</v>
      </c>
      <c r="AJ20" s="31" t="str">
        <f t="shared" si="39"/>
        <v>1+0.000157158348170185i</v>
      </c>
      <c r="AK20" s="31">
        <f t="shared" ref="AK20:AK83" si="55">IMABS(AJ20)</f>
        <v>1.0000000123493731</v>
      </c>
      <c r="AL20" s="31">
        <f t="shared" ref="AL20:AL83" si="56">IMARGUMENT(AJ20)</f>
        <v>1.5715834687631363E-4</v>
      </c>
      <c r="AM20" s="31" t="str">
        <f t="shared" si="40"/>
        <v>1+0.0764251802542893i</v>
      </c>
      <c r="AN20" s="31">
        <f t="shared" ref="AN20:AN83" si="57">IMABS(AM20)</f>
        <v>1.0029161521168659</v>
      </c>
      <c r="AO20" s="31">
        <f t="shared" ref="AO20:AO83" si="58">IMARGUMENT(AM20)</f>
        <v>7.6276904599002965E-2</v>
      </c>
      <c r="AP20" s="58" t="str">
        <f t="shared" ref="AP20:AP83" si="59">IMPRODUCT(AF20,IMDIV(AM20,IMPRODUCT(AG20,AJ20)))</f>
        <v>-0.0490432012364014+0.64304526407613i</v>
      </c>
      <c r="AQ20" s="49">
        <f t="shared" ref="AQ20:AQ83" si="60">20*LOG(IMABS(AP20))</f>
        <v>-3.8099808207315924</v>
      </c>
      <c r="AR20" s="61">
        <f t="shared" ref="AR20:AR83" si="61">(180/PI())*IMARGUMENT(AP20)</f>
        <v>94.361340197853622</v>
      </c>
      <c r="AS20" s="58" t="str">
        <f t="shared" ref="AS20:AS83" si="62">IMPRODUCT(AC20,AP20)</f>
        <v>718.675289330205+3073.29016612166i</v>
      </c>
      <c r="AT20" s="64">
        <f t="shared" ref="AT20:AT83" si="63">20*LOG(IMABS(AS20))</f>
        <v>69.983293874685344</v>
      </c>
      <c r="AU20" s="61">
        <f t="shared" ref="AU20:AU83" si="64">(180/PI())*IMARGUMENT(AS20)</f>
        <v>76.838147260622776</v>
      </c>
      <c r="AV20" s="31"/>
    </row>
    <row r="21" spans="1:48" s="31" customFormat="1" x14ac:dyDescent="0.4">
      <c r="N21" s="10">
        <v>3</v>
      </c>
      <c r="O21" s="50">
        <f t="shared" si="41"/>
        <v>10.715193052376069</v>
      </c>
      <c r="P21" s="48" t="str">
        <f t="shared" si="32"/>
        <v>5120.19230769231</v>
      </c>
      <c r="Q21" s="17" t="str">
        <f t="shared" si="33"/>
        <v>1+0.314617443898434i</v>
      </c>
      <c r="R21" s="17">
        <f t="shared" si="42"/>
        <v>1.0483244421481281</v>
      </c>
      <c r="S21" s="17">
        <f t="shared" si="43"/>
        <v>0.30481276300031973</v>
      </c>
      <c r="T21" s="17" t="str">
        <f t="shared" si="34"/>
        <v>1+6.72582180067319E-07i</v>
      </c>
      <c r="U21" s="17">
        <f t="shared" si="44"/>
        <v>1.000000000000226</v>
      </c>
      <c r="V21" s="17">
        <f t="shared" si="45"/>
        <v>6.7258218006721754E-7</v>
      </c>
      <c r="W21" s="31" t="str">
        <f t="shared" si="35"/>
        <v>1-0.00109067380551457i</v>
      </c>
      <c r="X21" s="17">
        <f t="shared" si="46"/>
        <v>1.0000005947844981</v>
      </c>
      <c r="Y21" s="17">
        <f t="shared" si="47"/>
        <v>-1.090673373037502E-3</v>
      </c>
      <c r="Z21" s="31" t="str">
        <f t="shared" si="36"/>
        <v>0.999999954073855+0.0066405365449962i</v>
      </c>
      <c r="AA21" s="17">
        <f t="shared" si="48"/>
        <v>1.0000220021946105</v>
      </c>
      <c r="AB21" s="17">
        <f t="shared" si="49"/>
        <v>6.6404392439001628E-3</v>
      </c>
      <c r="AC21" s="66" t="str">
        <f t="shared" si="50"/>
        <v>4647.45300399136-1501.74988282102i</v>
      </c>
      <c r="AD21" s="64">
        <f t="shared" si="51"/>
        <v>73.77562528228971</v>
      </c>
      <c r="AE21" s="61">
        <f t="shared" si="52"/>
        <v>-17.907406449410335</v>
      </c>
      <c r="AF21" s="31" t="str">
        <f t="shared" si="37"/>
        <v>-1.39902068552014E-06</v>
      </c>
      <c r="AG21" s="31" t="str">
        <f t="shared" si="38"/>
        <v>2.22632107412073E-06i</v>
      </c>
      <c r="AH21" s="31">
        <f t="shared" si="53"/>
        <v>2.2263210741207299E-6</v>
      </c>
      <c r="AI21" s="31">
        <f t="shared" si="54"/>
        <v>1.5707963267948966</v>
      </c>
      <c r="AJ21" s="31" t="str">
        <f t="shared" si="39"/>
        <v>1+0.000160819036360969i</v>
      </c>
      <c r="AK21" s="31">
        <f t="shared" si="55"/>
        <v>1.0000000129313811</v>
      </c>
      <c r="AL21" s="31">
        <f t="shared" si="56"/>
        <v>1.6081903497456085E-4</v>
      </c>
      <c r="AM21" s="31" t="str">
        <f t="shared" si="40"/>
        <v>1+0.0782053513880077i</v>
      </c>
      <c r="AN21" s="31">
        <f t="shared" si="57"/>
        <v>1.0030533769374996</v>
      </c>
      <c r="AO21" s="31">
        <f t="shared" si="58"/>
        <v>7.8046497270293974E-2</v>
      </c>
      <c r="AP21" s="58" t="str">
        <f t="shared" si="59"/>
        <v>-0.0490432011793144+0.628408121791636i</v>
      </c>
      <c r="AQ21" s="49">
        <f t="shared" si="60"/>
        <v>-4.0087924531498356</v>
      </c>
      <c r="AR21" s="61">
        <f t="shared" si="61"/>
        <v>94.462520647397739</v>
      </c>
      <c r="AS21" s="58" t="str">
        <f t="shared" si="62"/>
        <v>715.785850618209+2994.14783497731i</v>
      </c>
      <c r="AT21" s="64">
        <f t="shared" si="63"/>
        <v>69.766832829139872</v>
      </c>
      <c r="AU21" s="61">
        <f t="shared" si="64"/>
        <v>76.555114197987407</v>
      </c>
    </row>
    <row r="22" spans="1:48" x14ac:dyDescent="0.4">
      <c r="N22" s="10">
        <v>4</v>
      </c>
      <c r="O22" s="50">
        <f t="shared" si="41"/>
        <v>10.964781961431854</v>
      </c>
      <c r="P22" s="48" t="str">
        <f t="shared" si="32"/>
        <v>5120.19230769231</v>
      </c>
      <c r="Q22" s="17" t="str">
        <f t="shared" si="33"/>
        <v>1+0.321945825590551i</v>
      </c>
      <c r="R22" s="17">
        <f t="shared" si="42"/>
        <v>1.0505470549267089</v>
      </c>
      <c r="S22" s="17">
        <f t="shared" si="43"/>
        <v>0.31146702758015038</v>
      </c>
      <c r="T22" s="17" t="str">
        <f t="shared" si="34"/>
        <v>1+0.0000006882486315958i</v>
      </c>
      <c r="U22" s="17">
        <f t="shared" si="44"/>
        <v>1.0000000000002367</v>
      </c>
      <c r="V22" s="17">
        <f t="shared" si="45"/>
        <v>6.8824863159569132E-7</v>
      </c>
      <c r="W22" s="31" t="str">
        <f t="shared" si="35"/>
        <v>1-0.00111607886204724i</v>
      </c>
      <c r="X22" s="17">
        <f t="shared" si="46"/>
        <v>1.0000006228158194</v>
      </c>
      <c r="Y22" s="17">
        <f t="shared" si="47"/>
        <v>-1.1160783986397282E-3</v>
      </c>
      <c r="Z22" s="31" t="str">
        <f t="shared" si="36"/>
        <v>0.999999951909423+0.00679521451147886i</v>
      </c>
      <c r="AA22" s="17">
        <f t="shared" si="48"/>
        <v>1.0000230391141522</v>
      </c>
      <c r="AB22" s="17">
        <f t="shared" si="49"/>
        <v>6.7951102516057606E-3</v>
      </c>
      <c r="AC22" s="66" t="str">
        <f t="shared" si="50"/>
        <v>4627.26589100404-1530.23089048831i</v>
      </c>
      <c r="AD22" s="64">
        <f t="shared" si="51"/>
        <v>73.757220560861981</v>
      </c>
      <c r="AE22" s="61">
        <f t="shared" si="52"/>
        <v>-18.298984424676409</v>
      </c>
      <c r="AF22" s="31" t="str">
        <f t="shared" si="37"/>
        <v>-1.39902068552014E-06</v>
      </c>
      <c r="AG22" s="31" t="str">
        <f t="shared" si="38"/>
        <v>0.0000022781787537147i</v>
      </c>
      <c r="AH22" s="31">
        <f t="shared" si="53"/>
        <v>2.2781787537147001E-6</v>
      </c>
      <c r="AI22" s="31">
        <f t="shared" si="54"/>
        <v>1.5707963267948966</v>
      </c>
      <c r="AJ22" s="31" t="str">
        <f t="shared" si="39"/>
        <v>1+0.000164564992933524i</v>
      </c>
      <c r="AK22" s="31">
        <f t="shared" si="55"/>
        <v>1.0000000135408185</v>
      </c>
      <c r="AL22" s="31">
        <f t="shared" si="56"/>
        <v>1.6456499144796089E-4</v>
      </c>
      <c r="AM22" s="31" t="str">
        <f t="shared" si="40"/>
        <v>1+0.0800269880342023i</v>
      </c>
      <c r="AN22" s="31">
        <f t="shared" si="57"/>
        <v>1.0031970488462505</v>
      </c>
      <c r="AO22" s="31">
        <f t="shared" si="58"/>
        <v>7.9856802063884957E-2</v>
      </c>
      <c r="AP22" s="58" t="str">
        <f t="shared" si="59"/>
        <v>-0.049043201119537+0.61410416981128i</v>
      </c>
      <c r="AQ22" s="49">
        <f t="shared" si="60"/>
        <v>-4.2075484279577928</v>
      </c>
      <c r="AR22" s="61">
        <f t="shared" si="61"/>
        <v>94.566028844206627</v>
      </c>
      <c r="AS22" s="58" t="str">
        <f t="shared" si="62"/>
        <v>712.785238896815+2916.67069981264i</v>
      </c>
      <c r="AT22" s="64">
        <f t="shared" si="63"/>
        <v>69.549672132904206</v>
      </c>
      <c r="AU22" s="61">
        <f t="shared" si="64"/>
        <v>76.267044419530237</v>
      </c>
      <c r="AV22" s="31"/>
    </row>
    <row r="23" spans="1:48" x14ac:dyDescent="0.4">
      <c r="N23" s="10">
        <v>5</v>
      </c>
      <c r="O23" s="50">
        <f t="shared" si="41"/>
        <v>11.220184543019636</v>
      </c>
      <c r="P23" s="48" t="str">
        <f t="shared" si="32"/>
        <v>5120.19230769231</v>
      </c>
      <c r="Q23" s="17" t="str">
        <f t="shared" si="33"/>
        <v>1+0.329444907220852i</v>
      </c>
      <c r="R23" s="17">
        <f t="shared" si="42"/>
        <v>1.052869387385613</v>
      </c>
      <c r="S23" s="17">
        <f t="shared" si="43"/>
        <v>0.31824689810267165</v>
      </c>
      <c r="T23" s="17" t="str">
        <f t="shared" si="34"/>
        <v>1+0.0000007042800016588i</v>
      </c>
      <c r="U23" s="17">
        <f t="shared" si="44"/>
        <v>1.000000000000248</v>
      </c>
      <c r="V23" s="17">
        <f t="shared" si="45"/>
        <v>7.0428000165868359E-7</v>
      </c>
      <c r="W23" s="31" t="str">
        <f t="shared" si="35"/>
        <v>1-0.00114207567836562i</v>
      </c>
      <c r="X23" s="17">
        <f t="shared" si="46"/>
        <v>1.000000652168215</v>
      </c>
      <c r="Y23" s="17">
        <f t="shared" si="47"/>
        <v>-1.1420751818155424E-3</v>
      </c>
      <c r="Z23" s="31" t="str">
        <f t="shared" si="36"/>
        <v>0.999999949642984+0.00695349539064081i</v>
      </c>
      <c r="AA23" s="17">
        <f t="shared" si="48"/>
        <v>1.0000241249010537</v>
      </c>
      <c r="AB23" s="17">
        <f t="shared" si="49"/>
        <v>6.9533836743195798E-3</v>
      </c>
      <c r="AC23" s="66" t="str">
        <f t="shared" si="50"/>
        <v>4606.30949530637-1558.97047896052i</v>
      </c>
      <c r="AD23" s="64">
        <f t="shared" si="51"/>
        <v>73.738031605646682</v>
      </c>
      <c r="AE23" s="61">
        <f t="shared" si="52"/>
        <v>-18.697999377819713</v>
      </c>
      <c r="AF23" s="31" t="str">
        <f t="shared" si="37"/>
        <v>-1.39902068552014E-06</v>
      </c>
      <c r="AG23" s="31" t="str">
        <f t="shared" si="38"/>
        <v>2.33124435383916E-06i</v>
      </c>
      <c r="AH23" s="31">
        <f t="shared" si="53"/>
        <v>2.3312443538391599E-6</v>
      </c>
      <c r="AI23" s="31">
        <f t="shared" si="54"/>
        <v>1.5707963267948966</v>
      </c>
      <c r="AJ23" s="31" t="str">
        <f t="shared" si="39"/>
        <v>1+0.000168398204043606i</v>
      </c>
      <c r="AK23" s="31">
        <f t="shared" si="55"/>
        <v>1.0000000141789775</v>
      </c>
      <c r="AL23" s="31">
        <f t="shared" si="56"/>
        <v>1.6839820245179645E-4</v>
      </c>
      <c r="AM23" s="31" t="str">
        <f t="shared" si="40"/>
        <v>1+0.0818910560487349i</v>
      </c>
      <c r="AN23" s="31">
        <f t="shared" si="57"/>
        <v>1.0033474697535132</v>
      </c>
      <c r="AO23" s="31">
        <f t="shared" si="58"/>
        <v>8.1708731338954052E-2</v>
      </c>
      <c r="AP23" s="58" t="str">
        <f t="shared" si="59"/>
        <v>-0.0490432010569422+0.600125823990382i</v>
      </c>
      <c r="AQ23" s="49">
        <f t="shared" si="60"/>
        <v>-4.4062461554899599</v>
      </c>
      <c r="AR23" s="61">
        <f t="shared" si="61"/>
        <v>94.671916948812324</v>
      </c>
      <c r="AS23" s="58" t="str">
        <f t="shared" si="62"/>
        <v>709.67028055405+2840.82218406695i</v>
      </c>
      <c r="AT23" s="64">
        <f t="shared" si="63"/>
        <v>69.331785450156701</v>
      </c>
      <c r="AU23" s="61">
        <f t="shared" si="64"/>
        <v>75.973917570992597</v>
      </c>
      <c r="AV23" s="31"/>
    </row>
    <row r="24" spans="1:48" x14ac:dyDescent="0.4">
      <c r="N24" s="10">
        <v>6</v>
      </c>
      <c r="O24" s="50">
        <f t="shared" si="41"/>
        <v>11.481536214968834</v>
      </c>
      <c r="P24" s="48" t="str">
        <f t="shared" si="32"/>
        <v>5120.19230769231</v>
      </c>
      <c r="Q24" s="17" t="str">
        <f t="shared" si="33"/>
        <v>1+0.337118664901682i</v>
      </c>
      <c r="R24" s="17">
        <f t="shared" si="42"/>
        <v>1.0552956904228752</v>
      </c>
      <c r="S24" s="17">
        <f t="shared" si="43"/>
        <v>0.32515347530287153</v>
      </c>
      <c r="T24" s="17" t="str">
        <f t="shared" si="34"/>
        <v>1+7.20684790300928E-07i</v>
      </c>
      <c r="U24" s="17">
        <f t="shared" si="44"/>
        <v>1.0000000000002598</v>
      </c>
      <c r="V24" s="17">
        <f t="shared" si="45"/>
        <v>7.2068479030080324E-7</v>
      </c>
      <c r="W24" s="31" t="str">
        <f t="shared" si="35"/>
        <v>1-0.00116867803832583i</v>
      </c>
      <c r="X24" s="17">
        <f t="shared" si="46"/>
        <v>1.0000006829039454</v>
      </c>
      <c r="Y24" s="17">
        <f t="shared" si="47"/>
        <v>-1.1686775062628553E-3</v>
      </c>
      <c r="Z24" s="31" t="str">
        <f t="shared" si="36"/>
        <v>0.99999994726973+0.00711546310509926i</v>
      </c>
      <c r="AA24" s="17">
        <f t="shared" si="48"/>
        <v>1.0000252618582506</v>
      </c>
      <c r="AB24" s="17">
        <f t="shared" si="49"/>
        <v>7.115343399067677E-3</v>
      </c>
      <c r="AC24" s="66" t="str">
        <f t="shared" si="50"/>
        <v>4584.56250164724-1587.95215237636i</v>
      </c>
      <c r="AD24" s="64">
        <f t="shared" si="51"/>
        <v>73.71802867717507</v>
      </c>
      <c r="AE24" s="61">
        <f t="shared" si="52"/>
        <v>-19.104519971942569</v>
      </c>
      <c r="AF24" s="31" t="str">
        <f t="shared" si="37"/>
        <v>-1.39902068552014E-06</v>
      </c>
      <c r="AG24" s="31" t="str">
        <f t="shared" si="38"/>
        <v>2.38554601057769E-06i</v>
      </c>
      <c r="AH24" s="31">
        <f t="shared" si="53"/>
        <v>2.3855460105776901E-6</v>
      </c>
      <c r="AI24" s="31">
        <f t="shared" si="54"/>
        <v>1.5707963267948966</v>
      </c>
      <c r="AJ24" s="31" t="str">
        <f t="shared" si="39"/>
        <v>1+0.000172320702110487i</v>
      </c>
      <c r="AK24" s="31">
        <f t="shared" si="55"/>
        <v>1.0000000148472121</v>
      </c>
      <c r="AL24" s="31">
        <f t="shared" si="56"/>
        <v>1.7232070040483233E-4</v>
      </c>
      <c r="AM24" s="31" t="str">
        <f t="shared" si="40"/>
        <v>1+0.0837985437851409i</v>
      </c>
      <c r="AN24" s="31">
        <f t="shared" si="57"/>
        <v>1.0035049556133293</v>
      </c>
      <c r="AO24" s="31">
        <f t="shared" si="58"/>
        <v>8.3603216172961056E-2</v>
      </c>
      <c r="AP24" s="58" t="str">
        <f t="shared" si="59"/>
        <v>-0.0490432009913974+0.58646567282497i</v>
      </c>
      <c r="AQ24" s="49">
        <f t="shared" si="60"/>
        <v>-4.6048829272233096</v>
      </c>
      <c r="AR24" s="61">
        <f t="shared" si="61"/>
        <v>94.780238191574597</v>
      </c>
      <c r="AS24" s="58" t="str">
        <f t="shared" si="62"/>
        <v>706.437807231352+2766.56678871039i</v>
      </c>
      <c r="AT24" s="64">
        <f t="shared" si="63"/>
        <v>69.113145749951755</v>
      </c>
      <c r="AU24" s="61">
        <f t="shared" si="64"/>
        <v>75.675718219632017</v>
      </c>
      <c r="AV24" s="31"/>
    </row>
    <row r="25" spans="1:48" x14ac:dyDescent="0.4">
      <c r="A25" t="s">
        <v>32</v>
      </c>
      <c r="B25" s="43">
        <f>VOUT1</f>
        <v>1500</v>
      </c>
      <c r="C25" t="s">
        <v>11</v>
      </c>
      <c r="E25" t="s">
        <v>160</v>
      </c>
      <c r="N25" s="10">
        <v>7</v>
      </c>
      <c r="O25" s="50">
        <f t="shared" si="41"/>
        <v>11.748975549395301</v>
      </c>
      <c r="P25" s="48" t="str">
        <f t="shared" si="32"/>
        <v>5120.19230769231</v>
      </c>
      <c r="Q25" s="17" t="str">
        <f t="shared" si="33"/>
        <v>1+0.344971167360935i</v>
      </c>
      <c r="R25" s="17">
        <f t="shared" si="42"/>
        <v>1.057830376908494</v>
      </c>
      <c r="S25" s="17">
        <f t="shared" si="43"/>
        <v>0.33218778465972598</v>
      </c>
      <c r="T25" s="17" t="str">
        <f t="shared" si="34"/>
        <v>1+7.37471695558265E-07i</v>
      </c>
      <c r="U25" s="17">
        <f t="shared" si="44"/>
        <v>1.0000000000002718</v>
      </c>
      <c r="V25" s="17">
        <f t="shared" si="45"/>
        <v>7.3747169555813124E-7</v>
      </c>
      <c r="W25" s="31" t="str">
        <f t="shared" si="35"/>
        <v>1-0.00119590004685124i</v>
      </c>
      <c r="X25" s="17">
        <f t="shared" si="46"/>
        <v>1.0000007150882053</v>
      </c>
      <c r="Y25" s="17">
        <f t="shared" si="47"/>
        <v>-1.1958994767355133E-3</v>
      </c>
      <c r="Z25" s="31" t="str">
        <f t="shared" si="36"/>
        <v>0.999999944784629+0.00728120353228033i</v>
      </c>
      <c r="AA25" s="17">
        <f t="shared" si="48"/>
        <v>1.0000264523972051</v>
      </c>
      <c r="AB25" s="17">
        <f t="shared" si="49"/>
        <v>7.2810752651397805E-3</v>
      </c>
      <c r="AC25" s="66" t="str">
        <f t="shared" si="50"/>
        <v>4562.00369605624-1617.15806875889i</v>
      </c>
      <c r="AD25" s="64">
        <f t="shared" si="51"/>
        <v>73.697181224541637</v>
      </c>
      <c r="AE25" s="61">
        <f t="shared" si="52"/>
        <v>-19.518610688535709</v>
      </c>
      <c r="AF25" s="31" t="str">
        <f t="shared" si="37"/>
        <v>-1.39902068552014E-06</v>
      </c>
      <c r="AG25" s="31" t="str">
        <f t="shared" si="38"/>
        <v>2.44111251538745E-06i</v>
      </c>
      <c r="AH25" s="31">
        <f t="shared" si="53"/>
        <v>2.4411125153874498E-6</v>
      </c>
      <c r="AI25" s="31">
        <f t="shared" si="54"/>
        <v>1.5707963267948966</v>
      </c>
      <c r="AJ25" s="31" t="str">
        <f t="shared" si="39"/>
        <v>1+0.000176334566894561i</v>
      </c>
      <c r="AK25" s="31">
        <f t="shared" si="55"/>
        <v>1.0000000155469395</v>
      </c>
      <c r="AL25" s="31">
        <f t="shared" si="56"/>
        <v>1.7633456506691911E-4</v>
      </c>
      <c r="AM25" s="31" t="str">
        <f t="shared" si="40"/>
        <v>1+0.0857504626186667i</v>
      </c>
      <c r="AN25" s="31">
        <f t="shared" si="57"/>
        <v>1.0036698370676063</v>
      </c>
      <c r="AO25" s="31">
        <f t="shared" si="58"/>
        <v>8.5541206621016358E-2</v>
      </c>
      <c r="AP25" s="58" t="str">
        <f t="shared" si="59"/>
        <v>-0.0490432009227639+0.573116473522082i</v>
      </c>
      <c r="AQ25" s="49">
        <f t="shared" si="60"/>
        <v>-4.8034559104790473</v>
      </c>
      <c r="AR25" s="61">
        <f t="shared" si="61"/>
        <v>94.891046887480158</v>
      </c>
      <c r="AS25" s="58" t="str">
        <f t="shared" si="62"/>
        <v>703.084665618798+2693.87007856847i</v>
      </c>
      <c r="AT25" s="64">
        <f t="shared" si="63"/>
        <v>68.893725314062607</v>
      </c>
      <c r="AU25" s="61">
        <f t="shared" si="64"/>
        <v>75.372436198944484</v>
      </c>
      <c r="AV25" s="31"/>
    </row>
    <row r="26" spans="1:48" s="31" customFormat="1" x14ac:dyDescent="0.4">
      <c r="A26" t="s">
        <v>33</v>
      </c>
      <c r="B26" s="43">
        <f>IOUT1</f>
        <v>0.05</v>
      </c>
      <c r="C26" t="s">
        <v>12</v>
      </c>
      <c r="D26"/>
      <c r="E26" t="s">
        <v>34</v>
      </c>
      <c r="F26"/>
      <c r="G26"/>
      <c r="K26"/>
      <c r="N26" s="10">
        <v>8</v>
      </c>
      <c r="O26" s="50">
        <f t="shared" si="41"/>
        <v>12.022644346174133</v>
      </c>
      <c r="P26" s="48" t="str">
        <f t="shared" si="32"/>
        <v>5120.19230769231</v>
      </c>
      <c r="Q26" s="17" t="str">
        <f t="shared" si="33"/>
        <v>1+0.353006578099355i</v>
      </c>
      <c r="R26" s="17">
        <f t="shared" si="42"/>
        <v>1.0604780262605238</v>
      </c>
      <c r="S26" s="17">
        <f t="shared" si="43"/>
        <v>0.33935077040092448</v>
      </c>
      <c r="T26" s="17" t="str">
        <f t="shared" si="34"/>
        <v>1+7.54649618070177E-07i</v>
      </c>
      <c r="U26" s="17">
        <f t="shared" si="44"/>
        <v>1.0000000000002847</v>
      </c>
      <c r="V26" s="17">
        <f t="shared" si="45"/>
        <v>7.5464961807003378E-7</v>
      </c>
      <c r="W26" s="31" t="str">
        <f t="shared" si="35"/>
        <v>1-0.0012237561374111i</v>
      </c>
      <c r="X26" s="17">
        <f t="shared" si="46"/>
        <v>1.0000007487892615</v>
      </c>
      <c r="Y26" s="17">
        <f t="shared" si="47"/>
        <v>-1.2237555265211173E-3</v>
      </c>
      <c r="Z26" s="31" t="str">
        <f t="shared" si="36"/>
        <v>0.999999942182409+0.00745080454995233i</v>
      </c>
      <c r="AA26" s="17">
        <f t="shared" si="48"/>
        <v>1.000027699043013</v>
      </c>
      <c r="AB26" s="17">
        <f t="shared" si="49"/>
        <v>7.4506671094406052E-3</v>
      </c>
      <c r="AC26" s="66" t="str">
        <f t="shared" si="50"/>
        <v>4538.61203703976-1646.5689989291i</v>
      </c>
      <c r="AD26" s="64">
        <f t="shared" si="51"/>
        <v>73.675457890558377</v>
      </c>
      <c r="AE26" s="61">
        <f t="shared" si="52"/>
        <v>-19.940331487001217</v>
      </c>
      <c r="AF26" s="31" t="str">
        <f t="shared" si="37"/>
        <v>-1.39902068552014E-06</v>
      </c>
      <c r="AG26" s="31" t="str">
        <f t="shared" si="38"/>
        <v>2.49797333036483E-06i</v>
      </c>
      <c r="AH26" s="31">
        <f t="shared" si="53"/>
        <v>2.4979733303648299E-6</v>
      </c>
      <c r="AI26" s="31">
        <f t="shared" si="54"/>
        <v>1.5707963267948966</v>
      </c>
      <c r="AJ26" s="31" t="str">
        <f t="shared" si="39"/>
        <v>1+0.000180441926600066i</v>
      </c>
      <c r="AK26" s="31">
        <f t="shared" si="55"/>
        <v>1.0000000162796443</v>
      </c>
      <c r="AL26" s="31">
        <f t="shared" si="56"/>
        <v>1.8044192464171244E-4</v>
      </c>
      <c r="AM26" s="31" t="str">
        <f t="shared" si="40"/>
        <v>1+0.0877478474825143i</v>
      </c>
      <c r="AN26" s="31">
        <f t="shared" si="57"/>
        <v>1.0038424601190241</v>
      </c>
      <c r="AO26" s="31">
        <f t="shared" si="58"/>
        <v>8.7523671969204589E-2</v>
      </c>
      <c r="AP26" s="58" t="str">
        <f t="shared" si="59"/>
        <v>-0.0490432008508952+0.560071148159543i</v>
      </c>
      <c r="AQ26" s="49">
        <f t="shared" si="60"/>
        <v>-5.00196214290286</v>
      </c>
      <c r="AR26" s="61">
        <f t="shared" si="61"/>
        <v>95.004398450593698</v>
      </c>
      <c r="AS26" s="58" t="str">
        <f t="shared" si="62"/>
        <v>699.607728037299+2622.69866876492i</v>
      </c>
      <c r="AT26" s="64">
        <f t="shared" si="63"/>
        <v>68.673495747655522</v>
      </c>
      <c r="AU26" s="61">
        <f t="shared" si="64"/>
        <v>75.064066963592495</v>
      </c>
      <c r="AV26"/>
    </row>
    <row r="27" spans="1:48" s="31" customFormat="1" x14ac:dyDescent="0.4">
      <c r="A27"/>
      <c r="B27"/>
      <c r="C27"/>
      <c r="D27"/>
      <c r="E27"/>
      <c r="F27"/>
      <c r="G27"/>
      <c r="K27"/>
      <c r="N27" s="10">
        <v>9</v>
      </c>
      <c r="O27" s="50">
        <f t="shared" si="41"/>
        <v>12.302687708123818</v>
      </c>
      <c r="P27" s="48" t="str">
        <f t="shared" si="32"/>
        <v>5120.19230769231</v>
      </c>
      <c r="Q27" s="17" t="str">
        <f t="shared" si="33"/>
        <v>1+0.361229157598079i</v>
      </c>
      <c r="R27" s="17">
        <f t="shared" si="42"/>
        <v>1.0632433890220139</v>
      </c>
      <c r="S27" s="17">
        <f t="shared" si="43"/>
        <v>0.3466432893332741</v>
      </c>
      <c r="T27" s="17" t="str">
        <f t="shared" si="34"/>
        <v>1+7.72227665798561E-07i</v>
      </c>
      <c r="U27" s="17">
        <f t="shared" si="44"/>
        <v>1.0000000000002982</v>
      </c>
      <c r="V27" s="17">
        <f t="shared" si="45"/>
        <v>7.7222766579840751E-7</v>
      </c>
      <c r="W27" s="31" t="str">
        <f t="shared" si="35"/>
        <v>1-0.00125226107967334i</v>
      </c>
      <c r="X27" s="17">
        <f t="shared" si="46"/>
        <v>1.0000007840785985</v>
      </c>
      <c r="Y27" s="17">
        <f t="shared" si="47"/>
        <v>-1.2522604250929576E-3</v>
      </c>
      <c r="Z27" s="31" t="str">
        <f t="shared" si="36"/>
        <v>0.99999993945755+0.00762435608281978i</v>
      </c>
      <c r="AA27" s="17">
        <f t="shared" si="48"/>
        <v>1.0000290044397619</v>
      </c>
      <c r="AB27" s="17">
        <f t="shared" si="49"/>
        <v>7.6242088128888339E-3</v>
      </c>
      <c r="AC27" s="66" t="str">
        <f t="shared" si="50"/>
        <v>4514.36673215466-1676.16428819566i</v>
      </c>
      <c r="AD27" s="64">
        <f t="shared" si="51"/>
        <v>73.652826519722467</v>
      </c>
      <c r="AE27" s="61">
        <f t="shared" si="52"/>
        <v>-20.369737454256899</v>
      </c>
      <c r="AF27" s="31" t="str">
        <f t="shared" si="37"/>
        <v>-1.39902068552014E-06</v>
      </c>
      <c r="AG27" s="31" t="str">
        <f t="shared" si="38"/>
        <v>2.55615860386654E-06i</v>
      </c>
      <c r="AH27" s="31">
        <f t="shared" si="53"/>
        <v>2.5561586038665402E-6</v>
      </c>
      <c r="AI27" s="31">
        <f t="shared" si="54"/>
        <v>1.5707963267948966</v>
      </c>
      <c r="AJ27" s="31" t="str">
        <f t="shared" si="39"/>
        <v>1+0.000184644959003486i</v>
      </c>
      <c r="AK27" s="31">
        <f t="shared" si="55"/>
        <v>1.0000000170468804</v>
      </c>
      <c r="AL27" s="31">
        <f t="shared" si="56"/>
        <v>1.8464495690507235E-4</v>
      </c>
      <c r="AM27" s="31" t="str">
        <f t="shared" si="40"/>
        <v>1+0.0897917574165774i</v>
      </c>
      <c r="AN27" s="31">
        <f t="shared" si="57"/>
        <v>1.0040231868338287</v>
      </c>
      <c r="AO27" s="31">
        <f t="shared" si="58"/>
        <v>8.9551600980922644E-2</v>
      </c>
      <c r="AP27" s="58" t="str">
        <f t="shared" si="59"/>
        <v>-0.0490432007756401+0.547322779933179i</v>
      </c>
      <c r="AQ27" s="49">
        <f t="shared" si="60"/>
        <v>-5.2003985267159365</v>
      </c>
      <c r="AR27" s="61">
        <f t="shared" si="61"/>
        <v>95.120349408107444</v>
      </c>
      <c r="AS27" s="58" t="str">
        <f t="shared" si="62"/>
        <v>696.003903820035+2553.02021119969i</v>
      </c>
      <c r="AT27" s="64">
        <f t="shared" si="63"/>
        <v>68.452427993006538</v>
      </c>
      <c r="AU27" s="61">
        <f t="shared" si="64"/>
        <v>74.75061195385058</v>
      </c>
      <c r="AV27"/>
    </row>
    <row r="28" spans="1:48" x14ac:dyDescent="0.4">
      <c r="A28" t="s">
        <v>161</v>
      </c>
      <c r="K28" s="31"/>
      <c r="N28" s="10">
        <v>10</v>
      </c>
      <c r="O28" s="50">
        <f t="shared" si="41"/>
        <v>12.58925411794168</v>
      </c>
      <c r="P28" s="48" t="str">
        <f t="shared" si="32"/>
        <v>5120.19230769231</v>
      </c>
      <c r="Q28" s="17" t="str">
        <f t="shared" si="33"/>
        <v>1+0.369643265577595i</v>
      </c>
      <c r="R28" s="17">
        <f t="shared" si="42"/>
        <v>1.066131391427374</v>
      </c>
      <c r="S28" s="17">
        <f t="shared" si="43"/>
        <v>0.35406610451209991</v>
      </c>
      <c r="T28" s="17" t="str">
        <f t="shared" si="34"/>
        <v>1+7.90215158856992E-07i</v>
      </c>
      <c r="U28" s="17">
        <f t="shared" si="44"/>
        <v>1.0000000000003122</v>
      </c>
      <c r="V28" s="17">
        <f t="shared" si="45"/>
        <v>7.9021515885682762E-7</v>
      </c>
      <c r="W28" s="31" t="str">
        <f t="shared" si="35"/>
        <v>1-0.00128142998733566i</v>
      </c>
      <c r="X28" s="17">
        <f t="shared" si="46"/>
        <v>1.0000008210310691</v>
      </c>
      <c r="Y28" s="17">
        <f t="shared" si="47"/>
        <v>-1.2814292859401747E-3</v>
      </c>
      <c r="Z28" s="31" t="str">
        <f t="shared" si="36"/>
        <v>0.999999936604272+0.00780195015020263i</v>
      </c>
      <c r="AA28" s="17">
        <f t="shared" si="48"/>
        <v>1.0000303713561376</v>
      </c>
      <c r="AB28" s="17">
        <f t="shared" si="49"/>
        <v>7.8017923478873796E-3</v>
      </c>
      <c r="AC28" s="66" t="str">
        <f t="shared" si="50"/>
        <v>4489.24732000559-1705.92182134433i</v>
      </c>
      <c r="AD28" s="64">
        <f t="shared" si="51"/>
        <v>73.629254169202625</v>
      </c>
      <c r="AE28" s="61">
        <f t="shared" si="52"/>
        <v>-20.806878445188048</v>
      </c>
      <c r="AF28" s="31" t="str">
        <f t="shared" si="37"/>
        <v>-1.39902068552014E-06</v>
      </c>
      <c r="AG28" s="31" t="str">
        <f t="shared" si="38"/>
        <v>2.61569918649479E-06i</v>
      </c>
      <c r="AH28" s="31">
        <f t="shared" si="53"/>
        <v>2.6156991864947901E-6</v>
      </c>
      <c r="AI28" s="31">
        <f t="shared" si="54"/>
        <v>1.5707963267948966</v>
      </c>
      <c r="AJ28" s="31" t="str">
        <f t="shared" si="39"/>
        <v>1+0.000188945892608234i</v>
      </c>
      <c r="AK28" s="31">
        <f t="shared" si="55"/>
        <v>1.000000017850275</v>
      </c>
      <c r="AL28" s="31">
        <f t="shared" si="56"/>
        <v>1.8894589035974328E-4</v>
      </c>
      <c r="AM28" s="31" t="str">
        <f t="shared" si="40"/>
        <v>1+0.0918832761289571i</v>
      </c>
      <c r="AN28" s="31">
        <f t="shared" si="57"/>
        <v>1.0042123960757456</v>
      </c>
      <c r="AO28" s="31">
        <f t="shared" si="58"/>
        <v>9.1626002135217238E-2</v>
      </c>
      <c r="AP28" s="58" t="str">
        <f t="shared" si="59"/>
        <v>-0.0490432006968379+0.534864609489407i</v>
      </c>
      <c r="AQ28" s="49">
        <f t="shared" si="60"/>
        <v>-5.3987618227298864</v>
      </c>
      <c r="AR28" s="61">
        <f t="shared" si="61"/>
        <v>95.238957413930649</v>
      </c>
      <c r="AS28" s="58" t="str">
        <f t="shared" si="62"/>
        <v>692.270151500017+2484.80338097346i</v>
      </c>
      <c r="AT28" s="64">
        <f t="shared" si="63"/>
        <v>68.23049234647273</v>
      </c>
      <c r="AU28" s="61">
        <f t="shared" si="64"/>
        <v>74.432078968742601</v>
      </c>
    </row>
    <row r="29" spans="1:48" x14ac:dyDescent="0.4">
      <c r="A29" t="s">
        <v>162</v>
      </c>
      <c r="B29" s="43">
        <f>Lm</f>
        <v>4.4999999999999996E-5</v>
      </c>
      <c r="C29" t="s">
        <v>75</v>
      </c>
      <c r="E29" t="s">
        <v>163</v>
      </c>
      <c r="N29" s="10">
        <v>11</v>
      </c>
      <c r="O29" s="50">
        <f t="shared" si="41"/>
        <v>12.882495516931346</v>
      </c>
      <c r="P29" s="48" t="str">
        <f t="shared" si="32"/>
        <v>5120.19230769231</v>
      </c>
      <c r="Q29" s="17" t="str">
        <f t="shared" si="33"/>
        <v>1+0.378253363309326i</v>
      </c>
      <c r="R29" s="17">
        <f t="shared" si="42"/>
        <v>1.0691471399460493</v>
      </c>
      <c r="S29" s="17">
        <f t="shared" si="43"/>
        <v>0.36161987876533647</v>
      </c>
      <c r="T29" s="17" t="str">
        <f t="shared" si="34"/>
        <v>1+8.08621634452382E-07i</v>
      </c>
      <c r="U29" s="17">
        <f t="shared" si="44"/>
        <v>1.0000000000003268</v>
      </c>
      <c r="V29" s="17">
        <f t="shared" si="45"/>
        <v>8.0862163445220569E-7</v>
      </c>
      <c r="W29" s="31" t="str">
        <f t="shared" si="35"/>
        <v>1-0.001311278326139i</v>
      </c>
      <c r="X29" s="17">
        <f t="shared" si="46"/>
        <v>1.0000008597250547</v>
      </c>
      <c r="Y29" s="17">
        <f t="shared" si="47"/>
        <v>-1.3112775745802319E-3</v>
      </c>
      <c r="Z29" s="31" t="str">
        <f t="shared" si="36"/>
        <v>0.999999933616524+0.00798368091482612i</v>
      </c>
      <c r="AA29" s="17">
        <f t="shared" si="48"/>
        <v>1.0000318026912953</v>
      </c>
      <c r="AB29" s="17">
        <f t="shared" si="49"/>
        <v>7.9835118268893335E-3</v>
      </c>
      <c r="AC29" s="66" t="str">
        <f t="shared" si="50"/>
        <v>4463.23375767079-1735.81799148198i</v>
      </c>
      <c r="AD29" s="64">
        <f t="shared" si="51"/>
        <v>73.604707123051071</v>
      </c>
      <c r="AE29" s="61">
        <f t="shared" si="52"/>
        <v>-21.251798714846473</v>
      </c>
      <c r="AF29" s="31" t="str">
        <f t="shared" si="37"/>
        <v>-1.39902068552014E-06</v>
      </c>
      <c r="AG29" s="31" t="str">
        <f t="shared" si="38"/>
        <v>2.67662664745459E-06i</v>
      </c>
      <c r="AH29" s="31">
        <f t="shared" si="53"/>
        <v>2.67662664745459E-6</v>
      </c>
      <c r="AI29" s="31">
        <f t="shared" si="54"/>
        <v>1.5707963267948966</v>
      </c>
      <c r="AJ29" s="31" t="str">
        <f t="shared" si="39"/>
        <v>1+0.000193347007826238i</v>
      </c>
      <c r="AK29" s="31">
        <f t="shared" si="55"/>
        <v>1.0000000186915325</v>
      </c>
      <c r="AL29" s="31">
        <f t="shared" si="56"/>
        <v>1.9334700541693677E-4</v>
      </c>
      <c r="AM29" s="31" t="str">
        <f t="shared" si="40"/>
        <v>1+0.0940235125705592i</v>
      </c>
      <c r="AN29" s="31">
        <f t="shared" si="57"/>
        <v>1.004410484272295</v>
      </c>
      <c r="AO29" s="31">
        <f t="shared" si="58"/>
        <v>9.3747903856038942E-2</v>
      </c>
      <c r="AP29" s="58" t="str">
        <f t="shared" si="59"/>
        <v>-0.049043200614322+0.522690031341353i</v>
      </c>
      <c r="AQ29" s="49">
        <f t="shared" si="60"/>
        <v>-5.5970486441161693</v>
      </c>
      <c r="AR29" s="61">
        <f t="shared" si="61"/>
        <v>95.360281261757379</v>
      </c>
      <c r="AS29" s="58" t="str">
        <f t="shared" si="62"/>
        <v>688.403491804538+2418.01786266693i</v>
      </c>
      <c r="AT29" s="64">
        <f t="shared" si="63"/>
        <v>68.0076584789349</v>
      </c>
      <c r="AU29" s="61">
        <f t="shared" si="64"/>
        <v>74.108482546910892</v>
      </c>
    </row>
    <row r="30" spans="1:48" x14ac:dyDescent="0.4">
      <c r="A30" s="31"/>
      <c r="B30" s="31"/>
      <c r="C30" s="31"/>
      <c r="D30" s="31"/>
      <c r="E30" s="31"/>
      <c r="F30" s="31"/>
      <c r="G30" s="31"/>
      <c r="N30" s="10">
        <v>12</v>
      </c>
      <c r="O30" s="50">
        <f t="shared" si="41"/>
        <v>13.182567385564075</v>
      </c>
      <c r="P30" s="48" t="str">
        <f t="shared" si="32"/>
        <v>5120.19230769231</v>
      </c>
      <c r="Q30" s="17" t="str">
        <f t="shared" si="33"/>
        <v>1+0.387064015981059i</v>
      </c>
      <c r="R30" s="17">
        <f t="shared" si="42"/>
        <v>1.0722959257907239</v>
      </c>
      <c r="S30" s="17">
        <f t="shared" si="43"/>
        <v>0.36930516809048586</v>
      </c>
      <c r="T30" s="17" t="str">
        <f t="shared" si="34"/>
        <v>1+8.27456851941732E-07i</v>
      </c>
      <c r="U30" s="17">
        <f t="shared" si="44"/>
        <v>1.0000000000003424</v>
      </c>
      <c r="V30" s="17">
        <f t="shared" si="45"/>
        <v>8.2745685194154307E-7</v>
      </c>
      <c r="W30" s="31" t="str">
        <f t="shared" si="35"/>
        <v>1-0.00134182192206767i</v>
      </c>
      <c r="X30" s="17">
        <f t="shared" si="46"/>
        <v>1.00000090024263</v>
      </c>
      <c r="Y30" s="17">
        <f t="shared" si="47"/>
        <v>-1.34182111675798E-3</v>
      </c>
      <c r="Z30" s="31" t="str">
        <f t="shared" si="36"/>
        <v>0.999999930487967+0.00816964473274717i</v>
      </c>
      <c r="AA30" s="17">
        <f t="shared" si="48"/>
        <v>1.0000333014810048</v>
      </c>
      <c r="AB30" s="17">
        <f t="shared" si="49"/>
        <v>8.1694635520844789E-3</v>
      </c>
      <c r="AC30" s="66" t="str">
        <f t="shared" si="50"/>
        <v>4436.30651351366-1765.82767331945i</v>
      </c>
      <c r="AD30" s="64">
        <f t="shared" si="51"/>
        <v>73.579150909847485</v>
      </c>
      <c r="AE30" s="61">
        <f t="shared" si="52"/>
        <v>-21.704536543441197</v>
      </c>
      <c r="AF30" s="31" t="str">
        <f t="shared" si="37"/>
        <v>-1.39902068552014E-06</v>
      </c>
      <c r="AG30" s="31" t="str">
        <f t="shared" si="38"/>
        <v>2.73897329129221E-06i</v>
      </c>
      <c r="AH30" s="31">
        <f t="shared" si="53"/>
        <v>2.73897329129221E-6</v>
      </c>
      <c r="AI30" s="31">
        <f t="shared" si="54"/>
        <v>1.5707963267948966</v>
      </c>
      <c r="AJ30" s="31" t="str">
        <f t="shared" si="39"/>
        <v>1+0.000197850638187041i</v>
      </c>
      <c r="AK30" s="31">
        <f t="shared" si="55"/>
        <v>1.0000000195724374</v>
      </c>
      <c r="AL30" s="31">
        <f t="shared" si="56"/>
        <v>1.9785063560542825E-4</v>
      </c>
      <c r="AM30" s="31" t="str">
        <f t="shared" si="40"/>
        <v>1+0.0962136015230746i</v>
      </c>
      <c r="AN30" s="31">
        <f t="shared" si="57"/>
        <v>1.0046178662148315</v>
      </c>
      <c r="AO30" s="31">
        <f t="shared" si="58"/>
        <v>9.5918354731241426E-2</v>
      </c>
      <c r="AP30" s="58" t="str">
        <f t="shared" si="59"/>
        <v>-0.049043200527917+0.510792590366537i</v>
      </c>
      <c r="AQ30" s="49">
        <f t="shared" si="60"/>
        <v>-5.795255449922772</v>
      </c>
      <c r="AR30" s="61">
        <f t="shared" si="61"/>
        <v>95.484380897544625</v>
      </c>
      <c r="AS30" s="58" t="str">
        <f t="shared" si="62"/>
        <v>684.401021450202+2352.63433637793i</v>
      </c>
      <c r="AT30" s="64">
        <f t="shared" si="63"/>
        <v>67.783895459924707</v>
      </c>
      <c r="AU30" s="61">
        <f t="shared" si="64"/>
        <v>73.779844354103417</v>
      </c>
    </row>
    <row r="31" spans="1:48" x14ac:dyDescent="0.4">
      <c r="A31" t="s">
        <v>124</v>
      </c>
      <c r="B31" s="43">
        <f>R_cs</f>
        <v>4.0000000000000001E-3</v>
      </c>
      <c r="C31" s="2" t="s">
        <v>35</v>
      </c>
      <c r="E31" t="s">
        <v>164</v>
      </c>
      <c r="N31" s="10">
        <v>13</v>
      </c>
      <c r="O31" s="50">
        <f t="shared" si="41"/>
        <v>13.489628825916535</v>
      </c>
      <c r="P31" s="48" t="str">
        <f t="shared" si="32"/>
        <v>5120.19230769231</v>
      </c>
      <c r="Q31" s="17" t="str">
        <f t="shared" si="33"/>
        <v>1+0.396079895117464i</v>
      </c>
      <c r="R31" s="17">
        <f t="shared" si="42"/>
        <v>1.0755832293766305</v>
      </c>
      <c r="S31" s="17">
        <f t="shared" si="43"/>
        <v>0.37712241494523691</v>
      </c>
      <c r="T31" s="17" t="str">
        <f t="shared" si="34"/>
        <v>1+8.46730798006668E-07i</v>
      </c>
      <c r="U31" s="17">
        <f t="shared" si="44"/>
        <v>1.0000000000003584</v>
      </c>
      <c r="V31" s="17">
        <f t="shared" si="45"/>
        <v>8.4673079800646572E-7</v>
      </c>
      <c r="W31" s="31" t="str">
        <f t="shared" si="35"/>
        <v>1-0.00137307696974054i</v>
      </c>
      <c r="X31" s="17">
        <f t="shared" si="46"/>
        <v>1.000000942669738</v>
      </c>
      <c r="Y31" s="17">
        <f t="shared" si="47"/>
        <v>-1.3730761068357045E-3</v>
      </c>
      <c r="Z31" s="31" t="str">
        <f t="shared" si="36"/>
        <v>0.999999927211966+0.00835994020444355i</v>
      </c>
      <c r="AA31" s="17">
        <f t="shared" si="48"/>
        <v>1.0000348709040896</v>
      </c>
      <c r="AB31" s="17">
        <f t="shared" si="49"/>
        <v>8.3597460662313515E-3</v>
      </c>
      <c r="AC31" s="66" t="str">
        <f t="shared" si="50"/>
        <v>4408.44666528415-1795.92420150316i</v>
      </c>
      <c r="AD31" s="64">
        <f t="shared" si="51"/>
        <v>73.552550323977954</v>
      </c>
      <c r="AE31" s="61">
        <f t="shared" si="52"/>
        <v>-22.165123855310398</v>
      </c>
      <c r="AF31" s="31" t="str">
        <f t="shared" si="37"/>
        <v>-1.39902068552014E-06</v>
      </c>
      <c r="AG31" s="31" t="str">
        <f t="shared" si="38"/>
        <v>2.80277217502347E-06i</v>
      </c>
      <c r="AH31" s="31">
        <f t="shared" si="53"/>
        <v>2.8027721750234701E-6</v>
      </c>
      <c r="AI31" s="31">
        <f t="shared" si="54"/>
        <v>1.5707963267948966</v>
      </c>
      <c r="AJ31" s="31" t="str">
        <f t="shared" si="39"/>
        <v>1+0.000202459171575074i</v>
      </c>
      <c r="AK31" s="31">
        <f t="shared" si="55"/>
        <v>1.0000000204948578</v>
      </c>
      <c r="AL31" s="31">
        <f t="shared" si="56"/>
        <v>2.0245916880882607E-4</v>
      </c>
      <c r="AM31" s="31" t="str">
        <f t="shared" si="40"/>
        <v>1+0.0984547042006551i</v>
      </c>
      <c r="AN31" s="31">
        <f t="shared" si="57"/>
        <v>1.004834975893673</v>
      </c>
      <c r="AO31" s="31">
        <f t="shared" si="58"/>
        <v>9.813842372007392E-2</v>
      </c>
      <c r="AP31" s="58" t="str">
        <f t="shared" si="59"/>
        <v>-0.0490432004374401+0.499165978384269i</v>
      </c>
      <c r="AQ31" s="49">
        <f t="shared" si="60"/>
        <v>-5.9933785383300613</v>
      </c>
      <c r="AR31" s="61">
        <f t="shared" si="61"/>
        <v>95.61131743133032</v>
      </c>
      <c r="AS31" s="58" t="str">
        <f t="shared" si="62"/>
        <v>680.259927724017+2288.6244634162i</v>
      </c>
      <c r="AT31" s="64">
        <f t="shared" si="63"/>
        <v>67.559171785647891</v>
      </c>
      <c r="AU31" s="61">
        <f t="shared" si="64"/>
        <v>73.446193576019922</v>
      </c>
    </row>
    <row r="32" spans="1:48" x14ac:dyDescent="0.4">
      <c r="A32" t="s">
        <v>125</v>
      </c>
      <c r="B32" s="43">
        <f>R_sl</f>
        <v>3240</v>
      </c>
      <c r="C32" s="2" t="s">
        <v>35</v>
      </c>
      <c r="E32" t="s">
        <v>165</v>
      </c>
      <c r="N32" s="10">
        <v>14</v>
      </c>
      <c r="O32" s="50">
        <f t="shared" si="41"/>
        <v>13.803842646028857</v>
      </c>
      <c r="P32" s="48" t="str">
        <f t="shared" si="32"/>
        <v>5120.19230769231</v>
      </c>
      <c r="Q32" s="17" t="str">
        <f t="shared" si="33"/>
        <v>1+0.405305781056997i</v>
      </c>
      <c r="R32" s="17">
        <f t="shared" si="42"/>
        <v>1.079014724717982</v>
      </c>
      <c r="S32" s="17">
        <f t="shared" si="43"/>
        <v>0.38507194145528628</v>
      </c>
      <c r="T32" s="17" t="str">
        <f t="shared" si="34"/>
        <v>1+8.66453691948515E-07i</v>
      </c>
      <c r="U32" s="17">
        <f t="shared" si="44"/>
        <v>1.0000000000003753</v>
      </c>
      <c r="V32" s="17">
        <f t="shared" si="45"/>
        <v>8.664536919482982E-7</v>
      </c>
      <c r="W32" s="31" t="str">
        <f t="shared" si="35"/>
        <v>1-0.00140506004099759i</v>
      </c>
      <c r="X32" s="17">
        <f t="shared" si="46"/>
        <v>1.0000009870963722</v>
      </c>
      <c r="Y32" s="17">
        <f t="shared" si="47"/>
        <v>-1.4050591163784494E-3</v>
      </c>
      <c r="Z32" s="31" t="str">
        <f t="shared" si="36"/>
        <v>0.999999923781571+0.00855466822709323i</v>
      </c>
      <c r="AA32" s="17">
        <f t="shared" si="48"/>
        <v>1.0000365142891652</v>
      </c>
      <c r="AB32" s="17">
        <f t="shared" si="49"/>
        <v>8.5544602046612028E-3</v>
      </c>
      <c r="AC32" s="66" t="str">
        <f t="shared" si="50"/>
        <v>4379.63600335575-1826.07935462898i</v>
      </c>
      <c r="AD32" s="64">
        <f t="shared" si="51"/>
        <v>73.524869450748014</v>
      </c>
      <c r="AE32" s="61">
        <f t="shared" si="52"/>
        <v>-22.633585833231532</v>
      </c>
      <c r="AF32" s="31" t="str">
        <f t="shared" si="37"/>
        <v>-1.39902068552014E-06</v>
      </c>
      <c r="AG32" s="31" t="str">
        <f t="shared" si="38"/>
        <v>2.86805712566101E-06i</v>
      </c>
      <c r="AH32" s="31">
        <f t="shared" si="53"/>
        <v>2.86805712566101E-6</v>
      </c>
      <c r="AI32" s="31">
        <f t="shared" si="54"/>
        <v>1.5707963267948966</v>
      </c>
      <c r="AJ32" s="31" t="str">
        <f t="shared" si="39"/>
        <v>1+0.00020717505149574i</v>
      </c>
      <c r="AK32" s="31">
        <f t="shared" si="55"/>
        <v>1.0000000214607507</v>
      </c>
      <c r="AL32" s="31">
        <f t="shared" si="56"/>
        <v>2.0717504853165196E-4</v>
      </c>
      <c r="AM32" s="31" t="str">
        <f t="shared" si="40"/>
        <v>1+0.100748008865605i</v>
      </c>
      <c r="AN32" s="31">
        <f t="shared" si="57"/>
        <v>1.0050622673697307</v>
      </c>
      <c r="AO32" s="31">
        <f t="shared" si="58"/>
        <v>0.10040920034782538</v>
      </c>
      <c r="AP32" s="58" t="str">
        <f t="shared" si="59"/>
        <v>-0.0490432003426992+0.487804030810982i</v>
      </c>
      <c r="AQ32" s="49">
        <f t="shared" si="60"/>
        <v>-6.1914140396368289</v>
      </c>
      <c r="AR32" s="61">
        <f t="shared" si="61"/>
        <v>95.74115314831262</v>
      </c>
      <c r="AS32" s="58" t="str">
        <f t="shared" si="62"/>
        <v>675.977503828059+2225.96087155257i</v>
      </c>
      <c r="AT32" s="64">
        <f t="shared" si="63"/>
        <v>67.333455411111188</v>
      </c>
      <c r="AU32" s="61">
        <f t="shared" si="64"/>
        <v>73.107567315081084</v>
      </c>
      <c r="AV32" s="31"/>
    </row>
    <row r="33" spans="1:48" x14ac:dyDescent="0.4">
      <c r="A33" t="s">
        <v>111</v>
      </c>
      <c r="B33" s="21">
        <f>Rsl_int</f>
        <v>1333</v>
      </c>
      <c r="C33" s="2" t="s">
        <v>35</v>
      </c>
      <c r="E33" t="s">
        <v>166</v>
      </c>
      <c r="K33" s="31"/>
      <c r="N33" s="10">
        <v>15</v>
      </c>
      <c r="O33" s="50">
        <f t="shared" si="41"/>
        <v>14.125375446227544</v>
      </c>
      <c r="P33" s="48" t="str">
        <f t="shared" si="32"/>
        <v>5120.19230769231</v>
      </c>
      <c r="Q33" s="17" t="str">
        <f t="shared" si="33"/>
        <v>1+0.414746565486503i</v>
      </c>
      <c r="R33" s="17">
        <f t="shared" si="42"/>
        <v>1.0825962837470162</v>
      </c>
      <c r="S33" s="17">
        <f t="shared" si="43"/>
        <v>0.39315394256571196</v>
      </c>
      <c r="T33" s="17" t="str">
        <f t="shared" si="34"/>
        <v>1+8.86635991106702E-07i</v>
      </c>
      <c r="U33" s="17">
        <f t="shared" si="44"/>
        <v>1.000000000000393</v>
      </c>
      <c r="V33" s="17">
        <f t="shared" si="45"/>
        <v>8.8663599110646973E-7</v>
      </c>
      <c r="W33" s="31" t="str">
        <f t="shared" si="35"/>
        <v>1-0.00143778809368654i</v>
      </c>
      <c r="X33" s="17">
        <f t="shared" si="46"/>
        <v>1.0000010336167671</v>
      </c>
      <c r="Y33" s="17">
        <f t="shared" si="47"/>
        <v>-1.4377871029393361E-3</v>
      </c>
      <c r="Z33" s="31" t="str">
        <f t="shared" si="36"/>
        <v>0.999999920189507+0.00875393204807132i</v>
      </c>
      <c r="AA33" s="17">
        <f t="shared" si="48"/>
        <v>1.0000382351216992</v>
      </c>
      <c r="AB33" s="17">
        <f t="shared" si="49"/>
        <v>8.7537091484797581E-3</v>
      </c>
      <c r="AC33" s="66" t="str">
        <f t="shared" si="50"/>
        <v>4349.85713887945-1856.26334558831i</v>
      </c>
      <c r="AD33" s="64">
        <f t="shared" si="51"/>
        <v>73.496071695521024</v>
      </c>
      <c r="AE33" s="61">
        <f t="shared" si="52"/>
        <v>-23.109940529573535</v>
      </c>
      <c r="AF33" s="31" t="str">
        <f t="shared" si="37"/>
        <v>-1.39902068552014E-06</v>
      </c>
      <c r="AG33" s="31" t="str">
        <f t="shared" si="38"/>
        <v>2.93486275814979E-06i</v>
      </c>
      <c r="AH33" s="31">
        <f t="shared" si="53"/>
        <v>2.93486275814979E-6</v>
      </c>
      <c r="AI33" s="31">
        <f t="shared" si="54"/>
        <v>1.5707963267948966</v>
      </c>
      <c r="AJ33" s="31" t="str">
        <f t="shared" si="39"/>
        <v>1+0.000212000778370995i</v>
      </c>
      <c r="AK33" s="31">
        <f t="shared" si="55"/>
        <v>1.0000000224721648</v>
      </c>
      <c r="AL33" s="31">
        <f t="shared" si="56"/>
        <v>2.1200077519491743E-4</v>
      </c>
      <c r="AM33" s="31" t="str">
        <f t="shared" si="40"/>
        <v>1+0.103094731458413i</v>
      </c>
      <c r="AN33" s="31">
        <f t="shared" si="57"/>
        <v>1.0053002156840922</v>
      </c>
      <c r="AO33" s="31">
        <f t="shared" si="58"/>
        <v>0.10273179488618089</v>
      </c>
      <c r="AP33" s="58" t="str">
        <f t="shared" si="59"/>
        <v>-0.0490432002434933+0.47670072339168i</v>
      </c>
      <c r="AQ33" s="49">
        <f t="shared" si="60"/>
        <v>-6.3893579089692043</v>
      </c>
      <c r="AR33" s="61">
        <f t="shared" si="61"/>
        <v>95.873951519109625</v>
      </c>
      <c r="AS33" s="58" t="str">
        <f t="shared" si="62"/>
        <v>671.551164954754+2164.61713971664i</v>
      </c>
      <c r="AT33" s="64">
        <f t="shared" si="63"/>
        <v>67.106713786551808</v>
      </c>
      <c r="AU33" s="61">
        <f t="shared" si="64"/>
        <v>72.764010989536089</v>
      </c>
    </row>
    <row r="34" spans="1:48" x14ac:dyDescent="0.4">
      <c r="A34" t="s">
        <v>109</v>
      </c>
      <c r="B34" s="21">
        <f>Isl</f>
        <v>2.9999999999999997E-5</v>
      </c>
      <c r="C34" s="2" t="s">
        <v>12</v>
      </c>
      <c r="E34" t="s">
        <v>167</v>
      </c>
      <c r="K34" s="31"/>
      <c r="N34" s="10">
        <v>16</v>
      </c>
      <c r="O34" s="50">
        <f t="shared" si="41"/>
        <v>14.454397707459275</v>
      </c>
      <c r="P34" s="48" t="str">
        <f t="shared" si="32"/>
        <v>5120.19230769231</v>
      </c>
      <c r="Q34" s="17" t="str">
        <f t="shared" si="33"/>
        <v>1+0.424407254034849i</v>
      </c>
      <c r="R34" s="17">
        <f t="shared" si="42"/>
        <v>1.0863339805406995</v>
      </c>
      <c r="S34" s="17">
        <f t="shared" si="43"/>
        <v>0.40136847916511997</v>
      </c>
      <c r="T34" s="17" t="str">
        <f t="shared" si="34"/>
        <v>1+9.07288396403389E-07i</v>
      </c>
      <c r="U34" s="17">
        <f t="shared" si="44"/>
        <v>1.0000000000004117</v>
      </c>
      <c r="V34" s="17">
        <f t="shared" si="45"/>
        <v>9.0728839640314006E-7</v>
      </c>
      <c r="W34" s="31" t="str">
        <f t="shared" si="35"/>
        <v>1-0.00147127848065414i</v>
      </c>
      <c r="X34" s="17">
        <f t="shared" si="46"/>
        <v>1.0000010823295982</v>
      </c>
      <c r="Y34" s="17">
        <f t="shared" si="47"/>
        <v>-1.4712774190494466E-3</v>
      </c>
      <c r="Z34" s="31" t="str">
        <f t="shared" si="36"/>
        <v>0.999999916428155+0.00895783731969329i</v>
      </c>
      <c r="AA34" s="17">
        <f t="shared" si="48"/>
        <v>1.0000400370513989</v>
      </c>
      <c r="AB34" s="17">
        <f t="shared" si="49"/>
        <v>8.9575984789942321E-3</v>
      </c>
      <c r="AC34" s="66" t="str">
        <f t="shared" si="50"/>
        <v>4319.09361656674-1886.44481890997i</v>
      </c>
      <c r="AD34" s="64">
        <f t="shared" si="51"/>
        <v>73.466119817064367</v>
      </c>
      <c r="AE34" s="61">
        <f t="shared" si="52"/>
        <v>-23.594198475973599</v>
      </c>
      <c r="AF34" s="31" t="str">
        <f t="shared" si="37"/>
        <v>-1.39902068552014E-06</v>
      </c>
      <c r="AG34" s="31" t="str">
        <f t="shared" si="38"/>
        <v>3.00322449372044E-06i</v>
      </c>
      <c r="AH34" s="31">
        <f t="shared" si="53"/>
        <v>3.0032244937204402E-6</v>
      </c>
      <c r="AI34" s="31">
        <f t="shared" si="54"/>
        <v>1.5707963267948966</v>
      </c>
      <c r="AJ34" s="31" t="str">
        <f t="shared" si="39"/>
        <v>1+0.000216938910865105i</v>
      </c>
      <c r="AK34" s="31">
        <f t="shared" si="55"/>
        <v>1.0000000235312452</v>
      </c>
      <c r="AL34" s="31">
        <f t="shared" si="56"/>
        <v>2.169389074618766E-4</v>
      </c>
      <c r="AM34" s="31" t="str">
        <f t="shared" si="40"/>
        <v>1+0.10549611624246i</v>
      </c>
      <c r="AN34" s="31">
        <f t="shared" si="57"/>
        <v>1.0055493178070594</v>
      </c>
      <c r="AO34" s="31">
        <f t="shared" si="58"/>
        <v>0.10510733851775424</v>
      </c>
      <c r="AP34" s="58" t="str">
        <f t="shared" si="59"/>
        <v>-0.049043200139612+0.465850169005798i</v>
      </c>
      <c r="AQ34" s="49">
        <f t="shared" si="60"/>
        <v>-6.5872059187036154</v>
      </c>
      <c r="AR34" s="61">
        <f t="shared" si="61"/>
        <v>96.00977720911041</v>
      </c>
      <c r="AS34" s="58" t="str">
        <f t="shared" si="62"/>
        <v>666.978465050318+2104.56778203561i</v>
      </c>
      <c r="AT34" s="64">
        <f t="shared" si="63"/>
        <v>66.878913898360722</v>
      </c>
      <c r="AU34" s="61">
        <f t="shared" si="64"/>
        <v>72.415578733136797</v>
      </c>
    </row>
    <row r="35" spans="1:48" x14ac:dyDescent="0.4">
      <c r="A35" s="31"/>
      <c r="B35" s="26"/>
      <c r="C35" s="2"/>
      <c r="D35" s="31"/>
      <c r="E35" s="31"/>
      <c r="F35" s="31"/>
      <c r="G35" s="31"/>
      <c r="N35" s="10">
        <v>17</v>
      </c>
      <c r="O35" s="50">
        <f t="shared" si="41"/>
        <v>14.791083881682074</v>
      </c>
      <c r="P35" s="48" t="str">
        <f t="shared" si="32"/>
        <v>5120.19230769231</v>
      </c>
      <c r="Q35" s="17" t="str">
        <f t="shared" si="33"/>
        <v>1+0.434292968926979i</v>
      </c>
      <c r="R35" s="17">
        <f t="shared" si="42"/>
        <v>1.0902340954397867</v>
      </c>
      <c r="S35" s="17">
        <f t="shared" si="43"/>
        <v>0.40971547121473395</v>
      </c>
      <c r="T35" s="17" t="str">
        <f t="shared" si="34"/>
        <v>1+9.2842185801723E-07i</v>
      </c>
      <c r="U35" s="17">
        <f t="shared" si="44"/>
        <v>1.000000000000431</v>
      </c>
      <c r="V35" s="17">
        <f t="shared" si="45"/>
        <v>9.2842185801696328E-7</v>
      </c>
      <c r="W35" s="31" t="str">
        <f t="shared" si="35"/>
        <v>1-0.00150554895894686i</v>
      </c>
      <c r="X35" s="17">
        <f t="shared" si="46"/>
        <v>1.0000011333381917</v>
      </c>
      <c r="Y35" s="17">
        <f t="shared" si="47"/>
        <v>-1.5055478214170061E-3</v>
      </c>
      <c r="Z35" s="31" t="str">
        <f t="shared" si="36"/>
        <v>0.999999912489535+0.00916649215523315i</v>
      </c>
      <c r="AA35" s="17">
        <f t="shared" si="48"/>
        <v>1.0000419238999481</v>
      </c>
      <c r="AB35" s="17">
        <f t="shared" si="49"/>
        <v>9.1662362333926814E-3</v>
      </c>
      <c r="AC35" s="66" t="str">
        <f t="shared" si="50"/>
        <v>4287.33003173878-1916.59085576634i</v>
      </c>
      <c r="AD35" s="64">
        <f t="shared" si="51"/>
        <v>73.434975965272301</v>
      </c>
      <c r="AE35" s="61">
        <f t="shared" si="52"/>
        <v>-24.086362293379491</v>
      </c>
      <c r="AF35" s="31" t="str">
        <f t="shared" si="37"/>
        <v>-1.39902068552014E-06</v>
      </c>
      <c r="AG35" s="31" t="str">
        <f t="shared" si="38"/>
        <v>3.07317857867005E-06i</v>
      </c>
      <c r="AH35" s="31">
        <f t="shared" si="53"/>
        <v>3.0731785786700501E-6</v>
      </c>
      <c r="AI35" s="31">
        <f t="shared" si="54"/>
        <v>1.5707963267948966</v>
      </c>
      <c r="AJ35" s="31" t="str">
        <f t="shared" si="39"/>
        <v>1+0.000221992067241281i</v>
      </c>
      <c r="AK35" s="31">
        <f t="shared" si="55"/>
        <v>1.0000000246402387</v>
      </c>
      <c r="AL35" s="31">
        <f t="shared" si="56"/>
        <v>2.2199206359465606E-4</v>
      </c>
      <c r="AM35" s="31" t="str">
        <f t="shared" si="40"/>
        <v>1+0.107953436463745i</v>
      </c>
      <c r="AN35" s="31">
        <f t="shared" si="57"/>
        <v>1.0058100936281817</v>
      </c>
      <c r="AO35" s="31">
        <f t="shared" si="58"/>
        <v>0.10753698348315334</v>
      </c>
      <c r="AP35" s="58" t="str">
        <f t="shared" si="59"/>
        <v>-0.0490432000308346+0.455246614545775i</v>
      </c>
      <c r="AQ35" s="49">
        <f t="shared" si="60"/>
        <v>-6.7849536505957619</v>
      </c>
      <c r="AR35" s="61">
        <f t="shared" si="61"/>
        <v>96.148696086823364</v>
      </c>
      <c r="AS35" s="58" t="str">
        <f t="shared" si="62"/>
        <v>662.257114212247+2045.78823110613i</v>
      </c>
      <c r="AT35" s="64">
        <f t="shared" si="63"/>
        <v>66.650022314676548</v>
      </c>
      <c r="AU35" s="61">
        <f t="shared" si="64"/>
        <v>72.062333793443884</v>
      </c>
    </row>
    <row r="36" spans="1:48" x14ac:dyDescent="0.4">
      <c r="A36" s="31" t="s">
        <v>190</v>
      </c>
      <c r="B36" s="21">
        <f>Gcomp</f>
        <v>0.14199999999999999</v>
      </c>
      <c r="C36" s="2"/>
      <c r="D36" s="31"/>
      <c r="E36" s="31" t="s">
        <v>191</v>
      </c>
      <c r="F36" s="31"/>
      <c r="G36" s="31"/>
      <c r="N36" s="10">
        <v>18</v>
      </c>
      <c r="O36" s="50">
        <f t="shared" si="41"/>
        <v>15.135612484362087</v>
      </c>
      <c r="P36" s="48" t="str">
        <f t="shared" si="32"/>
        <v>5120.19230769231</v>
      </c>
      <c r="Q36" s="17" t="str">
        <f t="shared" si="33"/>
        <v>1+0.444408951699781i</v>
      </c>
      <c r="R36" s="17">
        <f t="shared" si="42"/>
        <v>1.0943031190446724</v>
      </c>
      <c r="S36" s="17">
        <f t="shared" si="43"/>
        <v>0.41819469091750366</v>
      </c>
      <c r="T36" s="17" t="str">
        <f t="shared" si="34"/>
        <v>1+9.5004758118931E-07i</v>
      </c>
      <c r="U36" s="17">
        <f t="shared" si="44"/>
        <v>1.0000000000004512</v>
      </c>
      <c r="V36" s="17">
        <f t="shared" si="45"/>
        <v>9.5004758118902411E-7</v>
      </c>
      <c r="W36" s="31" t="str">
        <f t="shared" si="35"/>
        <v>1-0.00154061769922591i</v>
      </c>
      <c r="X36" s="17">
        <f t="shared" si="46"/>
        <v>1.0000011867507435</v>
      </c>
      <c r="Y36" s="17">
        <f t="shared" si="47"/>
        <v>-1.5406164803407894E-3</v>
      </c>
      <c r="Z36" s="31" t="str">
        <f t="shared" si="36"/>
        <v>0.999999908365294+0.0093800071862466i</v>
      </c>
      <c r="AA36" s="17">
        <f t="shared" si="48"/>
        <v>1.0000438996691146</v>
      </c>
      <c r="AB36" s="17">
        <f t="shared" si="49"/>
        <v>9.3797329617040549E-3</v>
      </c>
      <c r="AC36" s="66" t="str">
        <f t="shared" si="50"/>
        <v>4254.55215120011-1946.66698731123i</v>
      </c>
      <c r="AD36" s="64">
        <f t="shared" si="51"/>
        <v>73.402601723420673</v>
      </c>
      <c r="AE36" s="61">
        <f t="shared" si="52"/>
        <v>-24.586426304471356</v>
      </c>
      <c r="AF36" s="31" t="str">
        <f t="shared" si="37"/>
        <v>-1.39902068552014E-06</v>
      </c>
      <c r="AG36" s="31" t="str">
        <f t="shared" si="38"/>
        <v>3.14476210358039E-06i</v>
      </c>
      <c r="AH36" s="31">
        <f t="shared" si="53"/>
        <v>3.1447621035803902E-6</v>
      </c>
      <c r="AI36" s="31">
        <f t="shared" si="54"/>
        <v>1.5707963267948966</v>
      </c>
      <c r="AJ36" s="31" t="str">
        <f t="shared" si="39"/>
        <v>1+0.000227162926749921i</v>
      </c>
      <c r="AK36" s="31">
        <f t="shared" si="55"/>
        <v>1.0000000258014974</v>
      </c>
      <c r="AL36" s="31">
        <f t="shared" si="56"/>
        <v>2.2716292284249198E-4</v>
      </c>
      <c r="AM36" s="31" t="str">
        <f t="shared" si="40"/>
        <v>1+0.110467995025976i</v>
      </c>
      <c r="AN36" s="31">
        <f t="shared" si="57"/>
        <v>1.0060830869888724</v>
      </c>
      <c r="AO36" s="31">
        <f t="shared" si="58"/>
        <v>0.11002190320882126</v>
      </c>
      <c r="AP36" s="58" t="str">
        <f t="shared" si="59"/>
        <v>-0.049043199916931+0.444884437866685i</v>
      </c>
      <c r="AQ36" s="49">
        <f t="shared" si="60"/>
        <v>-6.9825964876074433</v>
      </c>
      <c r="AR36" s="61">
        <f t="shared" si="61"/>
        <v>96.290775231121572</v>
      </c>
      <c r="AS36" s="58" t="str">
        <f t="shared" si="62"/>
        <v>657.384996655274+1988.25482039155i</v>
      </c>
      <c r="AT36" s="64">
        <f t="shared" si="63"/>
        <v>66.420005235813221</v>
      </c>
      <c r="AU36" s="61">
        <f t="shared" si="64"/>
        <v>71.704348926650226</v>
      </c>
    </row>
    <row r="37" spans="1:48" x14ac:dyDescent="0.4">
      <c r="N37" s="10">
        <v>19</v>
      </c>
      <c r="O37" s="50">
        <f t="shared" si="41"/>
        <v>15.488166189124817</v>
      </c>
      <c r="P37" s="48" t="str">
        <f t="shared" si="32"/>
        <v>5120.19230769231</v>
      </c>
      <c r="Q37" s="17" t="str">
        <f t="shared" si="33"/>
        <v>1+0.454760565981222i</v>
      </c>
      <c r="R37" s="17">
        <f t="shared" si="42"/>
        <v>1.0985477560723345</v>
      </c>
      <c r="S37" s="17">
        <f t="shared" si="43"/>
        <v>0.42680575596524267</v>
      </c>
      <c r="T37" s="17" t="str">
        <f t="shared" si="34"/>
        <v>1+9.72177032164301E-07i</v>
      </c>
      <c r="U37" s="17">
        <f t="shared" si="44"/>
        <v>1.0000000000004725</v>
      </c>
      <c r="V37" s="17">
        <f t="shared" si="45"/>
        <v>9.7217703216399478E-7</v>
      </c>
      <c r="W37" s="31" t="str">
        <f t="shared" si="35"/>
        <v>1-0.00157650329540157i</v>
      </c>
      <c r="X37" s="17">
        <f t="shared" si="46"/>
        <v>1.000001242680548</v>
      </c>
      <c r="Y37" s="17">
        <f t="shared" si="47"/>
        <v>-1.5765019893427201E-3</v>
      </c>
      <c r="Z37" s="31" t="str">
        <f t="shared" si="36"/>
        <v>0.999999904046683+0.00959849562122926i</v>
      </c>
      <c r="AA37" s="17">
        <f t="shared" si="48"/>
        <v>1.0000459685492291</v>
      </c>
      <c r="AB37" s="17">
        <f t="shared" si="49"/>
        <v>9.5982017850674249E-3</v>
      </c>
      <c r="AC37" s="66" t="str">
        <f t="shared" si="50"/>
        <v>4220.74703741155-1976.63721700643i</v>
      </c>
      <c r="AD37" s="64">
        <f t="shared" si="51"/>
        <v>73.368958155088407</v>
      </c>
      <c r="AE37" s="61">
        <f t="shared" si="52"/>
        <v>-25.094376150640684</v>
      </c>
      <c r="AF37" s="31" t="str">
        <f t="shared" si="37"/>
        <v>-1.39902068552014E-06</v>
      </c>
      <c r="AG37" s="31" t="str">
        <f t="shared" si="38"/>
        <v>3.21801302298389E-06i</v>
      </c>
      <c r="AH37" s="31">
        <f t="shared" si="53"/>
        <v>3.2180130229838901E-6</v>
      </c>
      <c r="AI37" s="31">
        <f t="shared" si="54"/>
        <v>1.5707963267948966</v>
      </c>
      <c r="AJ37" s="31" t="str">
        <f t="shared" si="39"/>
        <v>1+0.00023245423104918i</v>
      </c>
      <c r="AK37" s="31">
        <f t="shared" si="55"/>
        <v>1.0000000270174845</v>
      </c>
      <c r="AL37" s="31">
        <f t="shared" si="56"/>
        <v>2.3245422686229438E-4</v>
      </c>
      <c r="AM37" s="31" t="str">
        <f t="shared" si="40"/>
        <v>1+0.113041125181387i</v>
      </c>
      <c r="AN37" s="31">
        <f t="shared" si="57"/>
        <v>1.0063688667592385</v>
      </c>
      <c r="AO37" s="31">
        <f t="shared" si="58"/>
        <v>0.11256329241378439</v>
      </c>
      <c r="AP37" s="58" t="str">
        <f t="shared" si="59"/>
        <v>-0.0490431997976594+0.434758144805291i</v>
      </c>
      <c r="AQ37" s="49">
        <f t="shared" si="60"/>
        <v>-7.1801296054236765</v>
      </c>
      <c r="AR37" s="61">
        <f t="shared" si="61"/>
        <v>96.436082937277604</v>
      </c>
      <c r="AS37" s="58" t="str">
        <f t="shared" si="62"/>
        <v>652.360189167655+1931.94476563861i</v>
      </c>
      <c r="AT37" s="64">
        <f t="shared" si="63"/>
        <v>66.188828549664734</v>
      </c>
      <c r="AU37" s="61">
        <f t="shared" si="64"/>
        <v>71.341706786636934</v>
      </c>
      <c r="AV37" s="31"/>
    </row>
    <row r="38" spans="1:48" x14ac:dyDescent="0.4">
      <c r="N38" s="10">
        <v>20</v>
      </c>
      <c r="O38" s="50">
        <f t="shared" si="41"/>
        <v>15.848931924611136</v>
      </c>
      <c r="P38" s="48" t="str">
        <f t="shared" si="32"/>
        <v>5120.19230769231</v>
      </c>
      <c r="Q38" s="17" t="str">
        <f t="shared" si="33"/>
        <v>1+0.465353300334214i</v>
      </c>
      <c r="R38" s="17">
        <f t="shared" si="42"/>
        <v>1.102974929058655</v>
      </c>
      <c r="S38" s="17">
        <f t="shared" si="43"/>
        <v>0.43554812290462935</v>
      </c>
      <c r="T38" s="17" t="str">
        <f t="shared" si="34"/>
        <v>1+9.94821944270031E-07i</v>
      </c>
      <c r="U38" s="17">
        <f t="shared" si="44"/>
        <v>1.0000000000004947</v>
      </c>
      <c r="V38" s="17">
        <f t="shared" si="45"/>
        <v>9.9482194426970267E-7</v>
      </c>
      <c r="W38" s="31" t="str">
        <f t="shared" si="35"/>
        <v>1-0.00161322477449194i</v>
      </c>
      <c r="X38" s="17">
        <f t="shared" si="46"/>
        <v>1.0000013012462399</v>
      </c>
      <c r="Y38" s="17">
        <f t="shared" si="47"/>
        <v>-1.6132233750247669E-3</v>
      </c>
      <c r="Z38" s="31" t="str">
        <f t="shared" si="36"/>
        <v>0.999999899524543+0.0098220733056414i</v>
      </c>
      <c r="AA38" s="17">
        <f t="shared" si="48"/>
        <v>1.0000481349280732</v>
      </c>
      <c r="AB38" s="17">
        <f t="shared" si="49"/>
        <v>9.8217584553398889E-3</v>
      </c>
      <c r="AC38" s="66" t="str">
        <f t="shared" si="50"/>
        <v>4185.90317535077-2006.46405257485i</v>
      </c>
      <c r="AD38" s="64">
        <f t="shared" si="51"/>
        <v>73.334005855860596</v>
      </c>
      <c r="AE38" s="61">
        <f t="shared" si="52"/>
        <v>-25.610188415870443</v>
      </c>
      <c r="AF38" s="31" t="str">
        <f t="shared" si="37"/>
        <v>-1.39902068552014E-06</v>
      </c>
      <c r="AG38" s="31" t="str">
        <f t="shared" si="38"/>
        <v>3.29297017548762E-06i</v>
      </c>
      <c r="AH38" s="31">
        <f t="shared" si="53"/>
        <v>3.2929701754876199E-6</v>
      </c>
      <c r="AI38" s="31">
        <f t="shared" si="54"/>
        <v>1.5707963267948966</v>
      </c>
      <c r="AJ38" s="31" t="str">
        <f t="shared" si="39"/>
        <v>1+0.000237868785658637i</v>
      </c>
      <c r="AK38" s="31">
        <f t="shared" si="55"/>
        <v>1.0000000282907793</v>
      </c>
      <c r="AL38" s="31">
        <f t="shared" si="56"/>
        <v>2.3786878117230823E-4</v>
      </c>
      <c r="AM38" s="31" t="str">
        <f t="shared" si="40"/>
        <v>1+0.115674191237644i</v>
      </c>
      <c r="AN38" s="31">
        <f t="shared" si="57"/>
        <v>1.0066680279607985</v>
      </c>
      <c r="AO38" s="31">
        <f t="shared" si="58"/>
        <v>0.11516236719331018</v>
      </c>
      <c r="AP38" s="58" t="str">
        <f t="shared" si="59"/>
        <v>-0.0490431996727662+0.424862366266974i</v>
      </c>
      <c r="AQ38" s="49">
        <f t="shared" si="60"/>
        <v>-7.3775479636515948</v>
      </c>
      <c r="AR38" s="61">
        <f t="shared" si="61"/>
        <v>96.58468872167343</v>
      </c>
      <c r="AS38" s="58" t="str">
        <f t="shared" si="62"/>
        <v>647.180979966979+1876.83614521062i</v>
      </c>
      <c r="AT38" s="64">
        <f t="shared" si="63"/>
        <v>65.956457892208988</v>
      </c>
      <c r="AU38" s="61">
        <f t="shared" si="64"/>
        <v>70.974500305802962</v>
      </c>
      <c r="AV38" s="31"/>
    </row>
    <row r="39" spans="1:48" x14ac:dyDescent="0.4">
      <c r="A39" t="s">
        <v>504</v>
      </c>
      <c r="N39" s="10">
        <v>21</v>
      </c>
      <c r="O39" s="50">
        <f t="shared" si="41"/>
        <v>16.218100973589298</v>
      </c>
      <c r="P39" s="48" t="str">
        <f t="shared" si="32"/>
        <v>5120.19230769231</v>
      </c>
      <c r="Q39" s="17" t="str">
        <f t="shared" si="33"/>
        <v>1+0.476192771166721i</v>
      </c>
      <c r="R39" s="17">
        <f t="shared" si="42"/>
        <v>1.1075917818905308</v>
      </c>
      <c r="S39" s="17">
        <f t="shared" si="43"/>
        <v>0.44442108066565039</v>
      </c>
      <c r="T39" s="17" t="str">
        <f t="shared" si="34"/>
        <v>1+1.01799432413863E-06i</v>
      </c>
      <c r="U39" s="17">
        <f t="shared" si="44"/>
        <v>1.0000000000005183</v>
      </c>
      <c r="V39" s="17">
        <f t="shared" si="45"/>
        <v>1.0179943241382783E-6</v>
      </c>
      <c r="W39" s="31" t="str">
        <f t="shared" si="35"/>
        <v>1-0.0016508016067113i</v>
      </c>
      <c r="X39" s="17">
        <f t="shared" si="46"/>
        <v>1.0000013625720441</v>
      </c>
      <c r="Y39" s="17">
        <f t="shared" si="47"/>
        <v>-1.6508001071553172E-3</v>
      </c>
      <c r="Z39" s="31" t="str">
        <f t="shared" si="36"/>
        <v>0.99999989478928+0.0100508587833307i</v>
      </c>
      <c r="AA39" s="17">
        <f t="shared" si="48"/>
        <v>1.0000504034001754</v>
      </c>
      <c r="AB39" s="17">
        <f t="shared" si="49"/>
        <v>1.0050521416072719E-2</v>
      </c>
      <c r="AC39" s="66" t="str">
        <f t="shared" si="50"/>
        <v>4150.01060136012-2036.108548188i</v>
      </c>
      <c r="AD39" s="64">
        <f t="shared" si="51"/>
        <v>73.297705009902188</v>
      </c>
      <c r="AE39" s="61">
        <f t="shared" si="52"/>
        <v>-26.133830260013099</v>
      </c>
      <c r="AF39" s="31" t="str">
        <f t="shared" si="37"/>
        <v>-1.39902068552014E-06</v>
      </c>
      <c r="AG39" s="31" t="str">
        <f t="shared" si="38"/>
        <v>3.36967330436601E-06i</v>
      </c>
      <c r="AH39" s="31">
        <f t="shared" si="53"/>
        <v>3.36967330436601E-6</v>
      </c>
      <c r="AI39" s="31">
        <f t="shared" si="54"/>
        <v>1.5707963267948966</v>
      </c>
      <c r="AJ39" s="31" t="str">
        <f t="shared" si="39"/>
        <v>1+0.000243409461446816i</v>
      </c>
      <c r="AK39" s="31">
        <f t="shared" si="55"/>
        <v>1.0000000296240825</v>
      </c>
      <c r="AL39" s="31">
        <f t="shared" si="56"/>
        <v>2.4340945663962811E-4</v>
      </c>
      <c r="AM39" s="31" t="str">
        <f t="shared" si="40"/>
        <v>1+0.118368589281225i</v>
      </c>
      <c r="AN39" s="31">
        <f t="shared" si="57"/>
        <v>1.0069811929368033</v>
      </c>
      <c r="AO39" s="31">
        <f t="shared" si="58"/>
        <v>0.11782036507736096</v>
      </c>
      <c r="AP39" s="58" t="str">
        <f t="shared" si="59"/>
        <v>-0.0490431995419873+0.415191855378968i</v>
      </c>
      <c r="AQ39" s="49">
        <f t="shared" si="60"/>
        <v>-7.5748462966940782</v>
      </c>
      <c r="AR39" s="61">
        <f t="shared" si="61"/>
        <v>96.736663325064299</v>
      </c>
      <c r="AS39" s="58" t="str">
        <f t="shared" si="62"/>
        <v>641.845887851286+1822.90787923903i</v>
      </c>
      <c r="AT39" s="64">
        <f t="shared" si="63"/>
        <v>65.722858713208126</v>
      </c>
      <c r="AU39" s="61">
        <f t="shared" si="64"/>
        <v>70.602833065051257</v>
      </c>
    </row>
    <row r="40" spans="1:48" x14ac:dyDescent="0.4">
      <c r="A40" t="s">
        <v>505</v>
      </c>
      <c r="B40" s="32">
        <f>((Np/NS1_)*(VOUT1+VD))/((VIN_var+(Np/NS1_)*(VOUT1+VD)))</f>
        <v>0.92592592592592593</v>
      </c>
      <c r="C40" t="s">
        <v>14</v>
      </c>
      <c r="E40" t="s">
        <v>506</v>
      </c>
      <c r="N40" s="10">
        <v>22</v>
      </c>
      <c r="O40" s="50">
        <f t="shared" si="41"/>
        <v>16.595869074375614</v>
      </c>
      <c r="P40" s="48" t="str">
        <f t="shared" si="32"/>
        <v>5120.19230769231</v>
      </c>
      <c r="Q40" s="17" t="str">
        <f t="shared" si="33"/>
        <v>1+0.48728472570966i</v>
      </c>
      <c r="R40" s="17">
        <f t="shared" si="42"/>
        <v>1.1124056831524813</v>
      </c>
      <c r="S40" s="17">
        <f t="shared" si="43"/>
        <v>0.45342374429865445</v>
      </c>
      <c r="T40" s="17" t="str">
        <f t="shared" si="34"/>
        <v>1+1.04170645807265E-06i</v>
      </c>
      <c r="U40" s="17">
        <f t="shared" si="44"/>
        <v>1.0000000000005427</v>
      </c>
      <c r="V40" s="17">
        <f t="shared" si="45"/>
        <v>1.0417064580722733E-6</v>
      </c>
      <c r="W40" s="31" t="str">
        <f t="shared" si="35"/>
        <v>1-0.00168925371579349i</v>
      </c>
      <c r="X40" s="17">
        <f t="shared" si="46"/>
        <v>1.0000014267880402</v>
      </c>
      <c r="Y40" s="17">
        <f t="shared" si="47"/>
        <v>-1.6892521089904289E-3</v>
      </c>
      <c r="Z40" s="31" t="str">
        <f t="shared" si="36"/>
        <v>0.999999889830852+0.0102849733593858i</v>
      </c>
      <c r="AA40" s="17">
        <f t="shared" si="48"/>
        <v>1.0000527787765601</v>
      </c>
      <c r="AB40" s="17">
        <f t="shared" si="49"/>
        <v>1.0284611864886302E-2</v>
      </c>
      <c r="AC40" s="66" t="str">
        <f t="shared" si="50"/>
        <v>4113.06103319122-2065.53035745489i</v>
      </c>
      <c r="AD40" s="64">
        <f t="shared" si="51"/>
        <v>73.260015451462792</v>
      </c>
      <c r="AE40" s="61">
        <f t="shared" si="52"/>
        <v>-26.665259064115244</v>
      </c>
      <c r="AF40" s="31" t="str">
        <f t="shared" si="37"/>
        <v>-1.39902068552014E-06</v>
      </c>
      <c r="AG40" s="31" t="str">
        <f t="shared" si="38"/>
        <v>3.44816307863327E-06i</v>
      </c>
      <c r="AH40" s="31">
        <f t="shared" si="53"/>
        <v>3.4481630786332702E-6</v>
      </c>
      <c r="AI40" s="31">
        <f t="shared" si="54"/>
        <v>1.5707963267948966</v>
      </c>
      <c r="AJ40" s="31" t="str">
        <f t="shared" si="39"/>
        <v>1+0.00024907919615336i</v>
      </c>
      <c r="AK40" s="31">
        <f t="shared" si="55"/>
        <v>1.0000000310202224</v>
      </c>
      <c r="AL40" s="31">
        <f t="shared" si="56"/>
        <v>2.4907919100236543E-4</v>
      </c>
      <c r="AM40" s="31" t="str">
        <f t="shared" si="40"/>
        <v>1+0.121125747917637i</v>
      </c>
      <c r="AN40" s="31">
        <f t="shared" si="57"/>
        <v>1.0073090125719153</v>
      </c>
      <c r="AO40" s="31">
        <f t="shared" si="58"/>
        <v>0.12053854506156629</v>
      </c>
      <c r="AP40" s="58" t="str">
        <f t="shared" si="59"/>
        <v>-0.0490431994050453+0.405741484708394i</v>
      </c>
      <c r="AQ40" s="49">
        <f t="shared" si="60"/>
        <v>-7.7720191042907611</v>
      </c>
      <c r="AR40" s="61">
        <f t="shared" si="61"/>
        <v>96.892078714266276</v>
      </c>
      <c r="AS40" s="58" t="str">
        <f t="shared" si="62"/>
        <v>636.353681528088+1770.13970750108i</v>
      </c>
      <c r="AT40" s="64">
        <f t="shared" si="63"/>
        <v>65.487996347172015</v>
      </c>
      <c r="AU40" s="61">
        <f t="shared" si="64"/>
        <v>70.226819650151029</v>
      </c>
    </row>
    <row r="41" spans="1:48" x14ac:dyDescent="0.4">
      <c r="A41" t="s">
        <v>189</v>
      </c>
      <c r="B41" s="27">
        <f>Gcomp*((VOUT1^2)/(Pout_var))*((1-Dc_var_ccm)/((1+Dc_var_ccm)*((Acs*R_cs)/(Np/NS1_))))</f>
        <v>5120.1923076923076</v>
      </c>
      <c r="C41" t="s">
        <v>144</v>
      </c>
      <c r="E41" t="s">
        <v>193</v>
      </c>
      <c r="N41" s="10">
        <v>23</v>
      </c>
      <c r="O41" s="50">
        <f t="shared" si="41"/>
        <v>16.982436524617448</v>
      </c>
      <c r="P41" s="48" t="str">
        <f t="shared" si="32"/>
        <v>5120.19230769231</v>
      </c>
      <c r="Q41" s="17" t="str">
        <f t="shared" si="33"/>
        <v>1+0.498635045064143i</v>
      </c>
      <c r="R41" s="17">
        <f t="shared" si="42"/>
        <v>1.1174242292728935</v>
      </c>
      <c r="S41" s="17">
        <f t="shared" si="43"/>
        <v>0.46255504896852495</v>
      </c>
      <c r="T41" s="17" t="str">
        <f t="shared" si="34"/>
        <v>1+1.06597091855935E-06i</v>
      </c>
      <c r="U41" s="17">
        <f t="shared" si="44"/>
        <v>1.000000000000568</v>
      </c>
      <c r="V41" s="17">
        <f t="shared" si="45"/>
        <v>1.0659709185589462E-6</v>
      </c>
      <c r="W41" s="31" t="str">
        <f t="shared" si="35"/>
        <v>1-0.00172860148955569i</v>
      </c>
      <c r="X41" s="17">
        <f t="shared" si="46"/>
        <v>1.0000014940304387</v>
      </c>
      <c r="Y41" s="17">
        <f t="shared" si="47"/>
        <v>-1.7285997678353293E-3</v>
      </c>
      <c r="Z41" s="31" t="str">
        <f t="shared" si="36"/>
        <v>0.99999988463874+0.0105245411644537i</v>
      </c>
      <c r="AA41" s="17">
        <f t="shared" si="48"/>
        <v>1.0000552660949373</v>
      </c>
      <c r="AB41" s="17">
        <f t="shared" si="49"/>
        <v>1.0524153817274857E-2</v>
      </c>
      <c r="AC41" s="66" t="str">
        <f t="shared" si="50"/>
        <v>4075.04800036626-2094.68779772634i</v>
      </c>
      <c r="AD41" s="64">
        <f t="shared" si="51"/>
        <v>73.220896731342222</v>
      </c>
      <c r="AE41" s="61">
        <f t="shared" si="52"/>
        <v>-27.204422090569505</v>
      </c>
      <c r="AF41" s="31" t="str">
        <f t="shared" si="37"/>
        <v>-1.39902068552014E-06</v>
      </c>
      <c r="AG41" s="31" t="str">
        <f t="shared" si="38"/>
        <v>3.52848111460666E-06i</v>
      </c>
      <c r="AH41" s="31">
        <f t="shared" si="53"/>
        <v>3.5284811146066599E-6</v>
      </c>
      <c r="AI41" s="31">
        <f t="shared" si="54"/>
        <v>1.5707963267948966</v>
      </c>
      <c r="AJ41" s="31" t="str">
        <f t="shared" si="39"/>
        <v>1+0.000254880995946655i</v>
      </c>
      <c r="AK41" s="31">
        <f t="shared" si="55"/>
        <v>1.0000000324821605</v>
      </c>
      <c r="AL41" s="31">
        <f t="shared" si="56"/>
        <v>2.5488099042726481E-4</v>
      </c>
      <c r="AM41" s="31" t="str">
        <f t="shared" si="40"/>
        <v>1+0.123947129028882i</v>
      </c>
      <c r="AN41" s="31">
        <f t="shared" si="57"/>
        <v>1.0076521675630448</v>
      </c>
      <c r="AO41" s="31">
        <f t="shared" si="58"/>
        <v>0.12331818760833314</v>
      </c>
      <c r="AP41" s="58" t="str">
        <f t="shared" si="59"/>
        <v>-0.0490431992616486+0.396506243543633i</v>
      </c>
      <c r="AQ41" s="49">
        <f t="shared" si="60"/>
        <v>-7.9690606417191914</v>
      </c>
      <c r="AR41" s="61">
        <f t="shared" si="61"/>
        <v>97.05100808213038</v>
      </c>
      <c r="AS41" s="58" t="str">
        <f t="shared" si="62"/>
        <v>630.703398990411+1718.51216594006i</v>
      </c>
      <c r="AT41" s="64">
        <f t="shared" si="63"/>
        <v>65.251836089623055</v>
      </c>
      <c r="AU41" s="61">
        <f t="shared" si="64"/>
        <v>69.846585991560943</v>
      </c>
    </row>
    <row r="42" spans="1:48" s="31" customFormat="1" x14ac:dyDescent="0.4">
      <c r="A42" t="s">
        <v>206</v>
      </c>
      <c r="B42" s="29">
        <f>(1+Dc_var_ccm)/(Cout_total*((VOUT1^2)/Pout_var))</f>
        <v>213.99176954732513</v>
      </c>
      <c r="C42" t="s">
        <v>205</v>
      </c>
      <c r="D42"/>
      <c r="E42" t="s">
        <v>196</v>
      </c>
      <c r="F42"/>
      <c r="G42"/>
      <c r="K42"/>
      <c r="N42" s="10">
        <v>24</v>
      </c>
      <c r="O42" s="50">
        <f t="shared" si="41"/>
        <v>17.378008287493756</v>
      </c>
      <c r="P42" s="48" t="str">
        <f t="shared" si="32"/>
        <v>5120.19230769231</v>
      </c>
      <c r="Q42" s="17" t="str">
        <f t="shared" si="33"/>
        <v>1+0.510249747319737i</v>
      </c>
      <c r="R42" s="17">
        <f t="shared" si="42"/>
        <v>1.1226552474557163</v>
      </c>
      <c r="S42" s="17">
        <f t="shared" si="43"/>
        <v>0.47181374425667383</v>
      </c>
      <c r="T42" s="17" t="str">
        <f t="shared" si="34"/>
        <v>1+1.09080057093686E-06i</v>
      </c>
      <c r="U42" s="17">
        <f t="shared" si="44"/>
        <v>1.0000000000005951</v>
      </c>
      <c r="V42" s="17">
        <f t="shared" si="45"/>
        <v>1.0908005709364273E-6</v>
      </c>
      <c r="W42" s="31" t="str">
        <f t="shared" si="35"/>
        <v>1-0.00176886579070842i</v>
      </c>
      <c r="X42" s="17">
        <f t="shared" si="46"/>
        <v>1.0000015644418689</v>
      </c>
      <c r="Y42" s="17">
        <f t="shared" si="47"/>
        <v>-1.7688639458519713E-3</v>
      </c>
      <c r="Z42" s="31" t="str">
        <f t="shared" si="36"/>
        <v>0.999999879201931+0.0107696892205558i</v>
      </c>
      <c r="AA42" s="17">
        <f t="shared" si="48"/>
        <v>1.0000578706303871</v>
      </c>
      <c r="AB42" s="17">
        <f t="shared" si="49"/>
        <v>1.0769274171873006E-2</v>
      </c>
      <c r="AC42" s="66" t="str">
        <f t="shared" si="50"/>
        <v>4035.96697388712-2123.53792616344i</v>
      </c>
      <c r="AD42" s="64">
        <f t="shared" si="51"/>
        <v>73.180308188309596</v>
      </c>
      <c r="AE42" s="61">
        <f t="shared" si="52"/>
        <v>-27.751256161000907</v>
      </c>
      <c r="AF42" s="31" t="str">
        <f t="shared" si="37"/>
        <v>-1.39902068552014E-06</v>
      </c>
      <c r="AG42" s="31" t="str">
        <f t="shared" si="38"/>
        <v>3.61066999797197E-06i</v>
      </c>
      <c r="AH42" s="31">
        <f t="shared" si="53"/>
        <v>3.6106699979719698E-6</v>
      </c>
      <c r="AI42" s="31">
        <f t="shared" si="54"/>
        <v>1.5707963267948966</v>
      </c>
      <c r="AJ42" s="31" t="str">
        <f t="shared" si="39"/>
        <v>1+0.000260817937017753i</v>
      </c>
      <c r="AK42" s="31">
        <f t="shared" si="55"/>
        <v>1.0000000340129975</v>
      </c>
      <c r="AL42" s="31">
        <f t="shared" si="56"/>
        <v>2.6081793110361987E-4</v>
      </c>
      <c r="AM42" s="31" t="str">
        <f t="shared" si="40"/>
        <v>1+0.126834228548574i</v>
      </c>
      <c r="AN42" s="31">
        <f t="shared" si="57"/>
        <v>1.008011369743175</v>
      </c>
      <c r="AO42" s="31">
        <f t="shared" si="58"/>
        <v>0.12616059461554885</v>
      </c>
      <c r="AP42" s="58" t="str">
        <f t="shared" si="59"/>
        <v>-0.0490431991114946+0.387481235237576i</v>
      </c>
      <c r="AQ42" s="49">
        <f t="shared" si="60"/>
        <v>-8.1659649096499933</v>
      </c>
      <c r="AR42" s="61">
        <f t="shared" si="61"/>
        <v>97.213525845658268</v>
      </c>
      <c r="AS42" s="58" t="str">
        <f t="shared" si="62"/>
        <v>624.894366795888+1668.00656175349i</v>
      </c>
      <c r="AT42" s="64">
        <f t="shared" si="63"/>
        <v>65.014343278659624</v>
      </c>
      <c r="AU42" s="61">
        <f t="shared" si="64"/>
        <v>69.4622696846574</v>
      </c>
      <c r="AV42"/>
    </row>
    <row r="43" spans="1:48" s="31" customFormat="1" x14ac:dyDescent="0.4">
      <c r="A43"/>
      <c r="B43" s="29">
        <f>wp_lf/(2*PI())</f>
        <v>34.057847904438518</v>
      </c>
      <c r="C43" t="s">
        <v>61</v>
      </c>
      <c r="D43"/>
      <c r="E43"/>
      <c r="F43"/>
      <c r="G43"/>
      <c r="N43" s="10">
        <v>25</v>
      </c>
      <c r="O43" s="50">
        <f t="shared" si="41"/>
        <v>17.782794100389236</v>
      </c>
      <c r="P43" s="48" t="str">
        <f t="shared" si="32"/>
        <v>5120.19230769231</v>
      </c>
      <c r="Q43" s="17" t="str">
        <f t="shared" si="33"/>
        <v>1+0.52213499074531i</v>
      </c>
      <c r="R43" s="17">
        <f t="shared" si="42"/>
        <v>1.1281067983841799</v>
      </c>
      <c r="S43" s="17">
        <f t="shared" si="43"/>
        <v>0.48119838882323895</v>
      </c>
      <c r="T43" s="17" t="str">
        <f t="shared" si="34"/>
        <v>1+1.11620858021553E-06i</v>
      </c>
      <c r="U43" s="17">
        <f t="shared" si="44"/>
        <v>1.0000000000006231</v>
      </c>
      <c r="V43" s="17">
        <f t="shared" si="45"/>
        <v>1.1162085802150665E-6</v>
      </c>
      <c r="W43" s="31" t="str">
        <f t="shared" si="35"/>
        <v>1-0.00181006796791707i</v>
      </c>
      <c r="X43" s="17">
        <f t="shared" si="46"/>
        <v>1.0000016381716825</v>
      </c>
      <c r="Y43" s="17">
        <f t="shared" si="47"/>
        <v>-1.8100659911179445E-3</v>
      </c>
      <c r="Z43" s="31" t="str">
        <f t="shared" si="36"/>
        <v>0.999999873508894+0.0110205475084363i</v>
      </c>
      <c r="AA43" s="17">
        <f t="shared" si="48"/>
        <v>1.0000605979065416</v>
      </c>
      <c r="AB43" s="17">
        <f t="shared" si="49"/>
        <v>1.1020102777215497E-2</v>
      </c>
      <c r="AC43" s="66" t="str">
        <f t="shared" si="50"/>
        <v>3995.81549423914-2152.03662794028i</v>
      </c>
      <c r="AD43" s="64">
        <f t="shared" si="51"/>
        <v>73.13820902543182</v>
      </c>
      <c r="AE43" s="61">
        <f t="shared" si="52"/>
        <v>-28.3056873548921</v>
      </c>
      <c r="AF43" s="31" t="str">
        <f t="shared" si="37"/>
        <v>-1.39902068552014E-06</v>
      </c>
      <c r="AG43" s="31" t="str">
        <f t="shared" si="38"/>
        <v>3.69477330636309E-06i</v>
      </c>
      <c r="AH43" s="31">
        <f t="shared" si="53"/>
        <v>3.6947733063630901E-6</v>
      </c>
      <c r="AI43" s="31">
        <f t="shared" si="54"/>
        <v>1.5707963267948966</v>
      </c>
      <c r="AJ43" s="31" t="str">
        <f t="shared" si="39"/>
        <v>1+0.000266893167211388i</v>
      </c>
      <c r="AK43" s="31">
        <f t="shared" si="55"/>
        <v>1.0000000356159808</v>
      </c>
      <c r="AL43" s="31">
        <f t="shared" si="56"/>
        <v>2.6689316087428024E-4</v>
      </c>
      <c r="AM43" s="31" t="str">
        <f t="shared" si="40"/>
        <v>1+0.129788577255091i</v>
      </c>
      <c r="AN43" s="31">
        <f t="shared" si="57"/>
        <v>1.0083873634600449</v>
      </c>
      <c r="AO43" s="31">
        <f t="shared" si="58"/>
        <v>0.12906708935015013</v>
      </c>
      <c r="AP43" s="58" t="str">
        <f t="shared" si="59"/>
        <v>-0.0490431989542636+0.378661674611359i</v>
      </c>
      <c r="AQ43" s="49">
        <f t="shared" si="60"/>
        <v>-8.3627256436497497</v>
      </c>
      <c r="AR43" s="61">
        <f t="shared" si="61"/>
        <v>97.379707642102488</v>
      </c>
      <c r="AS43" s="58" t="str">
        <f t="shared" si="62"/>
        <v>618.926219092349+1618.60494698755i</v>
      </c>
      <c r="AT43" s="64">
        <f t="shared" si="63"/>
        <v>64.775483381782095</v>
      </c>
      <c r="AU43" s="61">
        <f t="shared" si="64"/>
        <v>69.074020287210459</v>
      </c>
      <c r="AV43"/>
    </row>
    <row r="44" spans="1:48" s="31" customFormat="1" x14ac:dyDescent="0.4">
      <c r="A44"/>
      <c r="B44" s="26"/>
      <c r="C44"/>
      <c r="D44"/>
      <c r="E44"/>
      <c r="F44"/>
      <c r="G44"/>
      <c r="N44" s="10">
        <v>26</v>
      </c>
      <c r="O44" s="50">
        <f t="shared" si="41"/>
        <v>18.197008586099841</v>
      </c>
      <c r="P44" s="48" t="str">
        <f t="shared" si="32"/>
        <v>5120.19230769231</v>
      </c>
      <c r="Q44" s="17" t="str">
        <f t="shared" si="33"/>
        <v>1+0.534297077054253i</v>
      </c>
      <c r="R44" s="17">
        <f t="shared" si="42"/>
        <v>1.1337871786842177</v>
      </c>
      <c r="S44" s="17">
        <f t="shared" si="43"/>
        <v>0.49070734548344497</v>
      </c>
      <c r="T44" s="17" t="str">
        <f t="shared" si="34"/>
        <v>1+0.0000011422084180582i</v>
      </c>
      <c r="U44" s="17">
        <f t="shared" si="44"/>
        <v>1.0000000000006524</v>
      </c>
      <c r="V44" s="17">
        <f t="shared" si="45"/>
        <v>1.1422084180577032E-6</v>
      </c>
      <c r="W44" s="31" t="str">
        <f t="shared" si="35"/>
        <v>1-0.00185222986712141i</v>
      </c>
      <c r="X44" s="17">
        <f t="shared" si="46"/>
        <v>1.000001715376269</v>
      </c>
      <c r="Y44" s="17">
        <f t="shared" si="47"/>
        <v>-1.8522277489431808E-3</v>
      </c>
      <c r="Z44" s="31" t="str">
        <f t="shared" si="36"/>
        <v>0.999999867547551+0.01127724903648i</v>
      </c>
      <c r="AA44" s="17">
        <f t="shared" si="48"/>
        <v>1.0000634537072888</v>
      </c>
      <c r="AB44" s="17">
        <f t="shared" si="49"/>
        <v>1.1276772500024282E-2</v>
      </c>
      <c r="AC44" s="66" t="str">
        <f t="shared" si="50"/>
        <v>3954.59329655577-2180.13871685964i</v>
      </c>
      <c r="AD44" s="64">
        <f t="shared" si="51"/>
        <v>73.094558391224567</v>
      </c>
      <c r="AE44" s="61">
        <f t="shared" si="52"/>
        <v>-28.867630732039668</v>
      </c>
      <c r="AF44" s="31" t="str">
        <f t="shared" si="37"/>
        <v>-1.39902068552014E-06</v>
      </c>
      <c r="AG44" s="31" t="str">
        <f t="shared" si="38"/>
        <v>3.78083563246734E-06i</v>
      </c>
      <c r="AH44" s="31">
        <f t="shared" si="53"/>
        <v>3.7808356324673398E-6</v>
      </c>
      <c r="AI44" s="31">
        <f t="shared" si="54"/>
        <v>1.5707963267948966</v>
      </c>
      <c r="AJ44" s="31" t="str">
        <f t="shared" si="39"/>
        <v>1+0.00027310990769503i</v>
      </c>
      <c r="AK44" s="31">
        <f t="shared" si="55"/>
        <v>1.0000000372945101</v>
      </c>
      <c r="AL44" s="31">
        <f t="shared" si="56"/>
        <v>2.7310990090469666E-4</v>
      </c>
      <c r="AM44" s="31" t="str">
        <f t="shared" si="40"/>
        <v>1+0.132811741583224i</v>
      </c>
      <c r="AN44" s="31">
        <f t="shared" si="57"/>
        <v>1.0087809270115931</v>
      </c>
      <c r="AO44" s="31">
        <f t="shared" si="58"/>
        <v>0.13203901634374043</v>
      </c>
      <c r="AP44" s="58" t="str">
        <f t="shared" si="59"/>
        <v>-0.0490431987896228+0.370042885417195i</v>
      </c>
      <c r="AQ44" s="49">
        <f t="shared" si="60"/>
        <v>-8.5593363033263596</v>
      </c>
      <c r="AR44" s="61">
        <f t="shared" si="61"/>
        <v>97.549630322890181</v>
      </c>
      <c r="AS44" s="58" t="str">
        <f t="shared" si="62"/>
        <v>612.798916221388+1570.29009058889i</v>
      </c>
      <c r="AT44" s="64">
        <f t="shared" si="63"/>
        <v>64.535222087898177</v>
      </c>
      <c r="AU44" s="61">
        <f t="shared" si="64"/>
        <v>68.681999590850452</v>
      </c>
      <c r="AV44"/>
    </row>
    <row r="45" spans="1:48" x14ac:dyDescent="0.4">
      <c r="A45" t="s">
        <v>207</v>
      </c>
      <c r="B45" s="29">
        <f>(((VOUT1^2)/Pout_var)*((1-Dc_var_ccm)^2))/((Lm/((Np/NS1_)^2))*Dc_var_ccm)</f>
        <v>61728.395061728392</v>
      </c>
      <c r="C45" t="s">
        <v>205</v>
      </c>
      <c r="E45" t="s">
        <v>197</v>
      </c>
      <c r="N45" s="10">
        <v>27</v>
      </c>
      <c r="O45" s="50">
        <f t="shared" si="41"/>
        <v>18.62087136662868</v>
      </c>
      <c r="P45" s="48" t="str">
        <f t="shared" si="32"/>
        <v>5120.19230769231</v>
      </c>
      <c r="Q45" s="17" t="str">
        <f t="shared" si="33"/>
        <v>1+0.546742454745707i</v>
      </c>
      <c r="R45" s="17">
        <f t="shared" si="42"/>
        <v>1.1397049231364063</v>
      </c>
      <c r="S45" s="17">
        <f t="shared" si="43"/>
        <v>0.50033877675292371</v>
      </c>
      <c r="T45" s="17" t="str">
        <f t="shared" si="34"/>
        <v>1+1.16881386992304E-06i</v>
      </c>
      <c r="U45" s="17">
        <f t="shared" si="44"/>
        <v>1.000000000000683</v>
      </c>
      <c r="V45" s="17">
        <f t="shared" si="45"/>
        <v>1.1688138699225078E-6</v>
      </c>
      <c r="W45" s="31" t="str">
        <f t="shared" si="35"/>
        <v>1-0.00189537384311845i</v>
      </c>
      <c r="X45" s="17">
        <f t="shared" si="46"/>
        <v>1.0000017962193894</v>
      </c>
      <c r="Y45" s="17">
        <f t="shared" si="47"/>
        <v>-1.8953715734498057E-3</v>
      </c>
      <c r="Z45" s="31" t="str">
        <f t="shared" si="36"/>
        <v>0.99999986130526+0.0115399299112349i</v>
      </c>
      <c r="AA45" s="17">
        <f t="shared" si="48"/>
        <v>1.0000664440890392</v>
      </c>
      <c r="AB45" s="17">
        <f t="shared" si="49"/>
        <v>1.1539419295055189E-2</v>
      </c>
      <c r="AC45" s="66" t="str">
        <f t="shared" si="50"/>
        <v>3912.30243173793-2207.79804855518i</v>
      </c>
      <c r="AD45" s="64">
        <f t="shared" si="51"/>
        <v>73.049315465494814</v>
      </c>
      <c r="AE45" s="61">
        <f t="shared" si="52"/>
        <v>-29.436990081985286</v>
      </c>
      <c r="AF45" s="31" t="str">
        <f t="shared" si="37"/>
        <v>-1.39902068552014E-06</v>
      </c>
      <c r="AG45" s="31" t="str">
        <f t="shared" si="38"/>
        <v>0.0000038689026076692i</v>
      </c>
      <c r="AH45" s="31">
        <f t="shared" si="53"/>
        <v>3.8689026076692002E-6</v>
      </c>
      <c r="AI45" s="31">
        <f t="shared" si="54"/>
        <v>1.5707963267948966</v>
      </c>
      <c r="AJ45" s="31" t="str">
        <f t="shared" si="39"/>
        <v>1+0.000279471454666767i</v>
      </c>
      <c r="AK45" s="31">
        <f t="shared" si="55"/>
        <v>1.0000000390521462</v>
      </c>
      <c r="AL45" s="31">
        <f t="shared" si="56"/>
        <v>2.7947144739079379E-4</v>
      </c>
      <c r="AM45" s="31" t="str">
        <f t="shared" si="40"/>
        <v>1+0.135905324454715i</v>
      </c>
      <c r="AN45" s="31">
        <f t="shared" si="57"/>
        <v>1.0091928741400928</v>
      </c>
      <c r="AO45" s="31">
        <f t="shared" si="58"/>
        <v>0.13507774124719288</v>
      </c>
      <c r="AP45" s="58" t="str">
        <f t="shared" si="59"/>
        <v>-0.0490431986172223+0.361620297858974i</v>
      </c>
      <c r="AQ45" s="49">
        <f t="shared" si="60"/>
        <v>-8.7557900611117976</v>
      </c>
      <c r="AR45" s="61">
        <f t="shared" si="61"/>
        <v>97.723371945194444</v>
      </c>
      <c r="AS45" s="58" t="str">
        <f t="shared" si="62"/>
        <v>606.512762720621+1523.04544888147i</v>
      </c>
      <c r="AT45" s="64">
        <f t="shared" si="63"/>
        <v>64.293525404383047</v>
      </c>
      <c r="AU45" s="61">
        <f t="shared" si="64"/>
        <v>68.286381863209201</v>
      </c>
    </row>
    <row r="46" spans="1:48" x14ac:dyDescent="0.4">
      <c r="A46" s="31"/>
      <c r="B46" s="29">
        <f>wz_rhp/(2*PI())</f>
        <v>9824.3792032034162</v>
      </c>
      <c r="C46" s="31" t="s">
        <v>61</v>
      </c>
      <c r="D46" s="31"/>
      <c r="E46" s="31"/>
      <c r="F46" s="31"/>
      <c r="G46" s="31"/>
      <c r="K46" s="31"/>
      <c r="N46" s="10">
        <v>28</v>
      </c>
      <c r="O46" s="50">
        <f t="shared" si="41"/>
        <v>19.054607179632477</v>
      </c>
      <c r="P46" s="48" t="str">
        <f t="shared" si="32"/>
        <v>5120.19230769231</v>
      </c>
      <c r="Q46" s="17" t="str">
        <f t="shared" si="33"/>
        <v>1+0.559477722523659i</v>
      </c>
      <c r="R46" s="17">
        <f t="shared" si="42"/>
        <v>1.145868806626771</v>
      </c>
      <c r="S46" s="17">
        <f t="shared" si="43"/>
        <v>0.51009064091745149</v>
      </c>
      <c r="T46" s="17" t="str">
        <f t="shared" si="34"/>
        <v>1+0.0000011960390423728i</v>
      </c>
      <c r="U46" s="17">
        <f t="shared" si="44"/>
        <v>1.0000000000007152</v>
      </c>
      <c r="V46" s="17">
        <f t="shared" si="45"/>
        <v>1.1960390423722297E-6</v>
      </c>
      <c r="W46" s="31" t="str">
        <f t="shared" si="35"/>
        <v>1-0.00193952277141535i</v>
      </c>
      <c r="X46" s="17">
        <f t="shared" si="46"/>
        <v>1.0000018808725215</v>
      </c>
      <c r="Y46" s="17">
        <f t="shared" si="47"/>
        <v>-1.939520339421828E-3</v>
      </c>
      <c r="Z46" s="31" t="str">
        <f t="shared" si="36"/>
        <v>0.999999854768778+0.0118087294095777i</v>
      </c>
      <c r="AA46" s="17">
        <f t="shared" si="48"/>
        <v>1.0000695753935551</v>
      </c>
      <c r="AB46" s="17">
        <f t="shared" si="49"/>
        <v>1.1808182276539377E-2</v>
      </c>
      <c r="AC46" s="66" t="str">
        <f t="shared" si="50"/>
        <v>3868.94738225759-2234.96764633602i</v>
      </c>
      <c r="AD46" s="64">
        <f t="shared" si="51"/>
        <v>73.002439549696476</v>
      </c>
      <c r="AE46" s="61">
        <f t="shared" si="52"/>
        <v>-30.013657703599417</v>
      </c>
      <c r="AF46" s="31" t="str">
        <f t="shared" si="37"/>
        <v>-1.39902068552014E-06</v>
      </c>
      <c r="AG46" s="31" t="str">
        <f t="shared" si="38"/>
        <v>3.95902092624463E-06i</v>
      </c>
      <c r="AH46" s="31">
        <f t="shared" si="53"/>
        <v>3.9590209262446303E-6</v>
      </c>
      <c r="AI46" s="31">
        <f t="shared" si="54"/>
        <v>1.5707963267948966</v>
      </c>
      <c r="AJ46" s="31" t="str">
        <f t="shared" si="39"/>
        <v>1+0.000285981181103011i</v>
      </c>
      <c r="AK46" s="31">
        <f t="shared" si="55"/>
        <v>1.0000000408926171</v>
      </c>
      <c r="AL46" s="31">
        <f t="shared" si="56"/>
        <v>2.8598117330666523E-4</v>
      </c>
      <c r="AM46" s="31" t="str">
        <f t="shared" si="40"/>
        <v>1+0.139070966128153i</v>
      </c>
      <c r="AN46" s="31">
        <f t="shared" si="57"/>
        <v>1.0096240555869387</v>
      </c>
      <c r="AO46" s="31">
        <f t="shared" si="58"/>
        <v>0.13818465064107213</v>
      </c>
      <c r="AP46" s="58" t="str">
        <f t="shared" si="59"/>
        <v>-0.0490431984366976+0.353389446169283i</v>
      </c>
      <c r="AQ46" s="49">
        <f t="shared" si="60"/>
        <v>-8.9520797906790932</v>
      </c>
      <c r="AR46" s="61">
        <f t="shared" si="61"/>
        <v>97.901011760972509</v>
      </c>
      <c r="AS46" s="58" t="str">
        <f t="shared" si="62"/>
        <v>600.068424535751+1476.85513445296i</v>
      </c>
      <c r="AT46" s="64">
        <f t="shared" si="63"/>
        <v>64.050359759017368</v>
      </c>
      <c r="AU46" s="61">
        <f t="shared" si="64"/>
        <v>67.887354057373074</v>
      </c>
    </row>
    <row r="47" spans="1:48" x14ac:dyDescent="0.4">
      <c r="A47" s="31"/>
      <c r="B47" s="1"/>
      <c r="C47" s="31"/>
      <c r="D47" s="31"/>
      <c r="E47" s="31"/>
      <c r="F47" s="31"/>
      <c r="G47" s="31"/>
      <c r="N47" s="10">
        <v>29</v>
      </c>
      <c r="O47" s="50">
        <f t="shared" si="41"/>
        <v>19.498445997580465</v>
      </c>
      <c r="P47" s="48" t="str">
        <f t="shared" si="32"/>
        <v>5120.19230769231</v>
      </c>
      <c r="Q47" s="17" t="str">
        <f t="shared" si="33"/>
        <v>1+0.572509632795657i</v>
      </c>
      <c r="R47" s="17">
        <f t="shared" si="42"/>
        <v>1.1522878458283841</v>
      </c>
      <c r="S47" s="17">
        <f t="shared" si="43"/>
        <v>0.51996068868240453</v>
      </c>
      <c r="T47" s="17" t="str">
        <f t="shared" si="34"/>
        <v>1+1.22389837055427E-06i</v>
      </c>
      <c r="U47" s="17">
        <f t="shared" si="44"/>
        <v>1.000000000000749</v>
      </c>
      <c r="V47" s="17">
        <f t="shared" si="45"/>
        <v>1.2238983705536589E-6</v>
      </c>
      <c r="W47" s="31" t="str">
        <f t="shared" si="35"/>
        <v>1-0.00198470006035828i</v>
      </c>
      <c r="X47" s="17">
        <f t="shared" si="46"/>
        <v>1.0000019695152254</v>
      </c>
      <c r="Y47" s="17">
        <f t="shared" si="47"/>
        <v>-1.984697454430548E-3</v>
      </c>
      <c r="Z47" s="31" t="str">
        <f t="shared" si="36"/>
        <v>0.999999847924241+0.0120837900525605i</v>
      </c>
      <c r="AA47" s="17">
        <f t="shared" si="48"/>
        <v>1.0000728542613979</v>
      </c>
      <c r="AB47" s="17">
        <f t="shared" si="49"/>
        <v>1.2083203791254028E-2</v>
      </c>
      <c r="AC47" s="66" t="str">
        <f t="shared" si="50"/>
        <v>3824.53517132247-2261.59983959919i</v>
      </c>
      <c r="AD47" s="64">
        <f t="shared" si="51"/>
        <v>72.953890161570882</v>
      </c>
      <c r="AE47" s="61">
        <f t="shared" si="52"/>
        <v>-30.597514217990934</v>
      </c>
      <c r="AF47" s="31" t="str">
        <f t="shared" si="37"/>
        <v>-1.39902068552014E-06</v>
      </c>
      <c r="AG47" s="31" t="str">
        <f t="shared" si="38"/>
        <v>4.05123837011899E-06i</v>
      </c>
      <c r="AH47" s="31">
        <f t="shared" si="53"/>
        <v>4.0512383701189898E-6</v>
      </c>
      <c r="AI47" s="31">
        <f t="shared" si="54"/>
        <v>1.5707963267948966</v>
      </c>
      <c r="AJ47" s="31" t="str">
        <f t="shared" si="39"/>
        <v>1+0.000292642538546885i</v>
      </c>
      <c r="AK47" s="31">
        <f t="shared" si="55"/>
        <v>1.0000000428198268</v>
      </c>
      <c r="AL47" s="31">
        <f t="shared" si="56"/>
        <v>2.9264253019295006E-4</v>
      </c>
      <c r="AM47" s="31" t="str">
        <f t="shared" si="40"/>
        <v>1+0.142310345068653i</v>
      </c>
      <c r="AN47" s="31">
        <f t="shared" si="57"/>
        <v>1.0100753607100608</v>
      </c>
      <c r="AO47" s="31">
        <f t="shared" si="58"/>
        <v>0.14136115179847658</v>
      </c>
      <c r="AP47" s="58" t="str">
        <f t="shared" si="59"/>
        <v>-0.0490431982476644+0.345345966241608i</v>
      </c>
      <c r="AQ47" s="49">
        <f t="shared" si="60"/>
        <v>-9.1481980549893862</v>
      </c>
      <c r="AR47" s="61">
        <f t="shared" si="61"/>
        <v>98.082630203274789</v>
      </c>
      <c r="AS47" s="58" t="str">
        <f t="shared" si="62"/>
        <v>593.466945245915+1431.70388345572i</v>
      </c>
      <c r="AT47" s="64">
        <f t="shared" si="63"/>
        <v>63.805692106581489</v>
      </c>
      <c r="AU47" s="61">
        <f t="shared" si="64"/>
        <v>67.485115985283826</v>
      </c>
    </row>
    <row r="48" spans="1:48" x14ac:dyDescent="0.4">
      <c r="A48" t="s">
        <v>208</v>
      </c>
      <c r="B48" s="29">
        <f>1/(Cout_total*Resr_total)</f>
        <v>100100100.10010011</v>
      </c>
      <c r="C48" t="s">
        <v>205</v>
      </c>
      <c r="E48" t="s">
        <v>198</v>
      </c>
      <c r="K48" s="31"/>
      <c r="N48" s="10">
        <v>30</v>
      </c>
      <c r="O48" s="50">
        <f t="shared" si="41"/>
        <v>19.952623149688804</v>
      </c>
      <c r="P48" s="48" t="str">
        <f t="shared" si="32"/>
        <v>5120.19230769231</v>
      </c>
      <c r="Q48" s="17" t="str">
        <f t="shared" si="33"/>
        <v>1+0.585845095253025i</v>
      </c>
      <c r="R48" s="17">
        <f t="shared" si="42"/>
        <v>1.1589713006075801</v>
      </c>
      <c r="S48" s="17">
        <f t="shared" si="43"/>
        <v>0.52994646045666494</v>
      </c>
      <c r="T48" s="17" t="str">
        <f t="shared" si="34"/>
        <v>1+1.25240662585202E-06i</v>
      </c>
      <c r="U48" s="17">
        <f t="shared" si="44"/>
        <v>1.0000000000007843</v>
      </c>
      <c r="V48" s="17">
        <f t="shared" si="45"/>
        <v>1.2524066258513652E-6</v>
      </c>
      <c r="W48" s="31" t="str">
        <f t="shared" si="35"/>
        <v>1-0.00203092966354382i</v>
      </c>
      <c r="X48" s="17">
        <f t="shared" si="46"/>
        <v>1.0000020623355226</v>
      </c>
      <c r="Y48" s="17">
        <f t="shared" si="47"/>
        <v>-2.0309268712422586E-3</v>
      </c>
      <c r="Z48" s="31" t="str">
        <f t="shared" si="36"/>
        <v>0.999999840757132+0.0123652576809771i</v>
      </c>
      <c r="AA48" s="17">
        <f t="shared" si="48"/>
        <v>1.0000762876460008</v>
      </c>
      <c r="AB48" s="17">
        <f t="shared" si="49"/>
        <v>1.2364629493257341E-2</v>
      </c>
      <c r="AC48" s="66" t="str">
        <f t="shared" si="50"/>
        <v>3779.07546403967-2287.64641459376i</v>
      </c>
      <c r="AD48" s="64">
        <f t="shared" si="51"/>
        <v>72.903627133793975</v>
      </c>
      <c r="AE48" s="61">
        <f t="shared" si="52"/>
        <v>-31.188428417878079</v>
      </c>
      <c r="AF48" s="31" t="str">
        <f t="shared" si="37"/>
        <v>-1.39902068552014E-06</v>
      </c>
      <c r="AG48" s="31" t="str">
        <f t="shared" si="38"/>
        <v>4.14560383420167E-06i</v>
      </c>
      <c r="AH48" s="31">
        <f t="shared" si="53"/>
        <v>4.14560383420167E-6</v>
      </c>
      <c r="AI48" s="31">
        <f t="shared" si="54"/>
        <v>1.5707963267948966</v>
      </c>
      <c r="AJ48" s="31" t="str">
        <f t="shared" si="39"/>
        <v>1+0.000299459058938279i</v>
      </c>
      <c r="AK48" s="31">
        <f t="shared" si="55"/>
        <v>1.000000044837863</v>
      </c>
      <c r="AL48" s="31">
        <f t="shared" si="56"/>
        <v>2.9945904998687642E-4</v>
      </c>
      <c r="AM48" s="31" t="str">
        <f t="shared" si="40"/>
        <v>1+0.145625178837809i</v>
      </c>
      <c r="AN48" s="31">
        <f t="shared" si="57"/>
        <v>1.01054771916597</v>
      </c>
      <c r="AO48" s="31">
        <f t="shared" si="58"/>
        <v>0.14460867239677683</v>
      </c>
      <c r="AP48" s="58" t="str">
        <f t="shared" si="59"/>
        <v>-0.0490431980497227+0.337485593316423i</v>
      </c>
      <c r="AQ48" s="49">
        <f t="shared" si="60"/>
        <v>-9.3441370939679711</v>
      </c>
      <c r="AR48" s="61">
        <f t="shared" si="61"/>
        <v>98.26830886962405</v>
      </c>
      <c r="AS48" s="58" t="str">
        <f t="shared" si="62"/>
        <v>586.709761099618+1387.57702134762i</v>
      </c>
      <c r="AT48" s="64">
        <f t="shared" si="63"/>
        <v>63.559490039825981</v>
      </c>
      <c r="AU48" s="61">
        <f t="shared" si="64"/>
        <v>67.079880451745893</v>
      </c>
    </row>
    <row r="49" spans="1:48" x14ac:dyDescent="0.4">
      <c r="A49" s="31"/>
      <c r="B49" s="29">
        <f>wz_esr/(2*PI())</f>
        <v>15931425.734924462</v>
      </c>
      <c r="C49" s="31" t="s">
        <v>61</v>
      </c>
      <c r="D49" s="31"/>
      <c r="E49" s="31"/>
      <c r="F49" s="31"/>
      <c r="G49" s="31"/>
      <c r="K49" s="31"/>
      <c r="N49" s="10">
        <v>31</v>
      </c>
      <c r="O49" s="50">
        <f t="shared" si="41"/>
        <v>20.4173794466953</v>
      </c>
      <c r="P49" s="48" t="str">
        <f t="shared" si="32"/>
        <v>5120.19230769231</v>
      </c>
      <c r="Q49" s="17" t="str">
        <f t="shared" si="33"/>
        <v>1+0.599491180534469i</v>
      </c>
      <c r="R49" s="17">
        <f t="shared" si="42"/>
        <v>1.1659286751506763</v>
      </c>
      <c r="S49" s="17">
        <f t="shared" si="43"/>
        <v>0.5400452843244119</v>
      </c>
      <c r="T49" s="17" t="str">
        <f t="shared" si="34"/>
        <v>1+1.28157892372036E-06i</v>
      </c>
      <c r="U49" s="17">
        <f t="shared" si="44"/>
        <v>1.0000000000008211</v>
      </c>
      <c r="V49" s="17">
        <f t="shared" si="45"/>
        <v>1.2815789237196585E-6</v>
      </c>
      <c r="W49" s="31" t="str">
        <f t="shared" si="35"/>
        <v>1-0.00207823609251949i</v>
      </c>
      <c r="X49" s="17">
        <f t="shared" si="46"/>
        <v>1.0000021595302964</v>
      </c>
      <c r="Y49" s="17">
        <f t="shared" si="47"/>
        <v>-2.0782331005148101E-3</v>
      </c>
      <c r="Z49" s="31" t="str">
        <f t="shared" si="36"/>
        <v>0.999999833252247+0.0126532815326896i</v>
      </c>
      <c r="AA49" s="17">
        <f t="shared" si="48"/>
        <v>1.0000798828284005</v>
      </c>
      <c r="AB49" s="17">
        <f t="shared" si="49"/>
        <v>1.2652608420324372E-2</v>
      </c>
      <c r="AC49" s="66" t="str">
        <f t="shared" si="50"/>
        <v>3732.58065919117-2313.05877716851i</v>
      </c>
      <c r="AD49" s="64">
        <f t="shared" si="51"/>
        <v>72.851610716297671</v>
      </c>
      <c r="AE49" s="61">
        <f t="shared" si="52"/>
        <v>-31.786257156488006</v>
      </c>
      <c r="AF49" s="31" t="str">
        <f t="shared" si="37"/>
        <v>-1.39902068552014E-06</v>
      </c>
      <c r="AG49" s="31" t="str">
        <f t="shared" si="38"/>
        <v>4.24216735231079E-06i</v>
      </c>
      <c r="AH49" s="31">
        <f t="shared" si="53"/>
        <v>4.2421673523107899E-6</v>
      </c>
      <c r="AI49" s="31">
        <f t="shared" si="54"/>
        <v>1.5707963267948966</v>
      </c>
      <c r="AJ49" s="31" t="str">
        <f t="shared" si="39"/>
        <v>1+0.000306434356486529i</v>
      </c>
      <c r="AK49" s="31">
        <f t="shared" si="55"/>
        <v>1.0000000469510064</v>
      </c>
      <c r="AL49" s="31">
        <f t="shared" si="56"/>
        <v>3.0643434689492838E-4</v>
      </c>
      <c r="AM49" s="31" t="str">
        <f t="shared" si="40"/>
        <v>1+0.149017225004361i</v>
      </c>
      <c r="AN49" s="31">
        <f t="shared" si="57"/>
        <v>1.0110421026584404</v>
      </c>
      <c r="AO49" s="31">
        <f t="shared" si="58"/>
        <v>0.14792866017447678</v>
      </c>
      <c r="AP49" s="58" t="str">
        <f t="shared" si="59"/>
        <v>-0.0490431978424519+0.32980415971996i</v>
      </c>
      <c r="AQ49" s="49">
        <f t="shared" si="60"/>
        <v>-9.5398888118079821</v>
      </c>
      <c r="AR49" s="61">
        <f t="shared" si="61"/>
        <v>98.45813050224757</v>
      </c>
      <c r="AS49" s="58" t="str">
        <f t="shared" si="62"/>
        <v>579.798714655317+1344.46042712141i</v>
      </c>
      <c r="AT49" s="64">
        <f t="shared" si="63"/>
        <v>63.31172190448968</v>
      </c>
      <c r="AU49" s="61">
        <f t="shared" si="64"/>
        <v>66.671873345759508</v>
      </c>
    </row>
    <row r="50" spans="1:48" x14ac:dyDescent="0.4">
      <c r="B50" s="26"/>
      <c r="N50" s="10">
        <v>32</v>
      </c>
      <c r="O50" s="50">
        <f t="shared" si="41"/>
        <v>20.8929613085404</v>
      </c>
      <c r="P50" s="48" t="str">
        <f t="shared" si="32"/>
        <v>5120.19230769231</v>
      </c>
      <c r="Q50" s="17" t="str">
        <f t="shared" si="33"/>
        <v>1+0.613455123975043i</v>
      </c>
      <c r="R50" s="17">
        <f t="shared" si="42"/>
        <v>1.1731697188093611</v>
      </c>
      <c r="S50" s="17">
        <f t="shared" si="43"/>
        <v>0.55025427475628719</v>
      </c>
      <c r="T50" s="17" t="str">
        <f t="shared" si="34"/>
        <v>1+1.31143073169776E-06i</v>
      </c>
      <c r="U50" s="17">
        <f t="shared" si="44"/>
        <v>1.00000000000086</v>
      </c>
      <c r="V50" s="17">
        <f t="shared" si="45"/>
        <v>1.3114307316970082E-6</v>
      </c>
      <c r="W50" s="31" t="str">
        <f t="shared" si="35"/>
        <v>1-0.00212664442978015i</v>
      </c>
      <c r="X50" s="17">
        <f t="shared" si="46"/>
        <v>1.0000022613057085</v>
      </c>
      <c r="Y50" s="17">
        <f t="shared" si="47"/>
        <v>-2.1266412237897652E-3</v>
      </c>
      <c r="Z50" s="31" t="str">
        <f t="shared" si="36"/>
        <v>0.999999825393667+0.0129480143217568i</v>
      </c>
      <c r="AA50" s="17">
        <f t="shared" si="48"/>
        <v>1.000083647432674</v>
      </c>
      <c r="AB50" s="17">
        <f t="shared" si="49"/>
        <v>1.2947293072120962E-2</v>
      </c>
      <c r="AC50" s="66" t="str">
        <f t="shared" si="50"/>
        <v>3685.06597022811-2337.78812697437i</v>
      </c>
      <c r="AD50" s="64">
        <f t="shared" si="51"/>
        <v>72.797801681881424</v>
      </c>
      <c r="AE50" s="61">
        <f t="shared" si="52"/>
        <v>-32.390845278934307</v>
      </c>
      <c r="AF50" s="31" t="str">
        <f t="shared" si="37"/>
        <v>-1.39902068552014E-06</v>
      </c>
      <c r="AG50" s="31" t="str">
        <f t="shared" si="38"/>
        <v>4.34098012370183E-06i</v>
      </c>
      <c r="AH50" s="31">
        <f t="shared" si="53"/>
        <v>4.3409801237018299E-6</v>
      </c>
      <c r="AI50" s="31">
        <f t="shared" si="54"/>
        <v>1.5707963267948966</v>
      </c>
      <c r="AJ50" s="31" t="str">
        <f t="shared" si="39"/>
        <v>1+0.000313572129586729i</v>
      </c>
      <c r="AK50" s="31">
        <f t="shared" si="55"/>
        <v>1.0000000491637391</v>
      </c>
      <c r="AL50" s="31">
        <f t="shared" si="56"/>
        <v>3.1357211930914381E-4</v>
      </c>
      <c r="AM50" s="31" t="str">
        <f t="shared" si="40"/>
        <v>1+0.152488282076088i</v>
      </c>
      <c r="AN50" s="31">
        <f t="shared" si="57"/>
        <v>1.0115595267558486</v>
      </c>
      <c r="AO50" s="31">
        <f t="shared" si="58"/>
        <v>0.15132258252929481</v>
      </c>
      <c r="AP50" s="58" t="str">
        <f t="shared" si="59"/>
        <v>-0.0490431976254133+0.322297592654448i</v>
      </c>
      <c r="AQ50" s="49">
        <f t="shared" si="60"/>
        <v>-9.7354447639024517</v>
      </c>
      <c r="AR50" s="61">
        <f t="shared" si="61"/>
        <v>98.652178964939296</v>
      </c>
      <c r="AS50" s="58" t="str">
        <f t="shared" si="62"/>
        <v>572.736066819408+1302.3404960949i</v>
      </c>
      <c r="AT50" s="64">
        <f t="shared" si="63"/>
        <v>63.062356917978988</v>
      </c>
      <c r="AU50" s="61">
        <f t="shared" si="64"/>
        <v>66.261333686005045</v>
      </c>
    </row>
    <row r="51" spans="1:48" x14ac:dyDescent="0.4">
      <c r="A51" s="31" t="s">
        <v>201</v>
      </c>
      <c r="B51" s="1">
        <f>(Isl*(Rsl_int+R_sl)*Fsw)</f>
        <v>13718.999999999998</v>
      </c>
      <c r="C51" s="31" t="s">
        <v>144</v>
      </c>
      <c r="D51" s="31"/>
      <c r="E51" s="31" t="s">
        <v>202</v>
      </c>
      <c r="F51" s="31"/>
      <c r="G51" s="31"/>
      <c r="N51" s="10">
        <v>33</v>
      </c>
      <c r="O51" s="50">
        <f t="shared" si="41"/>
        <v>21.379620895022335</v>
      </c>
      <c r="P51" s="48" t="str">
        <f t="shared" si="32"/>
        <v>5120.19230769231</v>
      </c>
      <c r="Q51" s="17" t="str">
        <f t="shared" si="33"/>
        <v>1+0.627744329442381i</v>
      </c>
      <c r="R51" s="17">
        <f t="shared" si="42"/>
        <v>1.1807044266653126</v>
      </c>
      <c r="S51" s="17">
        <f t="shared" si="43"/>
        <v>0.56057033210866514</v>
      </c>
      <c r="T51" s="17" t="str">
        <f t="shared" si="34"/>
        <v>1+1.34197787760793E-06i</v>
      </c>
      <c r="U51" s="17">
        <f t="shared" si="44"/>
        <v>1.0000000000009006</v>
      </c>
      <c r="V51" s="17">
        <f t="shared" si="45"/>
        <v>1.3419778776071246E-6</v>
      </c>
      <c r="W51" s="31" t="str">
        <f t="shared" si="35"/>
        <v>1-0.00217618034206692i</v>
      </c>
      <c r="X51" s="17">
        <f t="shared" si="46"/>
        <v>1.0000023678776373</v>
      </c>
      <c r="Y51" s="17">
        <f t="shared" si="47"/>
        <v>-2.17617690678677E-3</v>
      </c>
      <c r="Z51" s="31" t="str">
        <f t="shared" si="36"/>
        <v>0.999999817164724+0.0132496123194046i</v>
      </c>
      <c r="AA51" s="17">
        <f t="shared" si="48"/>
        <v>1.0000875894420929</v>
      </c>
      <c r="AB51" s="17">
        <f t="shared" si="49"/>
        <v>1.3248839490151503E-2</v>
      </c>
      <c r="AC51" s="66" t="str">
        <f t="shared" si="50"/>
        <v>3636.54949410319-2361.78564242581i</v>
      </c>
      <c r="AD51" s="64">
        <f t="shared" si="51"/>
        <v>72.742161434676575</v>
      </c>
      <c r="AE51" s="61">
        <f t="shared" si="52"/>
        <v>-33.00202559886948</v>
      </c>
      <c r="AF51" s="31" t="str">
        <f t="shared" si="37"/>
        <v>-1.39902068552014E-06</v>
      </c>
      <c r="AG51" s="31" t="str">
        <f t="shared" si="38"/>
        <v>4.44209454021413E-06i</v>
      </c>
      <c r="AH51" s="31">
        <f t="shared" si="53"/>
        <v>4.4420945402141302E-6</v>
      </c>
      <c r="AI51" s="31">
        <f t="shared" si="54"/>
        <v>1.5707963267948966</v>
      </c>
      <c r="AJ51" s="31" t="str">
        <f t="shared" si="39"/>
        <v>1+0.000320876162780652i</v>
      </c>
      <c r="AK51" s="31">
        <f t="shared" si="55"/>
        <v>1.0000000514807545</v>
      </c>
      <c r="AL51" s="31">
        <f t="shared" si="56"/>
        <v>3.2087615176802111E-4</v>
      </c>
      <c r="AM51" s="31" t="str">
        <f t="shared" si="40"/>
        <v>1+0.156040190453391i</v>
      </c>
      <c r="AN51" s="31">
        <f t="shared" si="57"/>
        <v>1.0121010527791829</v>
      </c>
      <c r="AO51" s="31">
        <f t="shared" si="58"/>
        <v>0.15479192605330666</v>
      </c>
      <c r="AP51" s="58" t="str">
        <f t="shared" si="59"/>
        <v>-0.0490431973981453+0.314961912038668i</v>
      </c>
      <c r="AQ51" s="49">
        <f t="shared" si="60"/>
        <v>-9.9307961434062708</v>
      </c>
      <c r="AR51" s="61">
        <f t="shared" si="61"/>
        <v>98.850539216312868</v>
      </c>
      <c r="AS51" s="58" t="str">
        <f t="shared" si="62"/>
        <v>565.524507076479+1261.20410135959i</v>
      </c>
      <c r="AT51" s="64">
        <f t="shared" si="63"/>
        <v>62.81136529127032</v>
      </c>
      <c r="AU51" s="61">
        <f t="shared" si="64"/>
        <v>65.848513617443459</v>
      </c>
    </row>
    <row r="52" spans="1:48" x14ac:dyDescent="0.4">
      <c r="A52" s="31" t="s">
        <v>204</v>
      </c>
      <c r="B52" s="1">
        <f>(R_cs*VIN_var*Acs*(1-Dc_var_ccm))/Lm</f>
        <v>98.765432098765444</v>
      </c>
      <c r="C52" s="31" t="s">
        <v>144</v>
      </c>
      <c r="D52" s="31"/>
      <c r="E52" s="31" t="s">
        <v>203</v>
      </c>
      <c r="F52" s="31"/>
      <c r="G52" s="31"/>
      <c r="N52" s="10">
        <v>34</v>
      </c>
      <c r="O52" s="50">
        <f t="shared" si="41"/>
        <v>21.877616239495538</v>
      </c>
      <c r="P52" s="48" t="str">
        <f t="shared" si="32"/>
        <v>5120.19230769231</v>
      </c>
      <c r="Q52" s="17" t="str">
        <f t="shared" si="33"/>
        <v>1+0.64236637326237i</v>
      </c>
      <c r="R52" s="17">
        <f t="shared" si="42"/>
        <v>1.1885430398173431</v>
      </c>
      <c r="S52" s="17">
        <f t="shared" si="43"/>
        <v>0.57099014295648998</v>
      </c>
      <c r="T52" s="17" t="str">
        <f t="shared" si="34"/>
        <v>1+0.000001373236557952i</v>
      </c>
      <c r="U52" s="17">
        <f t="shared" si="44"/>
        <v>1.0000000000009428</v>
      </c>
      <c r="V52" s="17">
        <f t="shared" si="45"/>
        <v>1.3732365579511369E-6</v>
      </c>
      <c r="W52" s="31" t="str">
        <f t="shared" si="35"/>
        <v>1-0.00222687009397621i</v>
      </c>
      <c r="X52" s="17">
        <f t="shared" si="46"/>
        <v>1.0000024794721338</v>
      </c>
      <c r="Y52" s="17">
        <f t="shared" si="47"/>
        <v>-2.2268664130077032E-3</v>
      </c>
      <c r="Z52" s="31" t="str">
        <f t="shared" si="36"/>
        <v>0.999999808547963+0.0135582354368835i</v>
      </c>
      <c r="AA52" s="17">
        <f t="shared" si="48"/>
        <v>1.0000917172160384</v>
      </c>
      <c r="AB52" s="17">
        <f t="shared" si="49"/>
        <v>1.3557407339520757E-2</v>
      </c>
      <c r="AC52" s="66" t="str">
        <f t="shared" si="50"/>
        <v>3587.05226659319-2385.00267555405i</v>
      </c>
      <c r="AD52" s="64">
        <f t="shared" si="51"/>
        <v>72.684652120973482</v>
      </c>
      <c r="AE52" s="61">
        <f t="shared" si="52"/>
        <v>-33.619618923018351</v>
      </c>
      <c r="AF52" s="31" t="str">
        <f t="shared" si="37"/>
        <v>-1.39902068552014E-06</v>
      </c>
      <c r="AG52" s="31" t="str">
        <f t="shared" si="38"/>
        <v>4.54556421404972E-06i</v>
      </c>
      <c r="AH52" s="31">
        <f t="shared" si="53"/>
        <v>4.5455642140497201E-6</v>
      </c>
      <c r="AI52" s="31">
        <f t="shared" si="54"/>
        <v>1.5707963267948966</v>
      </c>
      <c r="AJ52" s="31" t="str">
        <f t="shared" si="39"/>
        <v>1+0.00032835032876338i</v>
      </c>
      <c r="AK52" s="31">
        <f t="shared" si="55"/>
        <v>1.0000000539069678</v>
      </c>
      <c r="AL52" s="31">
        <f t="shared" si="56"/>
        <v>3.2835031696313341E-4</v>
      </c>
      <c r="AM52" s="31" t="str">
        <f t="shared" si="40"/>
        <v>1+0.159674833405109i</v>
      </c>
      <c r="AN52" s="31">
        <f t="shared" si="57"/>
        <v>1.0126677897627381</v>
      </c>
      <c r="AO52" s="31">
        <f t="shared" si="58"/>
        <v>0.15833819600086349</v>
      </c>
      <c r="AP52" s="58" t="str">
        <f t="shared" si="59"/>
        <v>-0.0490431971601668+0.307793228397658i</v>
      </c>
      <c r="AQ52" s="49">
        <f t="shared" si="60"/>
        <v>-10.125933767431988</v>
      </c>
      <c r="AR52" s="61">
        <f t="shared" si="61"/>
        <v>99.053297279200905</v>
      </c>
      <c r="AS52" s="58" t="str">
        <f t="shared" si="62"/>
        <v>558.16716171148+1221.03855401058i</v>
      </c>
      <c r="AT52" s="64">
        <f t="shared" si="63"/>
        <v>62.558718353541508</v>
      </c>
      <c r="AU52" s="61">
        <f t="shared" si="64"/>
        <v>65.433678356182611</v>
      </c>
    </row>
    <row r="53" spans="1:48" x14ac:dyDescent="0.4">
      <c r="A53" t="s">
        <v>507</v>
      </c>
      <c r="B53" s="1">
        <f>1+(B51/B52)</f>
        <v>139.90487499999998</v>
      </c>
      <c r="N53" s="10">
        <v>35</v>
      </c>
      <c r="O53" s="50">
        <f t="shared" si="41"/>
        <v>22.387211385683404</v>
      </c>
      <c r="P53" s="48" t="str">
        <f t="shared" si="32"/>
        <v>5120.19230769231</v>
      </c>
      <c r="Q53" s="17" t="str">
        <f t="shared" si="33"/>
        <v>1+0.657329008236188i</v>
      </c>
      <c r="R53" s="17">
        <f t="shared" si="42"/>
        <v>1.1966960453969799</v>
      </c>
      <c r="S53" s="17">
        <f t="shared" si="43"/>
        <v>0.58151018130074295</v>
      </c>
      <c r="T53" s="17" t="str">
        <f t="shared" si="34"/>
        <v>1+1.40522334649603E-06i</v>
      </c>
      <c r="U53" s="17">
        <f t="shared" si="44"/>
        <v>1.0000000000009872</v>
      </c>
      <c r="V53" s="17">
        <f t="shared" si="45"/>
        <v>1.405223346495105E-6</v>
      </c>
      <c r="W53" s="31" t="str">
        <f t="shared" si="35"/>
        <v>1-0.00227874056188545i</v>
      </c>
      <c r="X53" s="17">
        <f t="shared" si="46"/>
        <v>1.0000025963259038</v>
      </c>
      <c r="Y53" s="17">
        <f t="shared" si="47"/>
        <v>-2.2787366176571858E-3</v>
      </c>
      <c r="Z53" s="31" t="str">
        <f t="shared" si="36"/>
        <v>0.999999799525107+0.0138740473102555i</v>
      </c>
      <c r="AA53" s="17">
        <f t="shared" si="48"/>
        <v>1.000096039507717</v>
      </c>
      <c r="AB53" s="17">
        <f t="shared" si="49"/>
        <v>1.3873159992546716E-2</v>
      </c>
      <c r="AC53" s="66" t="str">
        <f t="shared" si="50"/>
        <v>3536.59830282035-2407.39095571194i</v>
      </c>
      <c r="AD53" s="64">
        <f t="shared" si="51"/>
        <v>72.625236741872143</v>
      </c>
      <c r="AE53" s="61">
        <f t="shared" si="52"/>
        <v>-34.243434125949236</v>
      </c>
      <c r="AF53" s="31" t="str">
        <f t="shared" si="37"/>
        <v>-1.39902068552014E-06</v>
      </c>
      <c r="AG53" s="31" t="str">
        <f t="shared" si="38"/>
        <v>4.65144400619925E-06i</v>
      </c>
      <c r="AH53" s="31">
        <f t="shared" si="53"/>
        <v>4.6514440061992499E-6</v>
      </c>
      <c r="AI53" s="31">
        <f t="shared" si="54"/>
        <v>1.5707963267948966</v>
      </c>
      <c r="AJ53" s="31" t="str">
        <f t="shared" si="39"/>
        <v>1+0.000335998590436649i</v>
      </c>
      <c r="AK53" s="31">
        <f t="shared" si="55"/>
        <v>1.0000000564475249</v>
      </c>
      <c r="AL53" s="31">
        <f t="shared" si="56"/>
        <v>3.35998577792457E-4</v>
      </c>
      <c r="AM53" s="31" t="str">
        <f t="shared" si="40"/>
        <v>1+0.163394138067046i</v>
      </c>
      <c r="AN53" s="31">
        <f t="shared" si="57"/>
        <v>1.013260896489484</v>
      </c>
      <c r="AO53" s="31">
        <f t="shared" si="58"/>
        <v>0.16196291568472029</v>
      </c>
      <c r="AP53" s="58" t="str">
        <f t="shared" si="59"/>
        <v>-0.049043196910973+0.300787740800461i</v>
      </c>
      <c r="AQ53" s="49">
        <f t="shared" si="60"/>
        <v>-10.320848062884593</v>
      </c>
      <c r="AR53" s="61">
        <f t="shared" si="61"/>
        <v>99.260540205937772</v>
      </c>
      <c r="AS53" s="58" t="str">
        <f t="shared" si="62"/>
        <v>550.667599831826+1181.83156230675i</v>
      </c>
      <c r="AT53" s="64">
        <f t="shared" si="63"/>
        <v>62.304388678987522</v>
      </c>
      <c r="AU53" s="61">
        <f t="shared" si="64"/>
        <v>65.017106079988451</v>
      </c>
      <c r="AV53" s="31"/>
    </row>
    <row r="54" spans="1:48" x14ac:dyDescent="0.4">
      <c r="A54" t="s">
        <v>199</v>
      </c>
      <c r="B54" s="1">
        <f>2*PI()*Fsw</f>
        <v>628318.53071795858</v>
      </c>
      <c r="C54" t="s">
        <v>205</v>
      </c>
      <c r="N54" s="10">
        <v>36</v>
      </c>
      <c r="O54" s="50">
        <f t="shared" si="41"/>
        <v>22.908676527677727</v>
      </c>
      <c r="P54" s="48" t="str">
        <f t="shared" si="32"/>
        <v>5120.19230769231</v>
      </c>
      <c r="Q54" s="17" t="str">
        <f t="shared" si="33"/>
        <v>1+0.672640167750949i</v>
      </c>
      <c r="R54" s="17">
        <f t="shared" si="42"/>
        <v>1.205174176321425</v>
      </c>
      <c r="S54" s="17">
        <f t="shared" si="43"/>
        <v>0.59212671068686085</v>
      </c>
      <c r="T54" s="17" t="str">
        <f t="shared" si="34"/>
        <v>1+0.0000014379552030587i</v>
      </c>
      <c r="U54" s="17">
        <f t="shared" si="44"/>
        <v>1.0000000000010338</v>
      </c>
      <c r="V54" s="17">
        <f t="shared" si="45"/>
        <v>1.4379552030577091E-6</v>
      </c>
      <c r="W54" s="31" t="str">
        <f t="shared" si="35"/>
        <v>1-0.00233181924820329i</v>
      </c>
      <c r="X54" s="17">
        <f t="shared" si="46"/>
        <v>1.0000027186868075</v>
      </c>
      <c r="Y54" s="17">
        <f t="shared" si="47"/>
        <v>-2.3318150218871814E-3</v>
      </c>
      <c r="Z54" s="31" t="str">
        <f t="shared" si="36"/>
        <v>0.999999790077016+0.014197215387156i</v>
      </c>
      <c r="AA54" s="17">
        <f t="shared" si="48"/>
        <v>1.0001005654827044</v>
      </c>
      <c r="AB54" s="17">
        <f t="shared" si="49"/>
        <v>1.4196264614264648E-2</v>
      </c>
      <c r="AC54" s="66" t="str">
        <f t="shared" si="50"/>
        <v>3485.21462175895-2428.90280091893i</v>
      </c>
      <c r="AD54" s="64">
        <f t="shared" si="51"/>
        <v>72.56387926716792</v>
      </c>
      <c r="AE54" s="61">
        <f t="shared" si="52"/>
        <v>-34.873268277164456</v>
      </c>
      <c r="AF54" s="31" t="str">
        <f t="shared" si="37"/>
        <v>-1.39902068552014E-06</v>
      </c>
      <c r="AG54" s="31" t="str">
        <f t="shared" si="38"/>
        <v>0.00000475979005553i</v>
      </c>
      <c r="AH54" s="31">
        <f t="shared" si="53"/>
        <v>4.7597900555300001E-6</v>
      </c>
      <c r="AI54" s="31">
        <f t="shared" si="54"/>
        <v>1.5707963267948966</v>
      </c>
      <c r="AJ54" s="31" t="str">
        <f t="shared" si="39"/>
        <v>1+0.000343825003010034i</v>
      </c>
      <c r="AK54" s="31">
        <f t="shared" si="55"/>
        <v>1.0000000591078146</v>
      </c>
      <c r="AL54" s="31">
        <f t="shared" si="56"/>
        <v>3.4382498946153816E-4</v>
      </c>
      <c r="AM54" s="31" t="str">
        <f t="shared" si="40"/>
        <v>1+0.167200076463762i</v>
      </c>
      <c r="AN54" s="31">
        <f t="shared" si="57"/>
        <v>1.0138815836030792</v>
      </c>
      <c r="AO54" s="31">
        <f t="shared" si="58"/>
        <v>0.16566762579567315</v>
      </c>
      <c r="AP54" s="58" t="str">
        <f t="shared" si="59"/>
        <v>-0.0490431966500348+0.293941734844827i</v>
      </c>
      <c r="AQ54" s="49">
        <f t="shared" si="60"/>
        <v>-10.515529051942496</v>
      </c>
      <c r="AR54" s="61">
        <f t="shared" si="61"/>
        <v>99.472356039257406</v>
      </c>
      <c r="AS54" s="58" t="str">
        <f t="shared" si="62"/>
        <v>543.029837009069+1143.57118993567i</v>
      </c>
      <c r="AT54" s="64">
        <f t="shared" si="63"/>
        <v>62.048350215225419</v>
      </c>
      <c r="AU54" s="61">
        <f t="shared" si="64"/>
        <v>64.599087762092935</v>
      </c>
      <c r="AV54" s="31"/>
    </row>
    <row r="55" spans="1:48" x14ac:dyDescent="0.4">
      <c r="A55" t="s">
        <v>200</v>
      </c>
      <c r="B55" s="1">
        <f>1/(PI()*(((1-Dc_var_ccm)*mc)-0.5))</f>
        <v>3.2272070124966704E-2</v>
      </c>
      <c r="N55" s="10">
        <v>37</v>
      </c>
      <c r="O55" s="50">
        <f t="shared" si="41"/>
        <v>23.442288153199236</v>
      </c>
      <c r="P55" s="48" t="str">
        <f t="shared" si="32"/>
        <v>5120.19230769231</v>
      </c>
      <c r="Q55" s="17" t="str">
        <f t="shared" si="33"/>
        <v>1+0.688307969986097i</v>
      </c>
      <c r="R55" s="17">
        <f t="shared" si="42"/>
        <v>1.2139884107957464</v>
      </c>
      <c r="S55" s="17">
        <f t="shared" si="43"/>
        <v>0.6028357872646285</v>
      </c>
      <c r="T55" s="17" t="str">
        <f t="shared" si="34"/>
        <v>1+1.47144948250361E-06i</v>
      </c>
      <c r="U55" s="17">
        <f t="shared" si="44"/>
        <v>1.0000000000010827</v>
      </c>
      <c r="V55" s="17">
        <f t="shared" si="45"/>
        <v>1.471449482502548E-6</v>
      </c>
      <c r="W55" s="31" t="str">
        <f t="shared" si="35"/>
        <v>1-0.0023861342959518i</v>
      </c>
      <c r="X55" s="17">
        <f t="shared" si="46"/>
        <v>1.0000028468143871</v>
      </c>
      <c r="Y55" s="17">
        <f t="shared" si="47"/>
        <v>-2.3861297673731957E-3</v>
      </c>
      <c r="Z55" s="31" t="str">
        <f t="shared" si="36"/>
        <v>0.99999978018365+0.0145279110155773i</v>
      </c>
      <c r="AA55" s="17">
        <f t="shared" si="48"/>
        <v>1.0001053047383683</v>
      </c>
      <c r="AB55" s="17">
        <f t="shared" si="49"/>
        <v>1.4526892249862776E-2</v>
      </c>
      <c r="AC55" s="66" t="str">
        <f t="shared" si="50"/>
        <v>3432.93125361664-2449.49133546812i</v>
      </c>
      <c r="AD55" s="64">
        <f t="shared" si="51"/>
        <v>72.500544749840813</v>
      </c>
      <c r="AE55" s="61">
        <f t="shared" si="52"/>
        <v>-35.508906822263945</v>
      </c>
      <c r="AF55" s="31" t="str">
        <f t="shared" si="37"/>
        <v>-1.39902068552014E-06</v>
      </c>
      <c r="AG55" s="31" t="str">
        <f t="shared" si="38"/>
        <v>4.87065980855148E-06i</v>
      </c>
      <c r="AH55" s="31">
        <f t="shared" si="53"/>
        <v>4.87065980855148E-6</v>
      </c>
      <c r="AI55" s="31">
        <f t="shared" si="54"/>
        <v>1.5707963267948966</v>
      </c>
      <c r="AJ55" s="31" t="str">
        <f t="shared" si="39"/>
        <v>1+0.000351833716151077i</v>
      </c>
      <c r="AK55" s="31">
        <f t="shared" si="55"/>
        <v>1.0000000618934799</v>
      </c>
      <c r="AL55" s="31">
        <f t="shared" si="56"/>
        <v>3.5183370163360226E-4</v>
      </c>
      <c r="AM55" s="31" t="str">
        <f t="shared" si="40"/>
        <v>1+0.171094666554174i</v>
      </c>
      <c r="AN55" s="31">
        <f t="shared" si="57"/>
        <v>1.0145311157984678</v>
      </c>
      <c r="AO55" s="31">
        <f t="shared" si="58"/>
        <v>0.16945388364078343</v>
      </c>
      <c r="AP55" s="58" t="str">
        <f t="shared" si="59"/>
        <v>-0.049043196376799+0.287251580687776i</v>
      </c>
      <c r="AQ55" s="49">
        <f t="shared" si="60"/>
        <v>-10.709966337194881</v>
      </c>
      <c r="AR55" s="61">
        <f t="shared" si="61"/>
        <v>99.688833768523764</v>
      </c>
      <c r="AS55" s="58" t="str">
        <f t="shared" si="62"/>
        <v>535.258336375057+1106.24581358248i</v>
      </c>
      <c r="AT55" s="64">
        <f t="shared" si="63"/>
        <v>61.790578412645935</v>
      </c>
      <c r="AU55" s="61">
        <f t="shared" si="64"/>
        <v>64.179926946259855</v>
      </c>
      <c r="AV55" s="31"/>
    </row>
    <row r="56" spans="1:48" x14ac:dyDescent="0.4">
      <c r="N56" s="10">
        <v>38</v>
      </c>
      <c r="O56" s="50">
        <f t="shared" si="41"/>
        <v>23.988329190194907</v>
      </c>
      <c r="P56" s="48" t="str">
        <f t="shared" si="32"/>
        <v>5120.19230769231</v>
      </c>
      <c r="Q56" s="17" t="str">
        <f t="shared" si="33"/>
        <v>1+0.704340722217763i</v>
      </c>
      <c r="R56" s="17">
        <f t="shared" si="42"/>
        <v>1.2231499715792173</v>
      </c>
      <c r="S56" s="17">
        <f t="shared" si="43"/>
        <v>0.61363326381369632</v>
      </c>
      <c r="T56" s="17" t="str">
        <f t="shared" si="34"/>
        <v>1+1.50572394394109E-06i</v>
      </c>
      <c r="U56" s="17">
        <f t="shared" si="44"/>
        <v>1.0000000000011338</v>
      </c>
      <c r="V56" s="17">
        <f t="shared" si="45"/>
        <v>1.505723943939952E-6</v>
      </c>
      <c r="W56" s="31" t="str">
        <f t="shared" si="35"/>
        <v>1-0.00244171450368824i</v>
      </c>
      <c r="X56" s="17">
        <f t="shared" si="46"/>
        <v>1.0000029809804156</v>
      </c>
      <c r="Y56" s="17">
        <f t="shared" si="47"/>
        <v>-2.4417096512296217E-3</v>
      </c>
      <c r="Z56" s="31" t="str">
        <f t="shared" si="36"/>
        <v>0.999999769824025+0.0148663095347186i</v>
      </c>
      <c r="AA56" s="17">
        <f t="shared" si="48"/>
        <v>1.0001102673242013</v>
      </c>
      <c r="AB56" s="17">
        <f t="shared" si="49"/>
        <v>1.486521791408823E-2</v>
      </c>
      <c r="AC56" s="66" t="str">
        <f t="shared" si="50"/>
        <v>3379.78122910615-2469.11071225859i</v>
      </c>
      <c r="AD56" s="64">
        <f t="shared" si="51"/>
        <v>72.43519944047587</v>
      </c>
      <c r="AE56" s="61">
        <f t="shared" si="52"/>
        <v>-36.150123819566815</v>
      </c>
      <c r="AF56" s="31" t="str">
        <f t="shared" si="37"/>
        <v>-1.39902068552014E-06</v>
      </c>
      <c r="AG56" s="31" t="str">
        <f t="shared" si="38"/>
        <v>4.98411204987424E-06i</v>
      </c>
      <c r="AH56" s="31">
        <f t="shared" si="53"/>
        <v>4.9841120498742399E-6</v>
      </c>
      <c r="AI56" s="31">
        <f t="shared" si="54"/>
        <v>1.5707963267948966</v>
      </c>
      <c r="AJ56" s="31" t="str">
        <f t="shared" si="39"/>
        <v>1+0.000360028976185492i</v>
      </c>
      <c r="AK56" s="31">
        <f t="shared" si="55"/>
        <v>1.0000000648104297</v>
      </c>
      <c r="AL56" s="31">
        <f t="shared" si="56"/>
        <v>3.6002896062973762E-4</v>
      </c>
      <c r="AM56" s="31" t="str">
        <f t="shared" si="40"/>
        <v>1+0.175079973301498i</v>
      </c>
      <c r="AN56" s="31">
        <f t="shared" si="57"/>
        <v>1.0152108140929417</v>
      </c>
      <c r="AO56" s="31">
        <f t="shared" si="58"/>
        <v>0.17332326229504122</v>
      </c>
      <c r="AP56" s="58" t="str">
        <f t="shared" si="59"/>
        <v>-0.0490431960906858+0.280713731121022i</v>
      </c>
      <c r="AQ56" s="49">
        <f t="shared" si="60"/>
        <v>-10.90414908644625</v>
      </c>
      <c r="AR56" s="61">
        <f t="shared" si="61"/>
        <v>99.910063280998244</v>
      </c>
      <c r="AS56" s="58" t="str">
        <f t="shared" si="62"/>
        <v>527.358007026321+1069.84408002609i</v>
      </c>
      <c r="AT56" s="64">
        <f t="shared" si="63"/>
        <v>61.531050354029617</v>
      </c>
      <c r="AU56" s="61">
        <f t="shared" si="64"/>
        <v>63.759939461431379</v>
      </c>
    </row>
    <row r="57" spans="1:48" x14ac:dyDescent="0.4">
      <c r="N57" s="10">
        <v>39</v>
      </c>
      <c r="O57" s="50">
        <f t="shared" si="41"/>
        <v>24.547089156850316</v>
      </c>
      <c r="P57" s="48" t="str">
        <f t="shared" si="32"/>
        <v>5120.19230769231</v>
      </c>
      <c r="Q57" s="17" t="str">
        <f t="shared" si="33"/>
        <v>1+0.720746925223401i</v>
      </c>
      <c r="R57" s="17">
        <f t="shared" si="42"/>
        <v>1.2326703250338213</v>
      </c>
      <c r="S57" s="17">
        <f t="shared" si="43"/>
        <v>0.62451479475183258</v>
      </c>
      <c r="T57" s="17" t="str">
        <f t="shared" si="34"/>
        <v>1+1.54079676014425E-06i</v>
      </c>
      <c r="U57" s="17">
        <f t="shared" si="44"/>
        <v>1.0000000000011871</v>
      </c>
      <c r="V57" s="17">
        <f t="shared" si="45"/>
        <v>1.5407967601430307E-6</v>
      </c>
      <c r="W57" s="31" t="str">
        <f t="shared" si="35"/>
        <v>1-0.00249858934077445i</v>
      </c>
      <c r="X57" s="17">
        <f t="shared" si="46"/>
        <v>1.0000031214694751</v>
      </c>
      <c r="Y57" s="17">
        <f t="shared" si="47"/>
        <v>-2.498584141272239E-3</v>
      </c>
      <c r="Z57" s="31" t="str">
        <f t="shared" si="36"/>
        <v>0.999999758976166+0.015212590367954i</v>
      </c>
      <c r="AA57" s="17">
        <f t="shared" si="48"/>
        <v>1.0001154637631062</v>
      </c>
      <c r="AB57" s="17">
        <f t="shared" si="49"/>
        <v>1.5211420682667868E-2</v>
      </c>
      <c r="AC57" s="66" t="str">
        <f t="shared" si="50"/>
        <v>3325.80054977255-2487.71633816982i</v>
      </c>
      <c r="AD57" s="64">
        <f t="shared" si="51"/>
        <v>72.36781090090814</v>
      </c>
      <c r="AE57" s="61">
        <f t="shared" si="52"/>
        <v>-36.796682233175567</v>
      </c>
      <c r="AF57" s="31" t="str">
        <f t="shared" si="37"/>
        <v>-1.39902068552014E-06</v>
      </c>
      <c r="AG57" s="31" t="str">
        <f t="shared" si="38"/>
        <v>5.10020693337838E-06i</v>
      </c>
      <c r="AH57" s="31">
        <f t="shared" si="53"/>
        <v>5.1002069333783802E-6</v>
      </c>
      <c r="AI57" s="31">
        <f t="shared" si="54"/>
        <v>1.5707963267948966</v>
      </c>
      <c r="AJ57" s="31" t="str">
        <f t="shared" si="39"/>
        <v>1+0.000368415128348628i</v>
      </c>
      <c r="AK57" s="31">
        <f t="shared" si="55"/>
        <v>1.0000000678648511</v>
      </c>
      <c r="AL57" s="31">
        <f t="shared" si="56"/>
        <v>3.6841511168033688E-4</v>
      </c>
      <c r="AM57" s="31" t="str">
        <f t="shared" si="40"/>
        <v>1+0.179158109768124i</v>
      </c>
      <c r="AN57" s="31">
        <f t="shared" si="57"/>
        <v>1.0159220581795076</v>
      </c>
      <c r="AO57" s="31">
        <f t="shared" si="58"/>
        <v>0.17727734966117215</v>
      </c>
      <c r="AP57" s="58" t="str">
        <f t="shared" si="59"/>
        <v>-0.0490431957910885+0.274324719690183i</v>
      </c>
      <c r="AQ57" s="49">
        <f t="shared" si="60"/>
        <v>-11.098066017204339</v>
      </c>
      <c r="AR57" s="61">
        <f t="shared" si="61"/>
        <v>100.136135307842</v>
      </c>
      <c r="AS57" s="58" t="str">
        <f t="shared" si="62"/>
        <v>519.334199612519+1034.35486300736i</v>
      </c>
      <c r="AT57" s="64">
        <f t="shared" si="63"/>
        <v>61.269744883703787</v>
      </c>
      <c r="AU57" s="61">
        <f t="shared" si="64"/>
        <v>63.339453074666388</v>
      </c>
    </row>
    <row r="58" spans="1:48" x14ac:dyDescent="0.4">
      <c r="N58" s="10">
        <v>40</v>
      </c>
      <c r="O58" s="50">
        <f t="shared" si="41"/>
        <v>25.118864315095799</v>
      </c>
      <c r="P58" s="48" t="str">
        <f t="shared" si="32"/>
        <v>5120.19230769231</v>
      </c>
      <c r="Q58" s="17" t="str">
        <f t="shared" si="33"/>
        <v>1+0.737535277789009i</v>
      </c>
      <c r="R58" s="17">
        <f t="shared" si="42"/>
        <v>1.2425611799759844</v>
      </c>
      <c r="S58" s="17">
        <f t="shared" si="43"/>
        <v>0.63547584213530273</v>
      </c>
      <c r="T58" s="17" t="str">
        <f t="shared" si="34"/>
        <v>1+1.57668652718451E-06i</v>
      </c>
      <c r="U58" s="17">
        <f t="shared" si="44"/>
        <v>1.000000000001243</v>
      </c>
      <c r="V58" s="17">
        <f t="shared" si="45"/>
        <v>1.5766865271832035E-6</v>
      </c>
      <c r="W58" s="31" t="str">
        <f t="shared" si="35"/>
        <v>1-0.0025567889630019i</v>
      </c>
      <c r="X58" s="17">
        <f t="shared" si="46"/>
        <v>1.0000032685795588</v>
      </c>
      <c r="Y58" s="17">
        <f t="shared" si="47"/>
        <v>-2.5567833916358869E-3</v>
      </c>
      <c r="Z58" s="31" t="str">
        <f t="shared" si="36"/>
        <v>0.999999747617062+0.0155669371179651i</v>
      </c>
      <c r="AA58" s="17">
        <f t="shared" si="48"/>
        <v>1.0001209050736928</v>
      </c>
      <c r="AB58" s="17">
        <f t="shared" si="49"/>
        <v>1.5565683785783073E-2</v>
      </c>
      <c r="AC58" s="66" t="str">
        <f t="shared" si="50"/>
        <v>3271.0281387135-2505.26510066342i</v>
      </c>
      <c r="AD58" s="64">
        <f t="shared" si="51"/>
        <v>72.298348116356422</v>
      </c>
      <c r="AE58" s="61">
        <f t="shared" si="52"/>
        <v>-37.44833428302146</v>
      </c>
      <c r="AF58" s="31" t="str">
        <f t="shared" si="37"/>
        <v>-1.39902068552014E-06</v>
      </c>
      <c r="AG58" s="31" t="str">
        <f t="shared" si="38"/>
        <v>5.21900601410781E-06i</v>
      </c>
      <c r="AH58" s="31">
        <f t="shared" si="53"/>
        <v>5.2190060141078099E-6</v>
      </c>
      <c r="AI58" s="31">
        <f t="shared" si="54"/>
        <v>1.5707963267948966</v>
      </c>
      <c r="AJ58" s="31" t="str">
        <f t="shared" si="39"/>
        <v>1+0.000376996619089367i</v>
      </c>
      <c r="AK58" s="31">
        <f t="shared" si="55"/>
        <v>1.0000000710632229</v>
      </c>
      <c r="AL58" s="31">
        <f t="shared" si="56"/>
        <v>3.7699660122897139E-4</v>
      </c>
      <c r="AM58" s="31" t="str">
        <f t="shared" si="40"/>
        <v>1+0.183331238235988i</v>
      </c>
      <c r="AN58" s="31">
        <f t="shared" si="57"/>
        <v>1.0166662888643159</v>
      </c>
      <c r="AO58" s="31">
        <f t="shared" si="58"/>
        <v>0.18131774743206103</v>
      </c>
      <c r="AP58" s="58" t="str">
        <f t="shared" si="59"/>
        <v>-0.0490431954773719+0.268081158856832i</v>
      </c>
      <c r="AQ58" s="49">
        <f t="shared" si="60"/>
        <v>-11.291705380867469</v>
      </c>
      <c r="AR58" s="61">
        <f t="shared" si="61"/>
        <v>100.36714136453489</v>
      </c>
      <c r="AS58" s="58" t="str">
        <f t="shared" si="62"/>
        <v>511.192699010517+999.767220134095i</v>
      </c>
      <c r="AT58" s="64">
        <f t="shared" si="63"/>
        <v>61.006642735488953</v>
      </c>
      <c r="AU58" s="61">
        <f t="shared" si="64"/>
        <v>62.918807081513449</v>
      </c>
    </row>
    <row r="59" spans="1:48" x14ac:dyDescent="0.4">
      <c r="N59" s="10">
        <v>41</v>
      </c>
      <c r="O59" s="50">
        <f t="shared" si="41"/>
        <v>25.703957827688647</v>
      </c>
      <c r="P59" s="48" t="str">
        <f t="shared" si="32"/>
        <v>5120.19230769231</v>
      </c>
      <c r="Q59" s="17" t="str">
        <f t="shared" si="33"/>
        <v>1+0.754714681321331i</v>
      </c>
      <c r="R59" s="17">
        <f t="shared" si="42"/>
        <v>1.2528344863556231</v>
      </c>
      <c r="S59" s="17">
        <f t="shared" si="43"/>
        <v>0.64651168265257541</v>
      </c>
      <c r="T59" s="17" t="str">
        <f t="shared" si="34"/>
        <v>1+1.61341227429138E-06i</v>
      </c>
      <c r="U59" s="17">
        <f t="shared" si="44"/>
        <v>1.0000000000013016</v>
      </c>
      <c r="V59" s="17">
        <f t="shared" si="45"/>
        <v>1.61341227428998E-6</v>
      </c>
      <c r="W59" s="31" t="str">
        <f t="shared" si="35"/>
        <v>1-0.00261634422858061i</v>
      </c>
      <c r="X59" s="17">
        <f t="shared" si="46"/>
        <v>1.0000034226227041</v>
      </c>
      <c r="Y59" s="17">
        <f t="shared" si="47"/>
        <v>-2.6163382587554738E-3</v>
      </c>
      <c r="Z59" s="31" t="str">
        <f t="shared" si="36"/>
        <v>0.999999735722621+0.0159295376640888i</v>
      </c>
      <c r="AA59" s="17">
        <f t="shared" si="48"/>
        <v>1.000126602793618</v>
      </c>
      <c r="AB59" s="17">
        <f t="shared" si="49"/>
        <v>1.5928194703641322E-2</v>
      </c>
      <c r="AC59" s="66" t="str">
        <f t="shared" si="50"/>
        <v>3215.50577122231-2521.7155936855i</v>
      </c>
      <c r="AD59" s="64">
        <f t="shared" si="51"/>
        <v>72.226781605288849</v>
      </c>
      <c r="AE59" s="61">
        <f t="shared" si="52"/>
        <v>-38.104821851966534</v>
      </c>
      <c r="AF59" s="31" t="str">
        <f t="shared" si="37"/>
        <v>-1.39902068552014E-06</v>
      </c>
      <c r="AG59" s="31" t="str">
        <f t="shared" si="38"/>
        <v>5.34057228090763E-06i</v>
      </c>
      <c r="AH59" s="31">
        <f t="shared" si="53"/>
        <v>5.3405722809076301E-6</v>
      </c>
      <c r="AI59" s="31">
        <f t="shared" si="54"/>
        <v>1.5707963267948966</v>
      </c>
      <c r="AJ59" s="31" t="str">
        <f t="shared" si="39"/>
        <v>1+0.000385777998427685i</v>
      </c>
      <c r="AK59" s="31">
        <f t="shared" si="55"/>
        <v>1.0000000744123294</v>
      </c>
      <c r="AL59" s="31">
        <f t="shared" si="56"/>
        <v>3.8577797928992635E-4</v>
      </c>
      <c r="AM59" s="31" t="str">
        <f t="shared" si="40"/>
        <v>1+0.187601571353039i</v>
      </c>
      <c r="AN59" s="31">
        <f t="shared" si="57"/>
        <v>1.0174450105898252</v>
      </c>
      <c r="AO59" s="31">
        <f t="shared" si="58"/>
        <v>0.18544606995010257</v>
      </c>
      <c r="AP59" s="58" t="str">
        <f t="shared" si="59"/>
        <v>-0.04904319514887+0.261979738202367i</v>
      </c>
      <c r="AQ59" s="49">
        <f t="shared" si="60"/>
        <v>-11.485054946633479</v>
      </c>
      <c r="AR59" s="61">
        <f t="shared" si="61"/>
        <v>100.60317368538635</v>
      </c>
      <c r="AS59" s="58" t="str">
        <f t="shared" si="62"/>
        <v>502.93971401418+966.070350104087i</v>
      </c>
      <c r="AT59" s="64">
        <f t="shared" si="63"/>
        <v>60.741726658655359</v>
      </c>
      <c r="AU59" s="61">
        <f t="shared" si="64"/>
        <v>62.498351833419825</v>
      </c>
    </row>
    <row r="60" spans="1:48" x14ac:dyDescent="0.4">
      <c r="N60" s="10">
        <v>42</v>
      </c>
      <c r="O60" s="50">
        <f t="shared" si="41"/>
        <v>26.302679918953825</v>
      </c>
      <c r="P60" s="48" t="str">
        <f t="shared" si="32"/>
        <v>5120.19230769231</v>
      </c>
      <c r="Q60" s="17" t="str">
        <f t="shared" si="33"/>
        <v>1+0.772294244567519i</v>
      </c>
      <c r="R60" s="17">
        <f t="shared" si="42"/>
        <v>1.2635024337895495</v>
      </c>
      <c r="S60" s="17">
        <f t="shared" si="43"/>
        <v>0.65761741560391551</v>
      </c>
      <c r="T60" s="17" t="str">
        <f t="shared" si="34"/>
        <v>1+1.65099347394212E-06i</v>
      </c>
      <c r="U60" s="17">
        <f t="shared" si="44"/>
        <v>1.0000000000013629</v>
      </c>
      <c r="V60" s="17">
        <f t="shared" si="45"/>
        <v>1.6509934739406198E-6</v>
      </c>
      <c r="W60" s="31" t="str">
        <f t="shared" si="35"/>
        <v>1-0.00267728671450073i</v>
      </c>
      <c r="X60" s="17">
        <f t="shared" si="46"/>
        <v>1.0000035839256536</v>
      </c>
      <c r="Y60" s="17">
        <f t="shared" si="47"/>
        <v>-2.6772803177190856E-3</v>
      </c>
      <c r="Z60" s="31" t="str">
        <f t="shared" si="36"/>
        <v>0.999999723267612+0.0163005842619344i</v>
      </c>
      <c r="AA60" s="17">
        <f t="shared" si="48"/>
        <v>1.0001325690040201</v>
      </c>
      <c r="AB60" s="17">
        <f t="shared" si="49"/>
        <v>1.6299145264190344E-2</v>
      </c>
      <c r="AC60" s="66" t="str">
        <f t="shared" si="50"/>
        <v>3159.27798509518-2537.02834085274i</v>
      </c>
      <c r="AD60" s="64">
        <f t="shared" si="51"/>
        <v>72.153083526249205</v>
      </c>
      <c r="AE60" s="61">
        <f t="shared" si="52"/>
        <v>-38.765876949534459</v>
      </c>
      <c r="AF60" s="31" t="str">
        <f t="shared" si="37"/>
        <v>-1.39902068552014E-06</v>
      </c>
      <c r="AG60" s="31" t="str">
        <f t="shared" si="38"/>
        <v>5.46497018982162E-06i</v>
      </c>
      <c r="AH60" s="31">
        <f t="shared" si="53"/>
        <v>5.4649701898216198E-6</v>
      </c>
      <c r="AI60" s="31">
        <f t="shared" si="54"/>
        <v>1.5707963267948966</v>
      </c>
      <c r="AJ60" s="31" t="str">
        <f t="shared" si="39"/>
        <v>1+0.000394763922367145i</v>
      </c>
      <c r="AK60" s="31">
        <f t="shared" si="55"/>
        <v>1.0000000779192741</v>
      </c>
      <c r="AL60" s="31">
        <f t="shared" si="56"/>
        <v>3.9476390186066727E-4</v>
      </c>
      <c r="AM60" s="31" t="str">
        <f t="shared" si="40"/>
        <v>1+0.191971373306423i</v>
      </c>
      <c r="AN60" s="31">
        <f t="shared" si="57"/>
        <v>1.0182597940452889</v>
      </c>
      <c r="AO60" s="31">
        <f t="shared" si="58"/>
        <v>0.18966394295762562</v>
      </c>
      <c r="AP60" s="58" t="str">
        <f t="shared" si="59"/>
        <v>-0.0490431948048865+0.256017222672799i</v>
      </c>
      <c r="AQ60" s="49">
        <f t="shared" si="60"/>
        <v>-11.678101985152844</v>
      </c>
      <c r="AR60" s="61">
        <f t="shared" si="61"/>
        <v>100.84432515180119</v>
      </c>
      <c r="AS60" s="58" t="str">
        <f t="shared" si="62"/>
        <v>494.581864001486+933.253550541344i</v>
      </c>
      <c r="AT60" s="64">
        <f t="shared" si="63"/>
        <v>60.474981541096369</v>
      </c>
      <c r="AU60" s="61">
        <f t="shared" si="64"/>
        <v>62.078448202266728</v>
      </c>
    </row>
    <row r="61" spans="1:48" ht="15.9" x14ac:dyDescent="0.45">
      <c r="A61" s="51" t="s">
        <v>215</v>
      </c>
      <c r="N61" s="10">
        <v>43</v>
      </c>
      <c r="O61" s="50">
        <f t="shared" si="41"/>
        <v>26.915348039269158</v>
      </c>
      <c r="P61" s="48" t="str">
        <f t="shared" si="32"/>
        <v>5120.19230769231</v>
      </c>
      <c r="Q61" s="17" t="str">
        <f t="shared" si="33"/>
        <v>1+0.790283288444703i</v>
      </c>
      <c r="R61" s="17">
        <f t="shared" si="42"/>
        <v>1.2745774499790012</v>
      </c>
      <c r="S61" s="17">
        <f t="shared" si="43"/>
        <v>0.6687879718503652</v>
      </c>
      <c r="T61" s="17" t="str">
        <f t="shared" si="34"/>
        <v>1+1.68945005218623E-06i</v>
      </c>
      <c r="U61" s="17">
        <f t="shared" si="44"/>
        <v>1.0000000000014271</v>
      </c>
      <c r="V61" s="17">
        <f t="shared" si="45"/>
        <v>1.6894500521846226E-6</v>
      </c>
      <c r="W61" s="31" t="str">
        <f t="shared" si="35"/>
        <v>1-0.00273964873327497i</v>
      </c>
      <c r="X61" s="17">
        <f t="shared" si="46"/>
        <v>1.000003752830549</v>
      </c>
      <c r="Y61" s="17">
        <f t="shared" si="47"/>
        <v>-2.7396418790013363E-3</v>
      </c>
      <c r="Z61" s="31" t="str">
        <f t="shared" si="36"/>
        <v>0.999999710225616+0.0166802736453195i</v>
      </c>
      <c r="AA61" s="17">
        <f t="shared" si="48"/>
        <v>1.0001388163551093</v>
      </c>
      <c r="AB61" s="17">
        <f t="shared" si="49"/>
        <v>1.6678731743014926E-2</v>
      </c>
      <c r="AC61" s="66" t="str">
        <f t="shared" si="50"/>
        <v>3102.39197057064-2551.16601384108i</v>
      </c>
      <c r="AD61" s="64">
        <f t="shared" si="51"/>
        <v>72.077227780867389</v>
      </c>
      <c r="AE61" s="61">
        <f t="shared" si="52"/>
        <v>-39.431222231332043</v>
      </c>
      <c r="AF61" s="31" t="str">
        <f t="shared" si="37"/>
        <v>-1.39902068552014E-06</v>
      </c>
      <c r="AG61" s="31" t="str">
        <f t="shared" si="38"/>
        <v>5.59226569826769E-06i</v>
      </c>
      <c r="AH61" s="31">
        <f t="shared" si="53"/>
        <v>5.59226569826769E-6</v>
      </c>
      <c r="AI61" s="31">
        <f t="shared" si="54"/>
        <v>1.5707963267948966</v>
      </c>
      <c r="AJ61" s="31" t="str">
        <f t="shared" si="39"/>
        <v>1+0.000403959155363564i</v>
      </c>
      <c r="AK61" s="31">
        <f t="shared" si="55"/>
        <v>1.0000000815914962</v>
      </c>
      <c r="AL61" s="31">
        <f t="shared" si="56"/>
        <v>4.0395913339047728E-4</v>
      </c>
      <c r="AM61" s="31" t="str">
        <f t="shared" si="40"/>
        <v>1+0.196442961022976i</v>
      </c>
      <c r="AN61" s="31">
        <f t="shared" si="57"/>
        <v>1.0191122788660112</v>
      </c>
      <c r="AO61" s="31">
        <f t="shared" si="58"/>
        <v>0.19397300223233388</v>
      </c>
      <c r="AP61" s="58" t="str">
        <f t="shared" si="59"/>
        <v>-0.0490431944446917+0.250190450863466i</v>
      </c>
      <c r="AQ61" s="49">
        <f t="shared" si="60"/>
        <v>-11.870833251955869</v>
      </c>
      <c r="AR61" s="61">
        <f t="shared" si="61"/>
        <v>101.09068921395541</v>
      </c>
      <c r="AS61" s="58" t="str">
        <f t="shared" si="62"/>
        <v>486.126162574105+901.306176749762i</v>
      </c>
      <c r="AT61" s="64">
        <f t="shared" si="63"/>
        <v>60.206394528911517</v>
      </c>
      <c r="AU61" s="61">
        <f t="shared" si="64"/>
        <v>61.659466982623371</v>
      </c>
    </row>
    <row r="62" spans="1:48" x14ac:dyDescent="0.4">
      <c r="A62" t="s">
        <v>180</v>
      </c>
      <c r="N62" s="10">
        <v>44</v>
      </c>
      <c r="O62" s="50">
        <f t="shared" si="41"/>
        <v>27.542287033381665</v>
      </c>
      <c r="P62" s="48" t="str">
        <f t="shared" si="32"/>
        <v>5120.19230769231</v>
      </c>
      <c r="Q62" s="17" t="str">
        <f t="shared" si="33"/>
        <v>1+0.808691350982056i</v>
      </c>
      <c r="R62" s="17">
        <f t="shared" si="42"/>
        <v>1.2860721990437329</v>
      </c>
      <c r="S62" s="17">
        <f t="shared" si="43"/>
        <v>0.68001812370645154</v>
      </c>
      <c r="T62" s="17" t="str">
        <f t="shared" si="34"/>
        <v>1+1.72880239921053E-06i</v>
      </c>
      <c r="U62" s="17">
        <f t="shared" si="44"/>
        <v>1.0000000000014944</v>
      </c>
      <c r="V62" s="17">
        <f t="shared" si="45"/>
        <v>1.7288023992088078E-6</v>
      </c>
      <c r="W62" s="31" t="str">
        <f t="shared" si="35"/>
        <v>1-0.00280346335007113i</v>
      </c>
      <c r="X62" s="17">
        <f t="shared" si="46"/>
        <v>1.0000039296956564</v>
      </c>
      <c r="Y62" s="17">
        <f t="shared" si="47"/>
        <v>-2.8034560055861667E-3</v>
      </c>
      <c r="Z62" s="31" t="str">
        <f t="shared" si="36"/>
        <v>0.99999969656897+0.0170688071305808i</v>
      </c>
      <c r="AA62" s="17">
        <f t="shared" si="48"/>
        <v>1.0001453580929589</v>
      </c>
      <c r="AB62" s="17">
        <f t="shared" si="49"/>
        <v>1.7067154965463117E-2</v>
      </c>
      <c r="AC62" s="66" t="str">
        <f t="shared" si="50"/>
        <v>3044.89744010858-2564.09364385963i</v>
      </c>
      <c r="AD62" s="64">
        <f t="shared" si="51"/>
        <v>71.999190112280388</v>
      </c>
      <c r="AE62" s="61">
        <f t="shared" si="52"/>
        <v>-40.100571572691123</v>
      </c>
      <c r="AF62" s="31" t="str">
        <f t="shared" si="37"/>
        <v>-1.39902068552014E-06</v>
      </c>
      <c r="AG62" s="31" t="str">
        <f t="shared" si="38"/>
        <v>5.72252630000937E-06i</v>
      </c>
      <c r="AH62" s="31">
        <f t="shared" si="53"/>
        <v>5.7225263000093698E-6</v>
      </c>
      <c r="AI62" s="31">
        <f t="shared" si="54"/>
        <v>1.5707963267948966</v>
      </c>
      <c r="AJ62" s="31" t="str">
        <f t="shared" si="39"/>
        <v>1+0.000413368572851189i</v>
      </c>
      <c r="AK62" s="31">
        <f t="shared" si="55"/>
        <v>1.000000085436785</v>
      </c>
      <c r="AL62" s="31">
        <f t="shared" si="56"/>
        <v>4.1336854930660254E-4</v>
      </c>
      <c r="AM62" s="31" t="str">
        <f t="shared" si="40"/>
        <v>1+0.201018705397693i</v>
      </c>
      <c r="AN62" s="31">
        <f t="shared" si="57"/>
        <v>1.0200041764227068</v>
      </c>
      <c r="AO62" s="31">
        <f t="shared" si="58"/>
        <v>0.19837489210161682</v>
      </c>
      <c r="AP62" s="58" t="str">
        <f t="shared" si="59"/>
        <v>-0.0490431940675213+0.244496333342831i</v>
      </c>
      <c r="AQ62" s="49">
        <f t="shared" si="60"/>
        <v>-12.063234970683705</v>
      </c>
      <c r="AR62" s="61">
        <f t="shared" si="61"/>
        <v>101.342359805527</v>
      </c>
      <c r="AS62" s="58" t="str">
        <f t="shared" si="62"/>
        <v>477.579998200394+870.217601694626i</v>
      </c>
      <c r="AT62" s="64">
        <f t="shared" si="63"/>
        <v>59.935955141596679</v>
      </c>
      <c r="AU62" s="61">
        <f t="shared" si="64"/>
        <v>61.241788232835908</v>
      </c>
    </row>
    <row r="63" spans="1:48" x14ac:dyDescent="0.4">
      <c r="A63" t="s">
        <v>178</v>
      </c>
      <c r="B63" s="3">
        <f>RFBT</f>
        <v>30000000</v>
      </c>
      <c r="C63" s="2" t="s">
        <v>35</v>
      </c>
      <c r="E63" t="s">
        <v>181</v>
      </c>
      <c r="N63" s="10">
        <v>45</v>
      </c>
      <c r="O63" s="50">
        <f t="shared" si="41"/>
        <v>28.183829312644548</v>
      </c>
      <c r="P63" s="48" t="str">
        <f t="shared" si="32"/>
        <v>5120.19230769231</v>
      </c>
      <c r="Q63" s="17" t="str">
        <f t="shared" si="33"/>
        <v>1+0.827528192377993i</v>
      </c>
      <c r="R63" s="17">
        <f t="shared" si="42"/>
        <v>1.2979995798074777</v>
      </c>
      <c r="S63" s="17">
        <f t="shared" si="43"/>
        <v>0.69130249574163627</v>
      </c>
      <c r="T63" s="17" t="str">
        <f t="shared" si="34"/>
        <v>1+1.76907138015029E-06i</v>
      </c>
      <c r="U63" s="17">
        <f t="shared" si="44"/>
        <v>1.000000000001565</v>
      </c>
      <c r="V63" s="17">
        <f t="shared" si="45"/>
        <v>1.7690713801484445E-6</v>
      </c>
      <c r="W63" s="31" t="str">
        <f t="shared" si="35"/>
        <v>1-0.00286876440024371i</v>
      </c>
      <c r="X63" s="17">
        <f t="shared" si="46"/>
        <v>1.0000041148961258</v>
      </c>
      <c r="Y63" s="17">
        <f t="shared" si="47"/>
        <v>-2.8687565304880338E-3</v>
      </c>
      <c r="Z63" s="31" t="str">
        <f t="shared" si="36"/>
        <v>0.999999682268706+0.0174663907233151i</v>
      </c>
      <c r="AA63" s="17">
        <f t="shared" si="48"/>
        <v>1.0001522080875551</v>
      </c>
      <c r="AB63" s="17">
        <f t="shared" si="49"/>
        <v>1.7464620411046641E-2</v>
      </c>
      <c r="AC63" s="66" t="str">
        <f t="shared" si="50"/>
        <v>2986.84647846377-2575.77882408704i</v>
      </c>
      <c r="AD63" s="64">
        <f t="shared" si="51"/>
        <v>71.91894819820331</v>
      </c>
      <c r="AE63" s="61">
        <f t="shared" si="52"/>
        <v>-40.77363069453115</v>
      </c>
      <c r="AF63" s="31" t="str">
        <f t="shared" si="37"/>
        <v>-1.39902068552014E-06</v>
      </c>
      <c r="AG63" s="31" t="str">
        <f t="shared" si="38"/>
        <v>0.0000058558210609419i</v>
      </c>
      <c r="AH63" s="31">
        <f t="shared" si="53"/>
        <v>5.8558210609419003E-6</v>
      </c>
      <c r="AI63" s="31">
        <f t="shared" si="54"/>
        <v>1.5707963267948966</v>
      </c>
      <c r="AJ63" s="31" t="str">
        <f t="shared" si="39"/>
        <v>1+0.000422997163827718i</v>
      </c>
      <c r="AK63" s="31">
        <f t="shared" si="55"/>
        <v>1.0000000894632963</v>
      </c>
      <c r="AL63" s="31">
        <f t="shared" si="56"/>
        <v>4.2299713859923917E-4</v>
      </c>
      <c r="AM63" s="31" t="str">
        <f t="shared" si="40"/>
        <v>1+0.205701032550808i</v>
      </c>
      <c r="AN63" s="31">
        <f t="shared" si="57"/>
        <v>1.0209372727021326</v>
      </c>
      <c r="AO63" s="31">
        <f t="shared" si="58"/>
        <v>0.20287126382941384</v>
      </c>
      <c r="AP63" s="58" t="str">
        <f t="shared" si="59"/>
        <v>-0.0490431936725752+0.238931851014409i</v>
      </c>
      <c r="AQ63" s="49">
        <f t="shared" si="60"/>
        <v>-12.255292816161704</v>
      </c>
      <c r="AR63" s="61">
        <f t="shared" si="61"/>
        <v>101.59943125112265</v>
      </c>
      <c r="AS63" s="58" t="str">
        <f t="shared" si="62"/>
        <v>468.951111929286+839.977177522636i</v>
      </c>
      <c r="AT63" s="64">
        <f t="shared" si="63"/>
        <v>59.663655382041597</v>
      </c>
      <c r="AU63" s="61">
        <f t="shared" si="64"/>
        <v>60.825800556591503</v>
      </c>
    </row>
    <row r="64" spans="1:48" x14ac:dyDescent="0.4">
      <c r="A64" t="s">
        <v>179</v>
      </c>
      <c r="B64" s="3">
        <f>RFBB</f>
        <v>21000</v>
      </c>
      <c r="C64" s="2" t="s">
        <v>35</v>
      </c>
      <c r="E64" t="s">
        <v>182</v>
      </c>
      <c r="N64" s="10">
        <v>46</v>
      </c>
      <c r="O64" s="50">
        <f t="shared" si="41"/>
        <v>28.840315031266066</v>
      </c>
      <c r="P64" s="48" t="str">
        <f t="shared" si="32"/>
        <v>5120.19230769231</v>
      </c>
      <c r="Q64" s="17" t="str">
        <f t="shared" si="33"/>
        <v>1+0.846803800175161i</v>
      </c>
      <c r="R64" s="17">
        <f t="shared" si="42"/>
        <v>1.3103727240717025</v>
      </c>
      <c r="S64" s="17">
        <f t="shared" si="43"/>
        <v>0.70263557644623276</v>
      </c>
      <c r="T64" s="17" t="str">
        <f t="shared" si="34"/>
        <v>1+1.81027834615223E-06i</v>
      </c>
      <c r="U64" s="17">
        <f t="shared" si="44"/>
        <v>1.0000000000016387</v>
      </c>
      <c r="V64" s="17">
        <f t="shared" si="45"/>
        <v>1.8102783461502527E-6</v>
      </c>
      <c r="W64" s="31" t="str">
        <f t="shared" si="35"/>
        <v>1-0.00293558650727389i</v>
      </c>
      <c r="X64" s="17">
        <f t="shared" si="46"/>
        <v>1.0000043088247879</v>
      </c>
      <c r="Y64" s="17">
        <f t="shared" si="47"/>
        <v>-2.9355780746807181E-3</v>
      </c>
      <c r="Z64" s="31" t="str">
        <f t="shared" si="36"/>
        <v>0.999999667294492+0.0178732352276059i</v>
      </c>
      <c r="AA64" s="17">
        <f t="shared" si="48"/>
        <v>1.0001593808621685</v>
      </c>
      <c r="AB64" s="17">
        <f t="shared" si="49"/>
        <v>1.7871338320159628E-2</v>
      </c>
      <c r="AC64" s="66" t="str">
        <f t="shared" si="50"/>
        <v>2928.29337376059-2586.19190097389i</v>
      </c>
      <c r="AD64" s="64">
        <f t="shared" si="51"/>
        <v>71.836481737911186</v>
      </c>
      <c r="AE64" s="61">
        <f t="shared" si="52"/>
        <v>-41.45009783890773</v>
      </c>
      <c r="AF64" s="31" t="str">
        <f t="shared" si="37"/>
        <v>-1.39902068552014E-06</v>
      </c>
      <c r="AG64" s="31" t="str">
        <f t="shared" si="38"/>
        <v>5.99222065571189E-06i</v>
      </c>
      <c r="AH64" s="31">
        <f t="shared" si="53"/>
        <v>5.9922206557118897E-6</v>
      </c>
      <c r="AI64" s="31">
        <f t="shared" si="54"/>
        <v>1.5707963267948966</v>
      </c>
      <c r="AJ64" s="31" t="str">
        <f t="shared" si="39"/>
        <v>1+0.000432850033499538i</v>
      </c>
      <c r="AK64" s="31">
        <f t="shared" si="55"/>
        <v>1.0000000936795714</v>
      </c>
      <c r="AL64" s="31">
        <f t="shared" si="56"/>
        <v>4.3285000646673603E-4</v>
      </c>
      <c r="AM64" s="31" t="str">
        <f t="shared" si="40"/>
        <v>1+0.210492425114157i</v>
      </c>
      <c r="AN64" s="31">
        <f t="shared" si="57"/>
        <v>1.0219134312799882</v>
      </c>
      <c r="AO64" s="31">
        <f t="shared" si="58"/>
        <v>0.20746377386922701</v>
      </c>
      <c r="AP64" s="58" t="str">
        <f t="shared" si="59"/>
        <v>-0.049043193259016+0.233494053516019i</v>
      </c>
      <c r="AQ64" s="49">
        <f t="shared" si="60"/>
        <v>-12.446991897353861</v>
      </c>
      <c r="AR64" s="61">
        <f t="shared" si="61"/>
        <v>101.8619981660304</v>
      </c>
      <c r="AS64" s="58" t="str">
        <f t="shared" si="62"/>
        <v>460.247572280256+810.574198927824i</v>
      </c>
      <c r="AT64" s="64">
        <f t="shared" si="63"/>
        <v>59.389489840557339</v>
      </c>
      <c r="AU64" s="61">
        <f t="shared" si="64"/>
        <v>60.411900327122687</v>
      </c>
    </row>
    <row r="65" spans="1:47" x14ac:dyDescent="0.4">
      <c r="A65" t="s">
        <v>168</v>
      </c>
      <c r="B65" s="3">
        <f>RCOMP</f>
        <v>35200</v>
      </c>
      <c r="C65" s="2" t="s">
        <v>35</v>
      </c>
      <c r="E65" s="31" t="s">
        <v>175</v>
      </c>
      <c r="N65" s="10">
        <v>47</v>
      </c>
      <c r="O65" s="50">
        <f t="shared" si="41"/>
        <v>29.512092266663863</v>
      </c>
      <c r="P65" s="48" t="str">
        <f t="shared" si="32"/>
        <v>5120.19230769231</v>
      </c>
      <c r="Q65" s="17" t="str">
        <f t="shared" si="33"/>
        <v>1+0.866528394555953i</v>
      </c>
      <c r="R65" s="17">
        <f t="shared" si="42"/>
        <v>1.3232049949164026</v>
      </c>
      <c r="S65" s="17">
        <f t="shared" si="43"/>
        <v>0.71401173070844637</v>
      </c>
      <c r="T65" s="17" t="str">
        <f t="shared" si="34"/>
        <v>1+1.85244514569517E-06i</v>
      </c>
      <c r="U65" s="17">
        <f t="shared" si="44"/>
        <v>1.0000000000017157</v>
      </c>
      <c r="V65" s="17">
        <f t="shared" si="45"/>
        <v>1.8524451456930511E-6</v>
      </c>
      <c r="W65" s="31" t="str">
        <f t="shared" si="35"/>
        <v>1-0.0030039651011273i</v>
      </c>
      <c r="X65" s="17">
        <f t="shared" si="46"/>
        <v>1.0000045118929859</v>
      </c>
      <c r="Y65" s="17">
        <f t="shared" si="47"/>
        <v>-3.0039560654431248E-3</v>
      </c>
      <c r="Z65" s="31" t="str">
        <f t="shared" si="36"/>
        <v>0.999999651614564+0.0182895563577946i</v>
      </c>
      <c r="AA65" s="17">
        <f t="shared" si="48"/>
        <v>1.0001668916241</v>
      </c>
      <c r="AB65" s="17">
        <f t="shared" si="49"/>
        <v>1.8287523803163019E-2</v>
      </c>
      <c r="AC65" s="66" t="str">
        <f t="shared" si="50"/>
        <v>2869.29443052719-2595.30615237499i</v>
      </c>
      <c r="AD65" s="64">
        <f t="shared" si="51"/>
        <v>71.751772532425221</v>
      </c>
      <c r="AE65" s="61">
        <f t="shared" si="52"/>
        <v>-42.129664491195783</v>
      </c>
      <c r="AF65" s="31" t="str">
        <f t="shared" si="37"/>
        <v>-1.39902068552014E-06</v>
      </c>
      <c r="AG65" s="31" t="str">
        <f t="shared" si="38"/>
        <v>6.13179740518997E-06i</v>
      </c>
      <c r="AH65" s="31">
        <f t="shared" si="53"/>
        <v>6.1317974051899701E-6</v>
      </c>
      <c r="AI65" s="31">
        <f t="shared" si="54"/>
        <v>1.5707963267948966</v>
      </c>
      <c r="AJ65" s="31" t="str">
        <f t="shared" si="39"/>
        <v>1+0.000442932405988566i</v>
      </c>
      <c r="AK65" s="31">
        <f t="shared" si="55"/>
        <v>1.0000000980945534</v>
      </c>
      <c r="AL65" s="31">
        <f t="shared" si="56"/>
        <v>4.4293237702239697E-4</v>
      </c>
      <c r="AM65" s="31" t="str">
        <f t="shared" si="40"/>
        <v>1+0.215395423547499i</v>
      </c>
      <c r="AN65" s="31">
        <f t="shared" si="57"/>
        <v>1.0229345963868886</v>
      </c>
      <c r="AO65" s="31">
        <f t="shared" si="58"/>
        <v>0.2121540819767877</v>
      </c>
      <c r="AP65" s="58" t="str">
        <f t="shared" si="59"/>
        <v>-0.0490431928259667+0.228180057655443i</v>
      </c>
      <c r="AQ65" s="49">
        <f t="shared" si="60"/>
        <v>-12.638316740246726</v>
      </c>
      <c r="AR65" s="61">
        <f t="shared" si="61"/>
        <v>102.13015534792937</v>
      </c>
      <c r="AS65" s="58" t="str">
        <f t="shared" si="62"/>
        <v>451.477747451634+781.99786866148i</v>
      </c>
      <c r="AT65" s="64">
        <f t="shared" si="63"/>
        <v>59.113455792178499</v>
      </c>
      <c r="AU65" s="61">
        <f t="shared" si="64"/>
        <v>60.000490856733585</v>
      </c>
    </row>
    <row r="66" spans="1:47" x14ac:dyDescent="0.4">
      <c r="A66" t="s">
        <v>173</v>
      </c>
      <c r="B66" s="3">
        <f>CCOMP</f>
        <v>3.3000000000000004E-8</v>
      </c>
      <c r="C66" s="2" t="s">
        <v>151</v>
      </c>
      <c r="E66" s="31" t="s">
        <v>176</v>
      </c>
      <c r="N66" s="10">
        <v>48</v>
      </c>
      <c r="O66" s="50">
        <f t="shared" si="41"/>
        <v>30.199517204020164</v>
      </c>
      <c r="P66" s="48" t="str">
        <f t="shared" si="32"/>
        <v>5120.19230769231</v>
      </c>
      <c r="Q66" s="17" t="str">
        <f t="shared" si="33"/>
        <v>1+0.886712433761399i</v>
      </c>
      <c r="R66" s="17">
        <f t="shared" si="42"/>
        <v>1.3365099850682236</v>
      </c>
      <c r="S66" s="17">
        <f t="shared" si="43"/>
        <v>0.72542521304048868</v>
      </c>
      <c r="T66" s="17" t="str">
        <f t="shared" si="34"/>
        <v>1+1.89559413617437E-06i</v>
      </c>
      <c r="U66" s="17">
        <f t="shared" si="44"/>
        <v>1.0000000000017968</v>
      </c>
      <c r="V66" s="17">
        <f t="shared" si="45"/>
        <v>1.8955941361720995E-6</v>
      </c>
      <c r="W66" s="31" t="str">
        <f t="shared" si="35"/>
        <v>1-0.00307393643703952i</v>
      </c>
      <c r="X66" s="17">
        <f t="shared" si="46"/>
        <v>1.000004724531449</v>
      </c>
      <c r="Y66" s="17">
        <f t="shared" si="47"/>
        <v>-3.0739267551319603E-3</v>
      </c>
      <c r="Z66" s="31" t="str">
        <f t="shared" si="36"/>
        <v>0.999999635195664+0.0187155748528551i</v>
      </c>
      <c r="AA66" s="17">
        <f t="shared" si="48"/>
        <v>1.0001747562968852</v>
      </c>
      <c r="AB66" s="17">
        <f t="shared" si="49"/>
        <v>1.8713396951880356E-2</v>
      </c>
      <c r="AC66" s="66" t="str">
        <f t="shared" si="50"/>
        <v>2809.90776589308-2603.09795056855i</v>
      </c>
      <c r="AD66" s="64">
        <f t="shared" si="51"/>
        <v>71.664804557237261</v>
      </c>
      <c r="AE66" s="61">
        <f t="shared" si="52"/>
        <v>-42.812016145352061</v>
      </c>
      <c r="AF66" s="31" t="str">
        <f t="shared" si="37"/>
        <v>-1.39902068552014E-06</v>
      </c>
      <c r="AG66" s="31" t="str">
        <f t="shared" si="38"/>
        <v>0.0000062746253148162i</v>
      </c>
      <c r="AH66" s="31">
        <f t="shared" si="53"/>
        <v>6.2746253148162003E-6</v>
      </c>
      <c r="AI66" s="31">
        <f t="shared" si="54"/>
        <v>1.5707963267948966</v>
      </c>
      <c r="AJ66" s="31" t="str">
        <f t="shared" si="39"/>
        <v>1+0.000453249627102154i</v>
      </c>
      <c r="AK66" s="31">
        <f t="shared" si="55"/>
        <v>1.0000001027176069</v>
      </c>
      <c r="AL66" s="31">
        <f t="shared" si="56"/>
        <v>4.5324959606434482E-4</v>
      </c>
      <c r="AM66" s="31" t="str">
        <f t="shared" si="40"/>
        <v>1+0.2204126274855i</v>
      </c>
      <c r="AN66" s="31">
        <f t="shared" si="57"/>
        <v>1.0240027960679903</v>
      </c>
      <c r="AO66" s="31">
        <f t="shared" si="58"/>
        <v>0.21694384917584514</v>
      </c>
      <c r="AP66" s="58" t="str">
        <f t="shared" si="59"/>
        <v>-0.049043192372508+0.222987045881739i</v>
      </c>
      <c r="AQ66" s="49">
        <f t="shared" si="60"/>
        <v>-12.829251270711408</v>
      </c>
      <c r="AR66" s="61">
        <f t="shared" si="61"/>
        <v>102.40399766017813</v>
      </c>
      <c r="AS66" s="58" t="str">
        <f t="shared" si="62"/>
        <v>442.650275026392+754.23726547087i</v>
      </c>
      <c r="AT66" s="64">
        <f t="shared" si="63"/>
        <v>58.835553286525844</v>
      </c>
      <c r="AU66" s="61">
        <f t="shared" si="64"/>
        <v>59.591981514826074</v>
      </c>
    </row>
    <row r="67" spans="1:47" x14ac:dyDescent="0.4">
      <c r="A67" t="s">
        <v>174</v>
      </c>
      <c r="B67" s="3">
        <f>CHF</f>
        <v>6.7999999999999998E-11</v>
      </c>
      <c r="C67" s="2" t="s">
        <v>151</v>
      </c>
      <c r="E67" s="31" t="s">
        <v>177</v>
      </c>
      <c r="N67" s="10">
        <v>49</v>
      </c>
      <c r="O67" s="50">
        <f t="shared" si="41"/>
        <v>30.902954325135919</v>
      </c>
      <c r="P67" s="48" t="str">
        <f t="shared" si="32"/>
        <v>5120.19230769231</v>
      </c>
      <c r="Q67" s="17" t="str">
        <f t="shared" si="33"/>
        <v>1+0.907366619636251i</v>
      </c>
      <c r="R67" s="17">
        <f t="shared" si="42"/>
        <v>1.3503015153772573</v>
      </c>
      <c r="S67" s="17">
        <f t="shared" si="43"/>
        <v>0.73687018148339412</v>
      </c>
      <c r="T67" s="17" t="str">
        <f t="shared" si="34"/>
        <v>1+1.93974819575572E-06i</v>
      </c>
      <c r="U67" s="17">
        <f t="shared" si="44"/>
        <v>1.0000000000018812</v>
      </c>
      <c r="V67" s="17">
        <f t="shared" si="45"/>
        <v>1.9397481957532874E-6</v>
      </c>
      <c r="W67" s="31" t="str">
        <f t="shared" si="35"/>
        <v>1-0.003145537614739i</v>
      </c>
      <c r="X67" s="17">
        <f t="shared" si="46"/>
        <v>1.0000049471912056</v>
      </c>
      <c r="Y67" s="17">
        <f t="shared" si="47"/>
        <v>-3.1455272403909107E-3</v>
      </c>
      <c r="Z67" s="31" t="str">
        <f t="shared" si="36"/>
        <v>0.999999618002966+0.0191515165934326i</v>
      </c>
      <c r="AA67" s="17">
        <f t="shared" si="48"/>
        <v>1.0001829915539988</v>
      </c>
      <c r="AB67" s="17">
        <f t="shared" si="49"/>
        <v>1.914918295355238E-2</v>
      </c>
      <c r="AC67" s="66" t="str">
        <f t="shared" si="50"/>
        <v>2750.19309038976-2609.54690834598i</v>
      </c>
      <c r="AD67" s="64">
        <f t="shared" si="51"/>
        <v>71.575564026956926</v>
      </c>
      <c r="AE67" s="61">
        <f t="shared" si="52"/>
        <v>-43.496833108232842</v>
      </c>
      <c r="AF67" s="31" t="str">
        <f t="shared" si="37"/>
        <v>-1.39902068552014E-06</v>
      </c>
      <c r="AG67" s="31" t="str">
        <f t="shared" si="38"/>
        <v>6.42078011383884E-06i</v>
      </c>
      <c r="AH67" s="31">
        <f t="shared" si="53"/>
        <v>6.4207801138388402E-6</v>
      </c>
      <c r="AI67" s="31">
        <f t="shared" si="54"/>
        <v>1.5707963267948966</v>
      </c>
      <c r="AJ67" s="31" t="str">
        <f t="shared" si="39"/>
        <v>1+0.000463807167167498i</v>
      </c>
      <c r="AK67" s="31">
        <f t="shared" si="55"/>
        <v>1.0000001075585383</v>
      </c>
      <c r="AL67" s="31">
        <f t="shared" si="56"/>
        <v>4.6380713390988649E-4</v>
      </c>
      <c r="AM67" s="31" t="str">
        <f t="shared" si="40"/>
        <v>1+0.2255466971161i</v>
      </c>
      <c r="AN67" s="31">
        <f t="shared" si="57"/>
        <v>1.0251201454366126</v>
      </c>
      <c r="AO67" s="31">
        <f t="shared" si="58"/>
        <v>0.22183473557052805</v>
      </c>
      <c r="AP67" s="58" t="str">
        <f t="shared" si="59"/>
        <v>-0.0490431918976784+0.217912264791324i</v>
      </c>
      <c r="AQ67" s="49">
        <f t="shared" si="60"/>
        <v>-13.019778797403186</v>
      </c>
      <c r="AR67" s="61">
        <f t="shared" si="61"/>
        <v>102.68361990631084</v>
      </c>
      <c r="AS67" s="58" t="str">
        <f t="shared" si="62"/>
        <v>433.774029389216+727.281314732288i</v>
      </c>
      <c r="AT67" s="64">
        <f t="shared" si="63"/>
        <v>58.555785229553749</v>
      </c>
      <c r="AU67" s="61">
        <f t="shared" si="64"/>
        <v>59.186786798077982</v>
      </c>
    </row>
    <row r="68" spans="1:47" x14ac:dyDescent="0.4">
      <c r="N68" s="10">
        <v>50</v>
      </c>
      <c r="O68" s="50">
        <f t="shared" si="41"/>
        <v>31.622776601683803</v>
      </c>
      <c r="P68" s="48" t="str">
        <f t="shared" si="32"/>
        <v>5120.19230769231</v>
      </c>
      <c r="Q68" s="17" t="str">
        <f t="shared" si="33"/>
        <v>1+0.928501903303251i</v>
      </c>
      <c r="R68" s="17">
        <f t="shared" si="42"/>
        <v>1.3645936334446822</v>
      </c>
      <c r="S68" s="17">
        <f t="shared" si="43"/>
        <v>0.74834071211260378</v>
      </c>
      <c r="T68" s="17" t="str">
        <f t="shared" si="34"/>
        <v>1+1.98493073550606E-06i</v>
      </c>
      <c r="U68" s="17">
        <f t="shared" si="44"/>
        <v>1.00000000000197</v>
      </c>
      <c r="V68" s="17">
        <f t="shared" si="45"/>
        <v>1.9849307355034531E-6</v>
      </c>
      <c r="W68" s="31" t="str">
        <f t="shared" si="35"/>
        <v>1-0.00321880659811794i</v>
      </c>
      <c r="X68" s="17">
        <f t="shared" si="46"/>
        <v>1.00000518034454</v>
      </c>
      <c r="Y68" s="17">
        <f t="shared" si="47"/>
        <v>-3.2187954818067932E-3</v>
      </c>
      <c r="Z68" s="31" t="str">
        <f t="shared" si="36"/>
        <v>0.9999996+0.0195976127216081i</v>
      </c>
      <c r="AA68" s="17">
        <f t="shared" si="48"/>
        <v>1.000191614854147</v>
      </c>
      <c r="AB68" s="17">
        <f t="shared" si="49"/>
        <v>1.9595112207297122E-2</v>
      </c>
      <c r="AC68" s="66" t="str">
        <f t="shared" si="50"/>
        <v>2690.21147501492-2614.63600651436i</v>
      </c>
      <c r="AD68" s="64">
        <f t="shared" si="51"/>
        <v>71.4840394513257</v>
      </c>
      <c r="AE68" s="61">
        <f t="shared" si="52"/>
        <v>-44.183791338499631</v>
      </c>
      <c r="AF68" s="31" t="str">
        <f t="shared" si="37"/>
        <v>-1.39902068552014E-06</v>
      </c>
      <c r="AG68" s="31" t="str">
        <f t="shared" si="38"/>
        <v>6.57033929546691E-06i</v>
      </c>
      <c r="AH68" s="31">
        <f t="shared" si="53"/>
        <v>6.5703392954669103E-6</v>
      </c>
      <c r="AI68" s="31">
        <f t="shared" si="54"/>
        <v>1.5707963267948966</v>
      </c>
      <c r="AJ68" s="31" t="str">
        <f t="shared" si="39"/>
        <v>1+0.000474610623932089i</v>
      </c>
      <c r="AK68" s="31">
        <f t="shared" si="55"/>
        <v>1.0000001126276159</v>
      </c>
      <c r="AL68" s="31">
        <f t="shared" si="56"/>
        <v>4.7461058829591641E-4</v>
      </c>
      <c r="AM68" s="31" t="str">
        <f t="shared" si="40"/>
        <v>1+0.230800354590975i</v>
      </c>
      <c r="AN68" s="31">
        <f t="shared" si="57"/>
        <v>1.0262888500219223</v>
      </c>
      <c r="AO68" s="31">
        <f t="shared" si="58"/>
        <v>0.2268283979977323</v>
      </c>
      <c r="AP68" s="58" t="str">
        <f t="shared" si="59"/>
        <v>-0.0490431914004711+0.212953023668092i</v>
      </c>
      <c r="AQ68" s="49">
        <f t="shared" si="60"/>
        <v>-13.209881994759661</v>
      </c>
      <c r="AR68" s="61">
        <f t="shared" si="61"/>
        <v>102.96911669536217</v>
      </c>
      <c r="AS68" s="58" t="str">
        <f t="shared" si="62"/>
        <v>424.858087101798+701.118762021072i</v>
      </c>
      <c r="AT68" s="64">
        <f t="shared" si="63"/>
        <v>58.27415745656603</v>
      </c>
      <c r="AU68" s="61">
        <f t="shared" si="64"/>
        <v>58.785325356862515</v>
      </c>
    </row>
    <row r="69" spans="1:47" x14ac:dyDescent="0.4">
      <c r="A69" t="s">
        <v>218</v>
      </c>
      <c r="B69" s="1">
        <f>-(RFBB*gm_ea)/(RFBB+RFBT)</f>
        <v>-1.3990206855201359E-6</v>
      </c>
      <c r="C69" t="s">
        <v>144</v>
      </c>
      <c r="N69" s="10">
        <v>51</v>
      </c>
      <c r="O69" s="50">
        <f t="shared" si="41"/>
        <v>32.359365692962832</v>
      </c>
      <c r="P69" s="48" t="str">
        <f t="shared" si="32"/>
        <v>5120.19230769231</v>
      </c>
      <c r="Q69" s="17" t="str">
        <f t="shared" si="33"/>
        <v>1+0.950129490969559i</v>
      </c>
      <c r="R69" s="17">
        <f t="shared" si="42"/>
        <v>1.3794006124437068</v>
      </c>
      <c r="S69" s="17">
        <f t="shared" si="43"/>
        <v>0.75983081405945641</v>
      </c>
      <c r="T69" s="17" t="str">
        <f t="shared" si="34"/>
        <v>1+2.03116571180604E-06i</v>
      </c>
      <c r="U69" s="17">
        <f t="shared" si="44"/>
        <v>1.0000000000020628</v>
      </c>
      <c r="V69" s="17">
        <f t="shared" si="45"/>
        <v>2.0311657118032468E-6</v>
      </c>
      <c r="W69" s="31" t="str">
        <f t="shared" si="35"/>
        <v>1-0.00329378223536113i</v>
      </c>
      <c r="X69" s="17">
        <f t="shared" si="46"/>
        <v>1.0000054244859944</v>
      </c>
      <c r="Y69" s="17">
        <f t="shared" si="47"/>
        <v>-3.2937703240226227E-3</v>
      </c>
      <c r="Z69" s="31" t="str">
        <f t="shared" si="36"/>
        <v>0.999999581148581+0.0200540997634537i</v>
      </c>
      <c r="AA69" s="17">
        <f t="shared" si="48"/>
        <v>1.0002006444782268</v>
      </c>
      <c r="AB69" s="17">
        <f t="shared" si="49"/>
        <v>2.0051420443124749E-2</v>
      </c>
      <c r="AC69" s="66" t="str">
        <f t="shared" si="50"/>
        <v>2630.02510642072-2618.35170134178i</v>
      </c>
      <c r="AD69" s="64">
        <f t="shared" si="51"/>
        <v>71.39022168210785</v>
      </c>
      <c r="AE69" s="61">
        <f t="shared" si="52"/>
        <v>-44.872563315258951</v>
      </c>
      <c r="AF69" s="31" t="str">
        <f t="shared" si="37"/>
        <v>-1.39902068552014E-06</v>
      </c>
      <c r="AG69" s="31" t="str">
        <f t="shared" si="38"/>
        <v>6.72338215795816E-06i</v>
      </c>
      <c r="AH69" s="31">
        <f t="shared" si="53"/>
        <v>6.7233821579581597E-6</v>
      </c>
      <c r="AI69" s="31">
        <f t="shared" si="54"/>
        <v>1.5707963267948966</v>
      </c>
      <c r="AJ69" s="31" t="str">
        <f t="shared" si="39"/>
        <v>1+0.000485665725531702i</v>
      </c>
      <c r="AK69" s="31">
        <f t="shared" si="55"/>
        <v>1.0000001179355915</v>
      </c>
      <c r="AL69" s="31">
        <f t="shared" si="56"/>
        <v>4.8566568734685541E-4</v>
      </c>
      <c r="AM69" s="31" t="str">
        <f t="shared" si="40"/>
        <v>1+0.236176385468858i</v>
      </c>
      <c r="AN69" s="31">
        <f t="shared" si="57"/>
        <v>1.0275112092104566</v>
      </c>
      <c r="AO69" s="31">
        <f t="shared" si="58"/>
        <v>0.23192648751309006</v>
      </c>
      <c r="AP69" s="58" t="str">
        <f t="shared" si="59"/>
        <v>-0.049043190879831+0.208106693056751i</v>
      </c>
      <c r="AQ69" s="49">
        <f t="shared" si="60"/>
        <v>-13.39954288616838</v>
      </c>
      <c r="AR69" s="61">
        <f t="shared" si="61"/>
        <v>103.26058229765439</v>
      </c>
      <c r="AS69" s="58" t="str">
        <f t="shared" si="62"/>
        <v>415.911690512816+675.738149832881i</v>
      </c>
      <c r="AT69" s="64">
        <f t="shared" si="63"/>
        <v>57.990678795939459</v>
      </c>
      <c r="AU69" s="61">
        <f t="shared" si="64"/>
        <v>58.388018982395486</v>
      </c>
    </row>
    <row r="70" spans="1:47" x14ac:dyDescent="0.4">
      <c r="A70" t="s">
        <v>217</v>
      </c>
      <c r="B70" s="1">
        <f>1/(RCOMP*CCOMP)</f>
        <v>860.88154269972449</v>
      </c>
      <c r="E70" t="s">
        <v>230</v>
      </c>
      <c r="N70" s="10">
        <v>52</v>
      </c>
      <c r="O70" s="50">
        <f t="shared" si="41"/>
        <v>33.113112148259127</v>
      </c>
      <c r="P70" s="48" t="str">
        <f t="shared" si="32"/>
        <v>5120.19230769231</v>
      </c>
      <c r="Q70" s="17" t="str">
        <f t="shared" si="33"/>
        <v>1+0.972260849868433i</v>
      </c>
      <c r="R70" s="17">
        <f t="shared" si="42"/>
        <v>1.3947369501762286</v>
      </c>
      <c r="S70" s="17">
        <f t="shared" si="43"/>
        <v>0.77133444495777226</v>
      </c>
      <c r="T70" s="17" t="str">
        <f t="shared" si="34"/>
        <v>1+2.07847763905207E-06i</v>
      </c>
      <c r="U70" s="17">
        <f t="shared" si="44"/>
        <v>1.00000000000216</v>
      </c>
      <c r="V70" s="17">
        <f t="shared" si="45"/>
        <v>2.0784776390490771E-6</v>
      </c>
      <c r="W70" s="31" t="str">
        <f t="shared" si="35"/>
        <v>1-0.0033705042795439i</v>
      </c>
      <c r="X70" s="17">
        <f t="shared" si="46"/>
        <v>1.0000056801334172</v>
      </c>
      <c r="Y70" s="17">
        <f t="shared" si="47"/>
        <v>-3.3704915163186538E-3</v>
      </c>
      <c r="Z70" s="31" t="str">
        <f t="shared" si="36"/>
        <v>0.999999561408722+0.0205212197544414i</v>
      </c>
      <c r="AA70" s="17">
        <f t="shared" si="48"/>
        <v>1.0002100995680092</v>
      </c>
      <c r="AB70" s="17">
        <f t="shared" si="49"/>
        <v>2.0518348843553427E-2</v>
      </c>
      <c r="AC70" s="66" t="str">
        <f t="shared" si="50"/>
        <v>2569.69703226343-2620.68401069062i</v>
      </c>
      <c r="AD70" s="64">
        <f t="shared" si="51"/>
        <v>71.294103950444139</v>
      </c>
      <c r="AE70" s="61">
        <f t="shared" si="52"/>
        <v>-45.562818931232208</v>
      </c>
      <c r="AF70" s="31" t="str">
        <f t="shared" si="37"/>
        <v>-1.39902068552014E-06</v>
      </c>
      <c r="AG70" s="31" t="str">
        <f t="shared" si="38"/>
        <v>6.87998984666404E-06i</v>
      </c>
      <c r="AH70" s="31">
        <f t="shared" si="53"/>
        <v>6.8799898466640399E-6</v>
      </c>
      <c r="AI70" s="31">
        <f t="shared" si="54"/>
        <v>1.5707963267948966</v>
      </c>
      <c r="AJ70" s="31" t="str">
        <f t="shared" si="39"/>
        <v>1+0.000496978333527541i</v>
      </c>
      <c r="AK70" s="31">
        <f t="shared" si="55"/>
        <v>1.0000001234937244</v>
      </c>
      <c r="AL70" s="31">
        <f t="shared" si="56"/>
        <v>4.9697829261174096E-4</v>
      </c>
      <c r="AM70" s="31" t="str">
        <f t="shared" si="40"/>
        <v>1+0.241677640192481i</v>
      </c>
      <c r="AN70" s="31">
        <f t="shared" si="57"/>
        <v>1.0287896197809376</v>
      </c>
      <c r="AO70" s="31">
        <f t="shared" si="58"/>
        <v>0.23713064670417797</v>
      </c>
      <c r="AP70" s="58" t="str">
        <f t="shared" si="59"/>
        <v>-0.0490431903346539+0.203370703368664i</v>
      </c>
      <c r="AQ70" s="49">
        <f t="shared" si="60"/>
        <v>-13.588742827378258</v>
      </c>
      <c r="AR70" s="61">
        <f t="shared" si="61"/>
        <v>103.55811049068092</v>
      </c>
      <c r="AS70" s="58" t="str">
        <f t="shared" si="62"/>
        <v>406.944209905472+651.127797639067i</v>
      </c>
      <c r="AT70" s="64">
        <f t="shared" si="63"/>
        <v>57.705361123065884</v>
      </c>
      <c r="AU70" s="61">
        <f t="shared" si="64"/>
        <v>57.995291559448738</v>
      </c>
    </row>
    <row r="71" spans="1:47" x14ac:dyDescent="0.4">
      <c r="A71" t="s">
        <v>222</v>
      </c>
      <c r="B71" s="1">
        <f>(CCOMP+CHF)</f>
        <v>3.3068000000000002E-8</v>
      </c>
      <c r="E71" t="s">
        <v>231</v>
      </c>
      <c r="N71" s="10">
        <v>53</v>
      </c>
      <c r="O71" s="50">
        <f t="shared" si="41"/>
        <v>33.884415613920268</v>
      </c>
      <c r="P71" s="48" t="str">
        <f t="shared" si="32"/>
        <v>5120.19230769231</v>
      </c>
      <c r="Q71" s="17" t="str">
        <f t="shared" si="33"/>
        <v>1+0.994907714339294i</v>
      </c>
      <c r="R71" s="17">
        <f t="shared" si="42"/>
        <v>1.4106173684071235</v>
      </c>
      <c r="S71" s="17">
        <f t="shared" si="43"/>
        <v>0.78284552671970542</v>
      </c>
      <c r="T71" s="17" t="str">
        <f t="shared" si="34"/>
        <v>1+2.12689160265422E-06i</v>
      </c>
      <c r="U71" s="17">
        <f t="shared" si="44"/>
        <v>1.0000000000022617</v>
      </c>
      <c r="V71" s="17">
        <f t="shared" si="45"/>
        <v>2.1268916026510127E-6</v>
      </c>
      <c r="W71" s="31" t="str">
        <f t="shared" si="35"/>
        <v>1-0.00344901340970955i</v>
      </c>
      <c r="X71" s="17">
        <f t="shared" si="46"/>
        <v>1.0000059478290619</v>
      </c>
      <c r="Y71" s="17">
        <f t="shared" si="47"/>
        <v>-3.4489997336716945E-3</v>
      </c>
      <c r="Z71" s="31" t="str">
        <f t="shared" si="36"/>
        <v>0.999999540738551+0.0209992203677732i</v>
      </c>
      <c r="AA71" s="17">
        <f t="shared" si="48"/>
        <v>1.000220000166647</v>
      </c>
      <c r="AB71" s="17">
        <f t="shared" si="49"/>
        <v>2.0996144167875617E-2</v>
      </c>
      <c r="AC71" s="66" t="str">
        <f t="shared" si="50"/>
        <v>2509.29089889935-2621.6265778224i</v>
      </c>
      <c r="AD71" s="64">
        <f t="shared" si="51"/>
        <v>71.195681894333546</v>
      </c>
      <c r="AE71" s="61">
        <f t="shared" si="52"/>
        <v>-46.254226404971341</v>
      </c>
      <c r="AF71" s="31" t="str">
        <f t="shared" si="37"/>
        <v>-1.39902068552014E-06</v>
      </c>
      <c r="AG71" s="31" t="str">
        <f t="shared" si="38"/>
        <v>7.04024539705405E-06i</v>
      </c>
      <c r="AH71" s="31">
        <f t="shared" si="53"/>
        <v>7.0402453970540502E-6</v>
      </c>
      <c r="AI71" s="31">
        <f t="shared" si="54"/>
        <v>1.5707963267948966</v>
      </c>
      <c r="AJ71" s="31" t="str">
        <f t="shared" si="39"/>
        <v>1+0.000508554446014098i</v>
      </c>
      <c r="AK71" s="31">
        <f t="shared" si="55"/>
        <v>1.0000001293138039</v>
      </c>
      <c r="AL71" s="31">
        <f t="shared" si="56"/>
        <v>5.0855440217202868E-4</v>
      </c>
      <c r="AM71" s="31" t="str">
        <f t="shared" si="40"/>
        <v>1+0.247307035599915i</v>
      </c>
      <c r="AN71" s="31">
        <f t="shared" si="57"/>
        <v>1.0301265795314756</v>
      </c>
      <c r="AO71" s="31">
        <f t="shared" si="58"/>
        <v>0.24244250682479754</v>
      </c>
      <c r="AP71" s="58" t="str">
        <f t="shared" si="59"/>
        <v>-0.0490431897637835+0.198742543519406i</v>
      </c>
      <c r="AQ71" s="49">
        <f t="shared" si="60"/>
        <v>-13.777462490239706</v>
      </c>
      <c r="AR71" s="61">
        <f t="shared" si="61"/>
        <v>103.86179439473536</v>
      </c>
      <c r="AS71" s="58" t="str">
        <f t="shared" si="62"/>
        <v>397.965104507244+627.275785423276i</v>
      </c>
      <c r="AT71" s="64">
        <f t="shared" si="63"/>
        <v>57.41821940409384</v>
      </c>
      <c r="AU71" s="61">
        <f t="shared" si="64"/>
        <v>57.607567989764043</v>
      </c>
    </row>
    <row r="72" spans="1:47" x14ac:dyDescent="0.4">
      <c r="A72" s="31" t="s">
        <v>223</v>
      </c>
      <c r="B72" s="1">
        <f>(CCOMP+CHF)/(RCOMP*CHF*CCOMP)</f>
        <v>418641.63020580134</v>
      </c>
      <c r="E72" s="31" t="s">
        <v>232</v>
      </c>
      <c r="N72" s="10">
        <v>54</v>
      </c>
      <c r="O72" s="50">
        <f t="shared" si="41"/>
        <v>34.67368504525318</v>
      </c>
      <c r="P72" s="48" t="str">
        <f t="shared" si="32"/>
        <v>5120.19230769231</v>
      </c>
      <c r="Q72" s="17" t="str">
        <f t="shared" si="33"/>
        <v>1+1.01808209204946i</v>
      </c>
      <c r="R72" s="17">
        <f t="shared" si="42"/>
        <v>1.4270568125172189</v>
      </c>
      <c r="S72" s="17">
        <f t="shared" si="43"/>
        <v>0.79435796154118132</v>
      </c>
      <c r="T72" s="17" t="str">
        <f t="shared" si="34"/>
        <v>1+2.17643327233685E-06i</v>
      </c>
      <c r="U72" s="17">
        <f t="shared" si="44"/>
        <v>1.0000000000023683</v>
      </c>
      <c r="V72" s="17">
        <f t="shared" si="45"/>
        <v>2.1764332723334138E-6</v>
      </c>
      <c r="W72" s="31" t="str">
        <f t="shared" si="35"/>
        <v>1-0.00352935125243813i</v>
      </c>
      <c r="X72" s="17">
        <f t="shared" si="46"/>
        <v>1.0000062281407367</v>
      </c>
      <c r="Y72" s="17">
        <f t="shared" si="47"/>
        <v>-3.5293365983044781E-3</v>
      </c>
      <c r="Z72" s="31" t="str">
        <f t="shared" si="36"/>
        <v>0.999999519094226+0.0214883550457016i</v>
      </c>
      <c r="AA72" s="17">
        <f t="shared" si="48"/>
        <v>1.0002303672610893</v>
      </c>
      <c r="AB72" s="17">
        <f t="shared" si="49"/>
        <v>2.1485058879124715E-2</v>
      </c>
      <c r="AC72" s="66" t="str">
        <f t="shared" si="50"/>
        <v>2448.87068372806-2621.17671211515i</v>
      </c>
      <c r="AD72" s="64">
        <f t="shared" si="51"/>
        <v>71.09495357599387</v>
      </c>
      <c r="AE72" s="61">
        <f t="shared" si="52"/>
        <v>-46.94645320641208</v>
      </c>
      <c r="AF72" s="31" t="str">
        <f t="shared" si="37"/>
        <v>-1.39902068552014E-06</v>
      </c>
      <c r="AG72" s="31" t="str">
        <f t="shared" si="38"/>
        <v>7.20423377874225E-06i</v>
      </c>
      <c r="AH72" s="31">
        <f t="shared" si="53"/>
        <v>7.2042337787422498E-6</v>
      </c>
      <c r="AI72" s="31">
        <f t="shared" si="54"/>
        <v>1.5707963267948966</v>
      </c>
      <c r="AJ72" s="31" t="str">
        <f t="shared" si="39"/>
        <v>1+0.000520400200799448i</v>
      </c>
      <c r="AK72" s="31">
        <f t="shared" si="55"/>
        <v>1.0000001354081753</v>
      </c>
      <c r="AL72" s="31">
        <f t="shared" si="56"/>
        <v>5.2040015382182471E-4</v>
      </c>
      <c r="AM72" s="31" t="str">
        <f t="shared" si="40"/>
        <v>1+0.25306755647112i</v>
      </c>
      <c r="AN72" s="31">
        <f t="shared" si="57"/>
        <v>1.0315246909978759</v>
      </c>
      <c r="AO72" s="31">
        <f t="shared" si="58"/>
        <v>0.2478636847444175</v>
      </c>
      <c r="AP72" s="58" t="str">
        <f t="shared" si="59"/>
        <v>-0.0490431891660087+0.194219759597364i</v>
      </c>
      <c r="AQ72" s="49">
        <f t="shared" si="60"/>
        <v>-13.965681846861955</v>
      </c>
      <c r="AR72" s="61">
        <f t="shared" si="61"/>
        <v>104.17172629794436</v>
      </c>
      <c r="AS72" s="58" t="str">
        <f t="shared" si="62"/>
        <v>388.983882704045+604.169940808496i</v>
      </c>
      <c r="AT72" s="64">
        <f t="shared" si="63"/>
        <v>57.129271729131908</v>
      </c>
      <c r="AU72" s="61">
        <f t="shared" si="64"/>
        <v>57.225273091532287</v>
      </c>
    </row>
    <row r="73" spans="1:47" x14ac:dyDescent="0.4">
      <c r="N73" s="10">
        <v>55</v>
      </c>
      <c r="O73" s="50">
        <f t="shared" si="41"/>
        <v>35.481338923357555</v>
      </c>
      <c r="P73" s="48" t="str">
        <f t="shared" si="32"/>
        <v>5120.19230769231</v>
      </c>
      <c r="Q73" s="17" t="str">
        <f t="shared" si="33"/>
        <v>1+1.04179627036074i</v>
      </c>
      <c r="R73" s="17">
        <f t="shared" si="42"/>
        <v>1.4440704515145886</v>
      </c>
      <c r="S73" s="17">
        <f t="shared" si="43"/>
        <v>0.80586564803441196</v>
      </c>
      <c r="T73" s="17" t="str">
        <f t="shared" si="34"/>
        <v>1+2.22712891574897E-06i</v>
      </c>
      <c r="U73" s="17">
        <f t="shared" si="44"/>
        <v>1.00000000000248</v>
      </c>
      <c r="V73" s="17">
        <f t="shared" si="45"/>
        <v>2.227128915745288E-6</v>
      </c>
      <c r="W73" s="31" t="str">
        <f t="shared" si="35"/>
        <v>1-0.00361156040391724i</v>
      </c>
      <c r="X73" s="17">
        <f t="shared" si="46"/>
        <v>1.0000065216630096</v>
      </c>
      <c r="Y73" s="17">
        <f t="shared" si="47"/>
        <v>-3.6115447017356613E-3</v>
      </c>
      <c r="Z73" s="31" t="str">
        <f t="shared" si="36"/>
        <v>0.999999496429835+0.0219888831339072i</v>
      </c>
      <c r="AA73" s="17">
        <f t="shared" si="48"/>
        <v>1.0002412228264741</v>
      </c>
      <c r="AB73" s="17">
        <f t="shared" si="49"/>
        <v>2.1985351273788315E-2</v>
      </c>
      <c r="AC73" s="66" t="str">
        <f t="shared" si="50"/>
        <v>2388.50042456669-2619.33540620623i</v>
      </c>
      <c r="AD73" s="64">
        <f t="shared" si="51"/>
        <v>70.991919488942571</v>
      </c>
      <c r="AE73" s="61">
        <f t="shared" si="52"/>
        <v>-47.639166989892502</v>
      </c>
      <c r="AF73" s="31" t="str">
        <f t="shared" si="37"/>
        <v>-1.39902068552014E-06</v>
      </c>
      <c r="AG73" s="31" t="str">
        <f t="shared" si="38"/>
        <v>7.37204194053923E-06i</v>
      </c>
      <c r="AH73" s="31">
        <f t="shared" si="53"/>
        <v>7.3720419405392296E-6</v>
      </c>
      <c r="AI73" s="31">
        <f t="shared" si="54"/>
        <v>1.5707963267948966</v>
      </c>
      <c r="AJ73" s="31" t="str">
        <f t="shared" si="39"/>
        <v>1+0.000532521878659572i</v>
      </c>
      <c r="AK73" s="31">
        <f t="shared" si="55"/>
        <v>1.0000001417897655</v>
      </c>
      <c r="AL73" s="31">
        <f t="shared" si="56"/>
        <v>5.325218283221421E-4</v>
      </c>
      <c r="AM73" s="31" t="str">
        <f t="shared" si="40"/>
        <v>1+0.258962257110511i</v>
      </c>
      <c r="AN73" s="31">
        <f t="shared" si="57"/>
        <v>1.0329866652613529</v>
      </c>
      <c r="AO73" s="31">
        <f t="shared" si="58"/>
        <v>0.25339577970715643</v>
      </c>
      <c r="AP73" s="58" t="str">
        <f t="shared" si="59"/>
        <v>-0.0490431885400618+0.189799953562634i</v>
      </c>
      <c r="AQ73" s="49">
        <f t="shared" si="60"/>
        <v>-14.153380154286882</v>
      </c>
      <c r="AR73" s="61">
        <f t="shared" si="61"/>
        <v>104.48799747038537</v>
      </c>
      <c r="AS73" s="58" t="str">
        <f t="shared" si="62"/>
        <v>380.010061812864+581.797829843321i</v>
      </c>
      <c r="AT73" s="64">
        <f t="shared" si="63"/>
        <v>56.8385393346557</v>
      </c>
      <c r="AU73" s="61">
        <f t="shared" si="64"/>
        <v>56.84883048049285</v>
      </c>
    </row>
    <row r="74" spans="1:47" x14ac:dyDescent="0.4">
      <c r="N74" s="10">
        <v>56</v>
      </c>
      <c r="O74" s="50">
        <f t="shared" si="41"/>
        <v>36.307805477010156</v>
      </c>
      <c r="P74" s="48" t="str">
        <f t="shared" si="32"/>
        <v>5120.19230769231</v>
      </c>
      <c r="Q74" s="17" t="str">
        <f t="shared" si="33"/>
        <v>1+1.06606282284438i</v>
      </c>
      <c r="R74" s="17">
        <f t="shared" si="42"/>
        <v>1.4616736784422601</v>
      </c>
      <c r="S74" s="17">
        <f t="shared" si="43"/>
        <v>0.81736249738357236</v>
      </c>
      <c r="T74" s="17" t="str">
        <f t="shared" si="34"/>
        <v>1+2.27900541239176E-06i</v>
      </c>
      <c r="U74" s="17">
        <f t="shared" si="44"/>
        <v>1.000000000002597</v>
      </c>
      <c r="V74" s="17">
        <f t="shared" si="45"/>
        <v>2.2790054123878147E-6</v>
      </c>
      <c r="W74" s="31" t="str">
        <f t="shared" si="35"/>
        <v>1-0.00369568445252718i</v>
      </c>
      <c r="X74" s="17">
        <f t="shared" si="46"/>
        <v>1.0000068290184685</v>
      </c>
      <c r="Y74" s="17">
        <f t="shared" si="47"/>
        <v>-3.6956676273426897E-3</v>
      </c>
      <c r="Z74" s="31" t="str">
        <f t="shared" si="36"/>
        <v>0.999999472697305+0.0225010700190078i</v>
      </c>
      <c r="AA74" s="17">
        <f t="shared" si="48"/>
        <v>1.0002525898726224</v>
      </c>
      <c r="AB74" s="17">
        <f t="shared" si="49"/>
        <v>2.2497285614319927E-2</v>
      </c>
      <c r="AC74" s="66" t="str">
        <f t="shared" si="50"/>
        <v>2328.24394848335-2616.1073293548i</v>
      </c>
      <c r="AD74" s="64">
        <f t="shared" si="51"/>
        <v>70.886582554728832</v>
      </c>
      <c r="AE74" s="61">
        <f t="shared" si="52"/>
        <v>-48.332036528690679</v>
      </c>
      <c r="AF74" s="31" t="str">
        <f t="shared" si="37"/>
        <v>-1.39902068552014E-06</v>
      </c>
      <c r="AG74" s="31" t="str">
        <f t="shared" si="38"/>
        <v>7.54375885655361E-06i</v>
      </c>
      <c r="AH74" s="31">
        <f t="shared" si="53"/>
        <v>7.5437588565536101E-6</v>
      </c>
      <c r="AI74" s="31">
        <f t="shared" si="54"/>
        <v>1.5707963267948966</v>
      </c>
      <c r="AJ74" s="31" t="str">
        <f t="shared" si="39"/>
        <v>1+0.000544925906668524i</v>
      </c>
      <c r="AK74" s="31">
        <f t="shared" si="55"/>
        <v>1.0000001484721108</v>
      </c>
      <c r="AL74" s="31">
        <f t="shared" si="56"/>
        <v>5.4492585273099652E-4</v>
      </c>
      <c r="AM74" s="31" t="str">
        <f t="shared" si="40"/>
        <v>1+0.264994262966393i</v>
      </c>
      <c r="AN74" s="31">
        <f t="shared" si="57"/>
        <v>1.0345153258435091</v>
      </c>
      <c r="AO74" s="31">
        <f t="shared" si="58"/>
        <v>0.25904036989509954</v>
      </c>
      <c r="AP74" s="58" t="str">
        <f t="shared" si="59"/>
        <v>-0.0490431878846148+0.18548078197555i</v>
      </c>
      <c r="AQ74" s="49">
        <f t="shared" si="60"/>
        <v>-14.34053593978431</v>
      </c>
      <c r="AR74" s="61">
        <f t="shared" si="61"/>
        <v>104.81069796698785</v>
      </c>
      <c r="AS74" s="58" t="str">
        <f t="shared" si="62"/>
        <v>371.05312777401+560.146751474399i</v>
      </c>
      <c r="AT74" s="64">
        <f t="shared" si="63"/>
        <v>56.546046614944522</v>
      </c>
      <c r="AU74" s="61">
        <f t="shared" si="64"/>
        <v>56.478661438297145</v>
      </c>
    </row>
    <row r="75" spans="1:47" x14ac:dyDescent="0.4">
      <c r="N75" s="10">
        <v>57</v>
      </c>
      <c r="O75" s="50">
        <f t="shared" si="41"/>
        <v>37.15352290971726</v>
      </c>
      <c r="P75" s="48" t="str">
        <f t="shared" si="32"/>
        <v>5120.19230769231</v>
      </c>
      <c r="Q75" s="17" t="str">
        <f t="shared" si="33"/>
        <v>1+1.09089461594769i</v>
      </c>
      <c r="R75" s="17">
        <f t="shared" si="42"/>
        <v>1.479882111218207</v>
      </c>
      <c r="S75" s="17">
        <f t="shared" si="43"/>
        <v>0.82884244941932639</v>
      </c>
      <c r="T75" s="17" t="str">
        <f t="shared" si="34"/>
        <v>1+0.0000023320902678704i</v>
      </c>
      <c r="U75" s="17">
        <f t="shared" si="44"/>
        <v>1.0000000000027192</v>
      </c>
      <c r="V75" s="17">
        <f t="shared" si="45"/>
        <v>2.3320902678661721E-6</v>
      </c>
      <c r="W75" s="31" t="str">
        <f t="shared" si="35"/>
        <v>1-0.003781768001952i</v>
      </c>
      <c r="X75" s="17">
        <f t="shared" si="46"/>
        <v>1.0000071508590429</v>
      </c>
      <c r="Y75" s="17">
        <f t="shared" si="47"/>
        <v>-3.7817499734489669E-3</v>
      </c>
      <c r="Z75" s="31" t="str">
        <f t="shared" si="36"/>
        <v>0.999999447846294+0.0230251872692692i</v>
      </c>
      <c r="AA75" s="17">
        <f t="shared" si="48"/>
        <v>1.0002644924926996</v>
      </c>
      <c r="AB75" s="17">
        <f t="shared" si="49"/>
        <v>2.3021132264496057E-2</v>
      </c>
      <c r="AC75" s="66" t="str">
        <f t="shared" si="50"/>
        <v>2268.16460252781-2611.50079710358i</v>
      </c>
      <c r="AD75" s="64">
        <f t="shared" si="51"/>
        <v>70.77894810934356</v>
      </c>
      <c r="AE75" s="61">
        <f t="shared" si="52"/>
        <v>-49.024732645103235</v>
      </c>
      <c r="AF75" s="31" t="str">
        <f t="shared" si="37"/>
        <v>-1.39902068552014E-06</v>
      </c>
      <c r="AG75" s="31" t="str">
        <f t="shared" si="38"/>
        <v>7.71947557336718E-06i</v>
      </c>
      <c r="AH75" s="31">
        <f t="shared" si="53"/>
        <v>7.7194755733671792E-6</v>
      </c>
      <c r="AI75" s="31">
        <f t="shared" si="54"/>
        <v>1.5707963267948966</v>
      </c>
      <c r="AJ75" s="31" t="str">
        <f t="shared" si="39"/>
        <v>1+0.000557618861606137i</v>
      </c>
      <c r="AK75" s="31">
        <f t="shared" si="55"/>
        <v>1.0000001554693854</v>
      </c>
      <c r="AL75" s="31">
        <f t="shared" si="56"/>
        <v>5.5761880381103549E-4</v>
      </c>
      <c r="AM75" s="31" t="str">
        <f t="shared" si="40"/>
        <v>1+0.271166772288114i</v>
      </c>
      <c r="AN75" s="31">
        <f t="shared" si="57"/>
        <v>1.0361136126859611</v>
      </c>
      <c r="AO75" s="31">
        <f t="shared" si="58"/>
        <v>0.26479900879119561</v>
      </c>
      <c r="AP75" s="58" t="str">
        <f t="shared" si="59"/>
        <v>-0.0490431871982778+0.181259954754164i</v>
      </c>
      <c r="AQ75" s="49">
        <f t="shared" si="60"/>
        <v>-14.527126986882701</v>
      </c>
      <c r="AR75" s="61">
        <f t="shared" si="61"/>
        <v>105.13991641894762</v>
      </c>
      <c r="AS75" s="58" t="str">
        <f t="shared" si="62"/>
        <v>362.122495125179+539.20373568999i</v>
      </c>
      <c r="AT75" s="64">
        <f t="shared" si="63"/>
        <v>56.251821122460861</v>
      </c>
      <c r="AU75" s="61">
        <f t="shared" si="64"/>
        <v>56.115183773844436</v>
      </c>
    </row>
    <row r="76" spans="1:47" x14ac:dyDescent="0.4">
      <c r="N76" s="10">
        <v>58</v>
      </c>
      <c r="O76" s="50">
        <f t="shared" si="41"/>
        <v>38.018939632056139</v>
      </c>
      <c r="P76" s="48" t="str">
        <f t="shared" si="32"/>
        <v>5120.19230769231</v>
      </c>
      <c r="Q76" s="17" t="str">
        <f t="shared" si="33"/>
        <v>1+1.11630481581608i</v>
      </c>
      <c r="R76" s="17">
        <f t="shared" si="42"/>
        <v>1.4987115939413336</v>
      </c>
      <c r="S76" s="17">
        <f t="shared" si="43"/>
        <v>0.84029948850901448</v>
      </c>
      <c r="T76" s="17" t="str">
        <f t="shared" si="34"/>
        <v>1+2.38641162847793E-06i</v>
      </c>
      <c r="U76" s="17">
        <f t="shared" si="44"/>
        <v>1.0000000000028475</v>
      </c>
      <c r="V76" s="17">
        <f t="shared" si="45"/>
        <v>2.3864116284733995E-6</v>
      </c>
      <c r="W76" s="31" t="str">
        <f t="shared" si="35"/>
        <v>1-0.00386985669482906i</v>
      </c>
      <c r="X76" s="17">
        <f t="shared" si="46"/>
        <v>1.0000074878673852</v>
      </c>
      <c r="Y76" s="17">
        <f t="shared" si="47"/>
        <v>-3.8698373769478277E-3</v>
      </c>
      <c r="Z76" s="31" t="str">
        <f t="shared" si="36"/>
        <v>0.999999421824092+0.0235615127785952i</v>
      </c>
      <c r="AA76" s="17">
        <f t="shared" si="48"/>
        <v>1.0002769559141778</v>
      </c>
      <c r="AB76" s="17">
        <f t="shared" si="49"/>
        <v>2.3557167827670335E-2</v>
      </c>
      <c r="AC76" s="66" t="str">
        <f t="shared" si="50"/>
        <v>2208.32498876625-2605.52771760274i</v>
      </c>
      <c r="AD76" s="64">
        <f t="shared" si="51"/>
        <v>70.669023879422554</v>
      </c>
      <c r="AE76" s="61">
        <f t="shared" si="52"/>
        <v>-49.716929130161652</v>
      </c>
      <c r="AF76" s="31" t="str">
        <f t="shared" si="37"/>
        <v>-1.39902068552014E-06</v>
      </c>
      <c r="AG76" s="31" t="str">
        <f t="shared" si="38"/>
        <v>0.0000078992852583091i</v>
      </c>
      <c r="AH76" s="31">
        <f t="shared" si="53"/>
        <v>7.8992852583091005E-6</v>
      </c>
      <c r="AI76" s="31">
        <f t="shared" si="54"/>
        <v>1.5707963267948966</v>
      </c>
      <c r="AJ76" s="31" t="str">
        <f t="shared" si="39"/>
        <v>1+0.000570607473445131i</v>
      </c>
      <c r="AK76" s="31">
        <f t="shared" si="55"/>
        <v>1.000000162796431</v>
      </c>
      <c r="AL76" s="31">
        <f t="shared" si="56"/>
        <v>5.7060741151656452E-4</v>
      </c>
      <c r="AM76" s="31" t="str">
        <f t="shared" si="40"/>
        <v>1+0.277483057821818i</v>
      </c>
      <c r="AN76" s="31">
        <f t="shared" si="57"/>
        <v>1.0377845862114865</v>
      </c>
      <c r="AO76" s="31">
        <f t="shared" si="58"/>
        <v>0.27067322133755745</v>
      </c>
      <c r="AP76" s="58" t="str">
        <f t="shared" si="59"/>
        <v>-0.0490431864795944+0.177135233960012i</v>
      </c>
      <c r="AQ76" s="49">
        <f t="shared" si="60"/>
        <v>-14.713130322257753</v>
      </c>
      <c r="AR76" s="61">
        <f t="shared" si="61"/>
        <v>105.47573981341364</v>
      </c>
      <c r="AS76" s="58" t="str">
        <f t="shared" si="62"/>
        <v>353.227467615246+518.955545276994i</v>
      </c>
      <c r="AT76" s="64">
        <f t="shared" si="63"/>
        <v>55.955893557164814</v>
      </c>
      <c r="AU76" s="61">
        <f t="shared" si="64"/>
        <v>55.758810683252008</v>
      </c>
    </row>
    <row r="77" spans="1:47" x14ac:dyDescent="0.4">
      <c r="N77" s="10">
        <v>59</v>
      </c>
      <c r="O77" s="50">
        <f t="shared" si="41"/>
        <v>38.904514499428053</v>
      </c>
      <c r="P77" s="48" t="str">
        <f t="shared" si="32"/>
        <v>5120.19230769231</v>
      </c>
      <c r="Q77" s="17" t="str">
        <f t="shared" si="33"/>
        <v>1+1.14230689527385i</v>
      </c>
      <c r="R77" s="17">
        <f t="shared" si="42"/>
        <v>1.5181781986941396</v>
      </c>
      <c r="S77" s="17">
        <f t="shared" si="43"/>
        <v>0.85172765916129667</v>
      </c>
      <c r="T77" s="17" t="str">
        <f t="shared" si="34"/>
        <v>1+2.44199829611876E-06i</v>
      </c>
      <c r="U77" s="17">
        <f t="shared" si="44"/>
        <v>1.0000000000029816</v>
      </c>
      <c r="V77" s="17">
        <f t="shared" si="45"/>
        <v>2.4419982961139059E-6</v>
      </c>
      <c r="W77" s="31" t="str">
        <f t="shared" si="35"/>
        <v>1-0.00395999723694934i</v>
      </c>
      <c r="X77" s="17">
        <f t="shared" si="46"/>
        <v>1.0000078407583195</v>
      </c>
      <c r="Y77" s="17">
        <f t="shared" si="47"/>
        <v>-3.9599765374754292E-3</v>
      </c>
      <c r="Z77" s="31" t="str">
        <f t="shared" si="36"/>
        <v>0.999999394575501+0.0241103309138699i</v>
      </c>
      <c r="AA77" s="17">
        <f t="shared" si="48"/>
        <v>1.0002900065521723</v>
      </c>
      <c r="AB77" s="17">
        <f t="shared" si="49"/>
        <v>2.4105675287971171E-2</v>
      </c>
      <c r="AC77" s="66" t="str">
        <f t="shared" si="50"/>
        <v>2148.78670596342-2598.20351523614i</v>
      </c>
      <c r="AD77" s="64">
        <f t="shared" si="51"/>
        <v>70.556819948453452</v>
      </c>
      <c r="AE77" s="61">
        <f t="shared" si="52"/>
        <v>-50.408303647185228</v>
      </c>
      <c r="AF77" s="31" t="str">
        <f t="shared" si="37"/>
        <v>-1.39902068552014E-06</v>
      </c>
      <c r="AG77" s="31" t="str">
        <f t="shared" si="38"/>
        <v>8.08328324885436E-06i</v>
      </c>
      <c r="AH77" s="31">
        <f t="shared" si="53"/>
        <v>8.0832832488543593E-6</v>
      </c>
      <c r="AI77" s="31">
        <f t="shared" si="54"/>
        <v>1.5707963267948966</v>
      </c>
      <c r="AJ77" s="31" t="str">
        <f t="shared" si="39"/>
        <v>1+0.000583898628919429i</v>
      </c>
      <c r="AK77" s="31">
        <f t="shared" si="55"/>
        <v>1.00000017046879</v>
      </c>
      <c r="AL77" s="31">
        <f t="shared" si="56"/>
        <v>5.8389856256177517E-4</v>
      </c>
      <c r="AM77" s="31" t="str">
        <f t="shared" si="40"/>
        <v>1+0.283946468545701i</v>
      </c>
      <c r="AN77" s="31">
        <f t="shared" si="57"/>
        <v>1.0395314314630293</v>
      </c>
      <c r="AO77" s="31">
        <f t="shared" si="58"/>
        <v>0.27666449988565678</v>
      </c>
      <c r="AP77" s="58" t="str">
        <f t="shared" si="59"/>
        <v>-0.0490431857270407+0.173104432611529i</v>
      </c>
      <c r="AQ77" s="49">
        <f t="shared" si="60"/>
        <v>-14.898522203608922</v>
      </c>
      <c r="AR77" s="61">
        <f t="shared" si="61"/>
        <v>105.81825326124728</v>
      </c>
      <c r="AS77" s="58" t="str">
        <f t="shared" si="62"/>
        <v>344.377199805872+499.38868109337i</v>
      </c>
      <c r="AT77" s="64">
        <f t="shared" si="63"/>
        <v>55.658297744844525</v>
      </c>
      <c r="AU77" s="61">
        <f t="shared" si="64"/>
        <v>55.409949614062057</v>
      </c>
    </row>
    <row r="78" spans="1:47" x14ac:dyDescent="0.4">
      <c r="N78" s="10">
        <v>60</v>
      </c>
      <c r="O78" s="50">
        <f t="shared" si="41"/>
        <v>39.810717055349755</v>
      </c>
      <c r="P78" s="48" t="str">
        <f t="shared" si="32"/>
        <v>5120.19230769231</v>
      </c>
      <c r="Q78" s="17" t="str">
        <f t="shared" si="33"/>
        <v>1+1.16891464096771i</v>
      </c>
      <c r="R78" s="17">
        <f t="shared" si="42"/>
        <v>1.5382982278702237</v>
      </c>
      <c r="S78" s="17">
        <f t="shared" si="43"/>
        <v>0.8631210812476996</v>
      </c>
      <c r="T78" s="17" t="str">
        <f t="shared" si="34"/>
        <v>1+2.49887974357987E-06i</v>
      </c>
      <c r="U78" s="17">
        <f t="shared" si="44"/>
        <v>1.0000000000031222</v>
      </c>
      <c r="V78" s="17">
        <f t="shared" si="45"/>
        <v>2.4988797435746689E-6</v>
      </c>
      <c r="W78" s="31" t="str">
        <f t="shared" si="35"/>
        <v>1-0.0040522374220214i</v>
      </c>
      <c r="X78" s="17">
        <f t="shared" si="46"/>
        <v>1.0000082102803578</v>
      </c>
      <c r="Y78" s="17">
        <f t="shared" si="47"/>
        <v>-4.0522152421453312E-3</v>
      </c>
      <c r="Z78" s="31" t="str">
        <f t="shared" si="36"/>
        <v>0.999999366042723+0.0246719326657331i</v>
      </c>
      <c r="AA78" s="17">
        <f t="shared" si="48"/>
        <v>1.0003036720652936</v>
      </c>
      <c r="AB78" s="17">
        <f t="shared" si="49"/>
        <v>2.4666944154493973E-2</v>
      </c>
      <c r="AC78" s="66" t="str">
        <f t="shared" si="50"/>
        <v>2089.61010015163-2589.54703245405i</v>
      </c>
      <c r="AD78" s="64">
        <f t="shared" si="51"/>
        <v>70.442348713279358</v>
      </c>
      <c r="AE78" s="61">
        <f t="shared" si="52"/>
        <v>-51.098538613589575</v>
      </c>
      <c r="AF78" s="31" t="str">
        <f t="shared" si="37"/>
        <v>-1.39902068552014E-06</v>
      </c>
      <c r="AG78" s="31" t="str">
        <f t="shared" si="38"/>
        <v>8.27156710317308E-06i</v>
      </c>
      <c r="AH78" s="31">
        <f t="shared" si="53"/>
        <v>8.2715671031730805E-6</v>
      </c>
      <c r="AI78" s="31">
        <f t="shared" si="54"/>
        <v>1.5707963267948966</v>
      </c>
      <c r="AJ78" s="31" t="str">
        <f t="shared" si="39"/>
        <v>1+0.000597499375175591i</v>
      </c>
      <c r="AK78" s="31">
        <f t="shared" si="55"/>
        <v>1.0000001785027357</v>
      </c>
      <c r="AL78" s="31">
        <f t="shared" si="56"/>
        <v>5.9749930407208449E-4</v>
      </c>
      <c r="AM78" s="31" t="str">
        <f t="shared" si="40"/>
        <v>1+0.290560431445683i</v>
      </c>
      <c r="AN78" s="31">
        <f t="shared" si="57"/>
        <v>1.0413574623163275</v>
      </c>
      <c r="AO78" s="31">
        <f t="shared" si="58"/>
        <v>0.28277429993566788</v>
      </c>
      <c r="AP78" s="58" t="str">
        <f t="shared" si="59"/>
        <v>-0.0490431849390202+0.169165413524484i</v>
      </c>
      <c r="AQ78" s="49">
        <f t="shared" si="60"/>
        <v>-15.083278108662931</v>
      </c>
      <c r="AR78" s="61">
        <f t="shared" si="61"/>
        <v>106.16753975269489</v>
      </c>
      <c r="AS78" s="58" t="str">
        <f t="shared" si="62"/>
        <v>335.580659994009+480.489390718024i</v>
      </c>
      <c r="AT78" s="64">
        <f t="shared" si="63"/>
        <v>55.359070604616427</v>
      </c>
      <c r="AU78" s="61">
        <f t="shared" si="64"/>
        <v>55.069001139105318</v>
      </c>
    </row>
    <row r="79" spans="1:47" x14ac:dyDescent="0.4">
      <c r="N79" s="10">
        <v>61</v>
      </c>
      <c r="O79" s="50">
        <f t="shared" si="41"/>
        <v>40.738027780411279</v>
      </c>
      <c r="P79" s="48" t="str">
        <f t="shared" si="32"/>
        <v>5120.19230769231</v>
      </c>
      <c r="Q79" s="17" t="str">
        <f t="shared" si="33"/>
        <v>1+1.19614216067664i</v>
      </c>
      <c r="R79" s="17">
        <f t="shared" si="42"/>
        <v>1.5590882170512932</v>
      </c>
      <c r="S79" s="17">
        <f t="shared" si="43"/>
        <v>0.87447396474781625</v>
      </c>
      <c r="T79" s="17" t="str">
        <f t="shared" si="34"/>
        <v>1+2.55708613015761E-06i</v>
      </c>
      <c r="U79" s="17">
        <f t="shared" si="44"/>
        <v>1.0000000000032694</v>
      </c>
      <c r="V79" s="17">
        <f t="shared" si="45"/>
        <v>2.5570861301520364E-6</v>
      </c>
      <c r="W79" s="31" t="str">
        <f t="shared" si="35"/>
        <v>1-0.00414662615701233i</v>
      </c>
      <c r="X79" s="17">
        <f t="shared" si="46"/>
        <v>1.000008597217287</v>
      </c>
      <c r="Y79" s="17">
        <f t="shared" si="47"/>
        <v>-4.1466023908579694E-3</v>
      </c>
      <c r="Z79" s="31" t="str">
        <f t="shared" si="36"/>
        <v>0.999999336165237+0.0252466158028673i</v>
      </c>
      <c r="AA79" s="17">
        <f t="shared" si="48"/>
        <v>1.0003179814141161</v>
      </c>
      <c r="AB79" s="17">
        <f t="shared" si="49"/>
        <v>2.5241270608535624E-2</v>
      </c>
      <c r="AC79" s="66" t="str">
        <f t="shared" si="50"/>
        <v>2030.85402619359-2579.58041096434i</v>
      </c>
      <c r="AD79" s="64">
        <f t="shared" si="51"/>
        <v>70.325624831279072</v>
      </c>
      <c r="AE79" s="61">
        <f t="shared" si="52"/>
        <v>-51.787322055610375</v>
      </c>
      <c r="AF79" s="31" t="str">
        <f t="shared" si="37"/>
        <v>-1.39902068552014E-06</v>
      </c>
      <c r="AG79" s="31" t="str">
        <f t="shared" si="38"/>
        <v>8.46423665185703E-06i</v>
      </c>
      <c r="AH79" s="31">
        <f t="shared" si="53"/>
        <v>8.4642366518570299E-6</v>
      </c>
      <c r="AI79" s="31">
        <f t="shared" si="54"/>
        <v>1.5707963267948966</v>
      </c>
      <c r="AJ79" s="31" t="str">
        <f t="shared" si="39"/>
        <v>1+0.000611416923509312i</v>
      </c>
      <c r="AK79" s="31">
        <f t="shared" si="55"/>
        <v>1.0000001869153097</v>
      </c>
      <c r="AL79" s="31">
        <f t="shared" si="56"/>
        <v>6.114168473205329E-4</v>
      </c>
      <c r="AM79" s="31" t="str">
        <f t="shared" si="40"/>
        <v>1+0.29732845333244i</v>
      </c>
      <c r="AN79" s="31">
        <f t="shared" si="57"/>
        <v>1.0432661257613327</v>
      </c>
      <c r="AO79" s="31">
        <f t="shared" si="58"/>
        <v>0.28900403566311056</v>
      </c>
      <c r="AP79" s="58" t="str">
        <f t="shared" si="59"/>
        <v>-0.0490431841138615+0.165316088178814i</v>
      </c>
      <c r="AQ79" s="49">
        <f t="shared" si="60"/>
        <v>-15.267372725451738</v>
      </c>
      <c r="AR79" s="61">
        <f t="shared" si="61"/>
        <v>106.52367990086984</v>
      </c>
      <c r="AS79" s="58" t="str">
        <f t="shared" si="62"/>
        <v>326.846594768333+462.243680303954i</v>
      </c>
      <c r="AT79" s="64">
        <f t="shared" si="63"/>
        <v>55.05825210582735</v>
      </c>
      <c r="AU79" s="61">
        <f t="shared" si="64"/>
        <v>54.736357845259484</v>
      </c>
    </row>
    <row r="80" spans="1:47" x14ac:dyDescent="0.4">
      <c r="N80" s="10">
        <v>62</v>
      </c>
      <c r="O80" s="50">
        <f t="shared" si="41"/>
        <v>41.686938347033561</v>
      </c>
      <c r="P80" s="48" t="str">
        <f t="shared" si="32"/>
        <v>5120.19230769231</v>
      </c>
      <c r="Q80" s="17" t="str">
        <f t="shared" si="33"/>
        <v>1+1.22400389079196i</v>
      </c>
      <c r="R80" s="17">
        <f t="shared" si="42"/>
        <v>1.5805649384551894</v>
      </c>
      <c r="S80" s="17">
        <f t="shared" si="43"/>
        <v>0.88578062393055201</v>
      </c>
      <c r="T80" s="17" t="str">
        <f t="shared" si="34"/>
        <v>1+0.0000026166483176486i</v>
      </c>
      <c r="U80" s="17">
        <f t="shared" si="44"/>
        <v>1.0000000000034235</v>
      </c>
      <c r="V80" s="17">
        <f t="shared" si="45"/>
        <v>2.6166483176426281E-6</v>
      </c>
      <c r="W80" s="31" t="str">
        <f t="shared" si="35"/>
        <v>1-0.0042432134880788i</v>
      </c>
      <c r="X80" s="17">
        <f t="shared" si="46"/>
        <v>1.0000090023898311</v>
      </c>
      <c r="Y80" s="17">
        <f t="shared" si="47"/>
        <v>-4.2431880221979728E-3</v>
      </c>
      <c r="Z80" s="31" t="str">
        <f t="shared" si="36"/>
        <v>0.999999304879668+0.0258346850298787i</v>
      </c>
      <c r="AA80" s="17">
        <f t="shared" si="48"/>
        <v>1.0003329649223864</v>
      </c>
      <c r="AB80" s="17">
        <f t="shared" si="49"/>
        <v>2.5828957653920286E-2</v>
      </c>
      <c r="AC80" s="66" t="str">
        <f t="shared" si="50"/>
        <v>1972.57562228135-2568.32895365966i</v>
      </c>
      <c r="AD80" s="64">
        <f t="shared" si="51"/>
        <v>70.206665158679058</v>
      </c>
      <c r="AE80" s="61">
        <f t="shared" si="52"/>
        <v>-52.474348430924543</v>
      </c>
      <c r="AF80" s="31" t="str">
        <f t="shared" si="37"/>
        <v>-1.39902068552014E-06</v>
      </c>
      <c r="AG80" s="31" t="str">
        <f t="shared" si="38"/>
        <v>8.66139405085121E-06i</v>
      </c>
      <c r="AH80" s="31">
        <f t="shared" si="53"/>
        <v>8.6613940508512097E-6</v>
      </c>
      <c r="AI80" s="31">
        <f t="shared" si="54"/>
        <v>1.5707963267948966</v>
      </c>
      <c r="AJ80" s="31" t="str">
        <f t="shared" si="39"/>
        <v>1+0.000625658653188938i</v>
      </c>
      <c r="AK80" s="31">
        <f t="shared" si="55"/>
        <v>1.0000001957243561</v>
      </c>
      <c r="AL80" s="31">
        <f t="shared" si="56"/>
        <v>6.2565857155119121E-4</v>
      </c>
      <c r="AM80" s="31" t="str">
        <f t="shared" si="40"/>
        <v>1+0.304254122700762i</v>
      </c>
      <c r="AN80" s="31">
        <f t="shared" si="57"/>
        <v>1.0452610062469614</v>
      </c>
      <c r="AO80" s="31">
        <f t="shared" si="58"/>
        <v>0.29535507523195426</v>
      </c>
      <c r="AP80" s="58" t="str">
        <f t="shared" si="59"/>
        <v>-0.0490431832498145+0.161554415611265i</v>
      </c>
      <c r="AQ80" s="49">
        <f t="shared" si="60"/>
        <v>-15.450779944020303</v>
      </c>
      <c r="AR80" s="61">
        <f t="shared" si="61"/>
        <v>106.88675167299381</v>
      </c>
      <c r="AS80" s="58" t="str">
        <f t="shared" si="62"/>
        <v>318.183495488317+444.637329426826i</v>
      </c>
      <c r="AT80" s="64">
        <f t="shared" si="63"/>
        <v>54.755885214658761</v>
      </c>
      <c r="AU80" s="61">
        <f t="shared" si="64"/>
        <v>54.412403242069274</v>
      </c>
    </row>
    <row r="81" spans="14:47" x14ac:dyDescent="0.4">
      <c r="N81" s="10">
        <v>63</v>
      </c>
      <c r="O81" s="50">
        <f t="shared" si="41"/>
        <v>42.657951880159267</v>
      </c>
      <c r="P81" s="48" t="str">
        <f t="shared" si="32"/>
        <v>5120.19230769231</v>
      </c>
      <c r="Q81" s="17" t="str">
        <f t="shared" si="33"/>
        <v>1+1.25251460397179i</v>
      </c>
      <c r="R81" s="17">
        <f t="shared" si="42"/>
        <v>1.6027454049731698</v>
      </c>
      <c r="S81" s="17">
        <f t="shared" si="43"/>
        <v>0.89703549089038925</v>
      </c>
      <c r="T81" s="17" t="str">
        <f t="shared" si="34"/>
        <v>1+2.67759788671303E-06i</v>
      </c>
      <c r="U81" s="17">
        <f t="shared" si="44"/>
        <v>1.0000000000035847</v>
      </c>
      <c r="V81" s="17">
        <f t="shared" si="45"/>
        <v>2.677597886706631E-6</v>
      </c>
      <c r="W81" s="31" t="str">
        <f t="shared" si="35"/>
        <v>1-0.00434205062710221i</v>
      </c>
      <c r="X81" s="17">
        <f t="shared" si="46"/>
        <v>1.0000094266573931</v>
      </c>
      <c r="Y81" s="17">
        <f t="shared" si="47"/>
        <v>-4.3420233399331714E-3</v>
      </c>
      <c r="Z81" s="31" t="str">
        <f t="shared" si="36"/>
        <v>0.999999272119657+0.0264364521488554i</v>
      </c>
      <c r="AA81" s="17">
        <f t="shared" si="48"/>
        <v>1.0003486543411064</v>
      </c>
      <c r="AB81" s="17">
        <f t="shared" si="49"/>
        <v>2.6430315270463536E-2</v>
      </c>
      <c r="AC81" s="66" t="str">
        <f t="shared" si="50"/>
        <v>1914.8300991228-2555.8209688586i</v>
      </c>
      <c r="AD81" s="64">
        <f t="shared" si="51"/>
        <v>70.085488680521976</v>
      </c>
      <c r="AE81" s="61">
        <f t="shared" si="52"/>
        <v>-53.159319414530437</v>
      </c>
      <c r="AF81" s="31" t="str">
        <f t="shared" si="37"/>
        <v>-1.39902068552014E-06</v>
      </c>
      <c r="AG81" s="31" t="str">
        <f t="shared" si="38"/>
        <v>8.86314383561826E-06i</v>
      </c>
      <c r="AH81" s="31">
        <f t="shared" si="53"/>
        <v>8.8631438356182593E-6</v>
      </c>
      <c r="AI81" s="31">
        <f t="shared" si="54"/>
        <v>1.5707963267948966</v>
      </c>
      <c r="AJ81" s="31" t="str">
        <f t="shared" si="39"/>
        <v>1+0.000640232115368055i</v>
      </c>
      <c r="AK81" s="31">
        <f t="shared" si="55"/>
        <v>1.0000002049485597</v>
      </c>
      <c r="AL81" s="31">
        <f t="shared" si="56"/>
        <v>6.4023202789163423E-4</v>
      </c>
      <c r="AM81" s="31" t="str">
        <f t="shared" si="40"/>
        <v>1+0.311341111632218i</v>
      </c>
      <c r="AN81" s="31">
        <f t="shared" si="57"/>
        <v>1.0473458300830654</v>
      </c>
      <c r="AO81" s="31">
        <f t="shared" si="58"/>
        <v>0.30182873589447884</v>
      </c>
      <c r="AP81" s="58" t="str">
        <f t="shared" si="59"/>
        <v>-0.049043182345046+0.157878401333248i</v>
      </c>
      <c r="AQ81" s="49">
        <f t="shared" si="60"/>
        <v>-15.633472849728207</v>
      </c>
      <c r="AR81" s="61">
        <f t="shared" si="61"/>
        <v>107.25683010941513</v>
      </c>
      <c r="AS81" s="58" t="str">
        <f t="shared" si="62"/>
        <v>309.599566946327+427.655908691317i</v>
      </c>
      <c r="AT81" s="64">
        <f t="shared" si="63"/>
        <v>54.452015830793776</v>
      </c>
      <c r="AU81" s="61">
        <f t="shared" si="64"/>
        <v>54.097510694884676</v>
      </c>
    </row>
    <row r="82" spans="14:47" x14ac:dyDescent="0.4">
      <c r="N82" s="10">
        <v>64</v>
      </c>
      <c r="O82" s="50">
        <f t="shared" si="41"/>
        <v>43.651583224016633</v>
      </c>
      <c r="P82" s="48" t="str">
        <f t="shared" si="32"/>
        <v>5120.19230769231</v>
      </c>
      <c r="Q82" s="17" t="str">
        <f t="shared" si="33"/>
        <v>1+1.28168941697364i</v>
      </c>
      <c r="R82" s="17">
        <f t="shared" si="42"/>
        <v>1.6256468748108333</v>
      </c>
      <c r="S82" s="17">
        <f t="shared" si="43"/>
        <v>0.90823312836473213</v>
      </c>
      <c r="T82" s="17" t="str">
        <f t="shared" si="34"/>
        <v>1+0.0000027399671536192i</v>
      </c>
      <c r="U82" s="17">
        <f t="shared" si="44"/>
        <v>1.0000000000037537</v>
      </c>
      <c r="V82" s="17">
        <f t="shared" si="45"/>
        <v>2.7399671536123432E-6</v>
      </c>
      <c r="W82" s="31" t="str">
        <f t="shared" si="35"/>
        <v>1-0.00444318997884194i</v>
      </c>
      <c r="X82" s="17">
        <f t="shared" si="46"/>
        <v>1.0000098709198766</v>
      </c>
      <c r="Y82" s="17">
        <f t="shared" si="47"/>
        <v>-4.4431607401291175E-3</v>
      </c>
      <c r="Z82" s="31" t="str">
        <f t="shared" si="36"/>
        <v>0.999999237815713+0.0270522362246891i</v>
      </c>
      <c r="AA82" s="17">
        <f t="shared" si="48"/>
        <v>1.0003650829156139</v>
      </c>
      <c r="AB82" s="17">
        <f t="shared" si="49"/>
        <v>2.7045660570623423E-2</v>
      </c>
      <c r="AC82" s="66" t="str">
        <f t="shared" si="50"/>
        <v>1857.67054535597-2542.08759861089i</v>
      </c>
      <c r="AD82" s="64">
        <f t="shared" si="51"/>
        <v>69.962116432881928</v>
      </c>
      <c r="AE82" s="61">
        <f t="shared" si="52"/>
        <v>-53.841944643656397</v>
      </c>
      <c r="AF82" s="31" t="str">
        <f t="shared" si="37"/>
        <v>-1.39902068552014E-06</v>
      </c>
      <c r="AG82" s="31" t="str">
        <f t="shared" si="38"/>
        <v>9.06959297656453E-06i</v>
      </c>
      <c r="AH82" s="31">
        <f t="shared" si="53"/>
        <v>9.0695929765645308E-6</v>
      </c>
      <c r="AI82" s="31">
        <f t="shared" si="54"/>
        <v>1.5707963267948966</v>
      </c>
      <c r="AJ82" s="31" t="str">
        <f t="shared" si="39"/>
        <v>1+0.000655145037089213i</v>
      </c>
      <c r="AK82" s="31">
        <f t="shared" si="55"/>
        <v>1.0000002146074867</v>
      </c>
      <c r="AL82" s="31">
        <f t="shared" si="56"/>
        <v>6.5514494335654043E-4</v>
      </c>
      <c r="AM82" s="31" t="str">
        <f t="shared" si="40"/>
        <v>1+0.318593177742148i</v>
      </c>
      <c r="AN82" s="31">
        <f t="shared" si="57"/>
        <v>1.0495244698928368</v>
      </c>
      <c r="AO82" s="31">
        <f t="shared" si="58"/>
        <v>0.30842627887947399</v>
      </c>
      <c r="AP82" s="58" t="str">
        <f t="shared" si="59"/>
        <v>-0.049043181397637+0.154286096273331i</v>
      </c>
      <c r="AQ82" s="49">
        <f t="shared" si="60"/>
        <v>-15.815423718317021</v>
      </c>
      <c r="AR82" s="61">
        <f t="shared" si="61"/>
        <v>107.63398703049509</v>
      </c>
      <c r="AS82" s="58" t="str">
        <f t="shared" si="62"/>
        <v>301.102698441581+411.28479983228i</v>
      </c>
      <c r="AT82" s="64">
        <f t="shared" si="63"/>
        <v>54.146692714564907</v>
      </c>
      <c r="AU82" s="61">
        <f t="shared" si="64"/>
        <v>53.792042386838681</v>
      </c>
    </row>
    <row r="83" spans="14:47" x14ac:dyDescent="0.4">
      <c r="N83" s="10">
        <v>65</v>
      </c>
      <c r="O83" s="50">
        <f t="shared" si="41"/>
        <v>44.668359215096324</v>
      </c>
      <c r="P83" s="48" t="str">
        <f t="shared" ref="P83:P146" si="65">COMPLEX(Adc,0)</f>
        <v>5120.19230769231</v>
      </c>
      <c r="Q83" s="17" t="str">
        <f t="shared" ref="Q83:Q146" si="66">IMSUM(COMPLEX(1,0),IMDIV(COMPLEX(0,2*PI()*O83),COMPLEX(wp_lf,0)))</f>
        <v>1+1.31154379866953i</v>
      </c>
      <c r="R83" s="17">
        <f t="shared" si="42"/>
        <v>1.6492868567439991</v>
      </c>
      <c r="S83" s="17">
        <f t="shared" si="43"/>
        <v>0.91936824176662857</v>
      </c>
      <c r="T83" s="17" t="str">
        <f t="shared" ref="T83:T146" si="67">IMSUM(COMPLEX(1,0),IMDIV(COMPLEX(0,2*PI()*O83),COMPLEX(wz_esr,0)))</f>
        <v>1+2.80378918737797E-06i</v>
      </c>
      <c r="U83" s="17">
        <f t="shared" si="44"/>
        <v>1.0000000000039306</v>
      </c>
      <c r="V83" s="17">
        <f t="shared" si="45"/>
        <v>2.8037891873706227E-6</v>
      </c>
      <c r="W83" s="31" t="str">
        <f t="shared" ref="W83:W146" si="68">IMSUB(COMPLEX(1,0),IMDIV(COMPLEX(0,2*PI()*O83),COMPLEX(wz_rhp,0)))</f>
        <v>1-0.00454668516872103i</v>
      </c>
      <c r="X83" s="17">
        <f t="shared" si="46"/>
        <v>1.000010336119594</v>
      </c>
      <c r="Y83" s="17">
        <f t="shared" si="47"/>
        <v>-4.5466538388932703E-3</v>
      </c>
      <c r="Z83" s="31" t="str">
        <f t="shared" ref="Z83:Z146" si="69">IMSUM(COMPLEX(1,0),IMDIV(COMPLEX(0,2*PI()*O83),COMPLEX(Q*(wsl/2),0)),IMDIV(IMPOWER(COMPLEX(0,2*PI()*O83),2),IMPOWER(COMPLEX(wsl/2,0),2)))</f>
        <v>0.999999201895074+0.027682363754248i</v>
      </c>
      <c r="AA83" s="17">
        <f t="shared" si="48"/>
        <v>1.0003822854558189</v>
      </c>
      <c r="AB83" s="17">
        <f t="shared" si="49"/>
        <v>2.7675317959384382E-2</v>
      </c>
      <c r="AC83" s="66" t="str">
        <f t="shared" si="50"/>
        <v>1801.14775050091-2527.16263295732i</v>
      </c>
      <c r="AD83" s="64">
        <f t="shared" si="51"/>
        <v>69.836571417968088</v>
      </c>
      <c r="AE83" s="61">
        <f t="shared" si="52"/>
        <v>-54.521942417934611</v>
      </c>
      <c r="AF83" s="31" t="str">
        <f t="shared" ref="AF83:AF146" si="70">COMPLEX(Adc_ea,0)</f>
        <v>-1.39902068552014E-06</v>
      </c>
      <c r="AG83" s="31" t="str">
        <f t="shared" ref="AG83:AG146" si="71">COMPLEX(0,2*PI()*O83*wp0_ea)</f>
        <v>9.28085093575723E-06i</v>
      </c>
      <c r="AH83" s="31">
        <f t="shared" si="53"/>
        <v>9.2808509357572305E-6</v>
      </c>
      <c r="AI83" s="31">
        <f t="shared" si="54"/>
        <v>1.5707963267948966</v>
      </c>
      <c r="AJ83" s="31" t="str">
        <f t="shared" ref="AJ83:AJ146" si="72">IMSUM(COMPLEX(1,0),IMDIV(COMPLEX(0,2*PI()*O83),COMPLEX(wp1_ea,0)))</f>
        <v>1+0.000670405325380906i</v>
      </c>
      <c r="AK83" s="31">
        <f t="shared" si="55"/>
        <v>1.0000002247216249</v>
      </c>
      <c r="AL83" s="31">
        <f t="shared" si="56"/>
        <v>6.7040522494453913E-4</v>
      </c>
      <c r="AM83" s="31" t="str">
        <f t="shared" ref="AM83:AM146" si="73">IMSUM(COMPLEX(1,0),IMDIV(COMPLEX(0,2*PI()*O83),COMPLEX(wz_ea,0)))</f>
        <v>1+0.326014166171997i</v>
      </c>
      <c r="AN83" s="31">
        <f t="shared" si="57"/>
        <v>1.0518009491081584</v>
      </c>
      <c r="AO83" s="31">
        <f t="shared" si="58"/>
        <v>0.31514890407175228</v>
      </c>
      <c r="AP83" s="58" t="str">
        <f t="shared" si="59"/>
        <v>-0.0490431804055783+0.150775595743817i</v>
      </c>
      <c r="AQ83" s="49">
        <f t="shared" si="60"/>
        <v>-15.996604012922065</v>
      </c>
      <c r="AR83" s="61">
        <f t="shared" si="61"/>
        <v>108.01829073153188</v>
      </c>
      <c r="AS83" s="58" t="str">
        <f t="shared" si="62"/>
        <v>292.700437460735+395.509218026773i</v>
      </c>
      <c r="AT83" s="64">
        <f t="shared" si="63"/>
        <v>53.839967405046011</v>
      </c>
      <c r="AU83" s="61">
        <f t="shared" si="64"/>
        <v>53.496348313597338</v>
      </c>
    </row>
    <row r="84" spans="14:47" x14ac:dyDescent="0.4">
      <c r="N84" s="10">
        <v>66</v>
      </c>
      <c r="O84" s="50">
        <f t="shared" ref="O84:O118" si="74">10^(1+(N84/100))</f>
        <v>45.70881896148753</v>
      </c>
      <c r="P84" s="48" t="str">
        <f t="shared" si="65"/>
        <v>5120.19230769231</v>
      </c>
      <c r="Q84" s="17" t="str">
        <f t="shared" si="66"/>
        <v>1+1.34209357824781i</v>
      </c>
      <c r="R84" s="17">
        <f t="shared" ref="R84:R147" si="75">IMABS(Q84)</f>
        <v>1.6736831159971743</v>
      </c>
      <c r="S84" s="17">
        <f t="shared" ref="S84:S147" si="76">IMARGUMENT(Q84)</f>
        <v>0.93043569037556839</v>
      </c>
      <c r="T84" s="17" t="str">
        <f t="shared" si="67"/>
        <v>1+2.86909782727643E-06i</v>
      </c>
      <c r="U84" s="17">
        <f t="shared" ref="U84:U147" si="77">IMABS(T84)</f>
        <v>1.0000000000041158</v>
      </c>
      <c r="V84" s="17">
        <f t="shared" ref="V84:V147" si="78">IMARGUMENT(T84)</f>
        <v>2.8690978272685573E-6</v>
      </c>
      <c r="W84" s="31" t="str">
        <f t="shared" si="68"/>
        <v>1-0.00465259107125907i</v>
      </c>
      <c r="X84" s="17">
        <f t="shared" ref="X84:X147" si="79">IMABS(W84)</f>
        <v>1.000010823243267</v>
      </c>
      <c r="Y84" s="17">
        <f t="shared" ref="Y84:Y147" si="80">IMARGUMENT(W84)</f>
        <v>-4.6525575007634185E-3</v>
      </c>
      <c r="Z84" s="31" t="str">
        <f t="shared" si="69"/>
        <v>0.999999164281548+0.0283271688394887i</v>
      </c>
      <c r="AA84" s="17">
        <f t="shared" ref="AA84:AA147" si="81">IMABS(Z84)</f>
        <v>1.0004002984097193</v>
      </c>
      <c r="AB84" s="17">
        <f t="shared" ref="AB84:AB147" si="82">IMARGUMENT(Z84)</f>
        <v>2.8319619297418681E-2</v>
      </c>
      <c r="AC84" s="66" t="str">
        <f t="shared" ref="AC84:AC147" si="83">(IMDIV(IMPRODUCT(P84,T84,W84),IMPRODUCT(Q84,Z84)))</f>
        <v>1745.31004651751-2511.0823121434i</v>
      </c>
      <c r="AD84" s="64">
        <f t="shared" ref="AD84:AD147" si="84">20*LOG(IMABS(AC84))</f>
        <v>69.708878512805526</v>
      </c>
      <c r="AE84" s="61">
        <f t="shared" ref="AE84:AE147" si="85">(180/PI())*IMARGUMENT(AC84)</f>
        <v>-55.199040351559596</v>
      </c>
      <c r="AF84" s="31" t="str">
        <f t="shared" si="70"/>
        <v>-1.39902068552014E-06</v>
      </c>
      <c r="AG84" s="31" t="str">
        <f t="shared" si="71"/>
        <v>9.49702972496266E-06i</v>
      </c>
      <c r="AH84" s="31">
        <f t="shared" ref="AH84:AH147" si="86">IMABS(AG84)</f>
        <v>9.4970297249626603E-6</v>
      </c>
      <c r="AI84" s="31">
        <f t="shared" ref="AI84:AI147" si="87">IMARGUMENT(AG84)</f>
        <v>1.5707963267948966</v>
      </c>
      <c r="AJ84" s="31" t="str">
        <f t="shared" si="72"/>
        <v>1+0.00068602107144998i</v>
      </c>
      <c r="AK84" s="31">
        <f t="shared" ref="AK84:AK147" si="88">IMABS(AJ84)</f>
        <v>1.0000002353124275</v>
      </c>
      <c r="AL84" s="31">
        <f t="shared" ref="AL84:AL147" si="89">IMARGUMENT(AJ84)</f>
        <v>6.8602096383047536E-4</v>
      </c>
      <c r="AM84" s="31" t="str">
        <f t="shared" si="73"/>
        <v>1+0.333608011628058i</v>
      </c>
      <c r="AN84" s="31">
        <f t="shared" ref="AN84:AN147" si="90">IMABS(AM84)</f>
        <v>1.0541794464997061</v>
      </c>
      <c r="AO84" s="31">
        <f t="shared" ref="AO84:AO147" si="91">IMARGUMENT(AM84)</f>
        <v>0.32199774448753349</v>
      </c>
      <c r="AP84" s="58" t="str">
        <f t="shared" ref="AP84:AP147" si="92">IMPRODUCT(AF84,IMDIV(AM84,IMPRODUCT(AG84,AJ84)))</f>
        <v>-0.0490431793667651+0.147345038430856i</v>
      </c>
      <c r="AQ84" s="49">
        <f t="shared" ref="AQ84:AQ147" si="93">20*LOG(IMABS(AP84))</f>
        <v>-16.176984383214752</v>
      </c>
      <c r="AR84" s="61">
        <f t="shared" ref="AR84:AR147" si="94">(180/PI())*IMARGUMENT(AP84)</f>
        <v>108.40980566598247</v>
      </c>
      <c r="AS84" s="58" t="str">
        <f t="shared" ref="AS84:AS147" si="95">IMPRODUCT(AC84,AP84)</f>
        <v>284.399966123837+380.314236117042i</v>
      </c>
      <c r="AT84" s="64">
        <f t="shared" ref="AT84:AT147" si="96">20*LOG(IMABS(AS84))</f>
        <v>53.531894129590789</v>
      </c>
      <c r="AU84" s="61">
        <f t="shared" ref="AU84:AU147" si="97">(180/PI())*IMARGUMENT(AS84)</f>
        <v>53.210765314422872</v>
      </c>
    </row>
    <row r="85" spans="14:47" x14ac:dyDescent="0.4">
      <c r="N85" s="10">
        <v>67</v>
      </c>
      <c r="O85" s="50">
        <f t="shared" si="74"/>
        <v>46.773514128719818</v>
      </c>
      <c r="P85" s="48" t="str">
        <f t="shared" si="65"/>
        <v>5120.19230769231</v>
      </c>
      <c r="Q85" s="17" t="str">
        <f t="shared" si="66"/>
        <v>1+1.37335495360598i</v>
      </c>
      <c r="R85" s="17">
        <f t="shared" si="75"/>
        <v>1.6988536807488994</v>
      </c>
      <c r="S85" s="17">
        <f t="shared" si="76"/>
        <v>0.94143049763802622</v>
      </c>
      <c r="T85" s="17" t="str">
        <f t="shared" si="67"/>
        <v>1+2.93592770081991E-06i</v>
      </c>
      <c r="U85" s="17">
        <f t="shared" si="77"/>
        <v>1.0000000000043099</v>
      </c>
      <c r="V85" s="17">
        <f t="shared" si="78"/>
        <v>2.9359277008114743E-6</v>
      </c>
      <c r="W85" s="31" t="str">
        <f t="shared" si="68"/>
        <v>1-0.00476096383916741i</v>
      </c>
      <c r="X85" s="17">
        <f t="shared" si="79"/>
        <v>1.0000113333241167</v>
      </c>
      <c r="Y85" s="17">
        <f t="shared" si="80"/>
        <v>-4.7609278677552512E-3</v>
      </c>
      <c r="Z85" s="31" t="str">
        <f t="shared" si="69"/>
        <v>0.99999912489535+0.0289869933646025i</v>
      </c>
      <c r="AA85" s="17">
        <f t="shared" si="81"/>
        <v>1.0004191599403649</v>
      </c>
      <c r="AB85" s="17">
        <f t="shared" si="82"/>
        <v>2.8978904067573211E-2</v>
      </c>
      <c r="AC85" s="66" t="str">
        <f t="shared" si="83"/>
        <v>1690.20316878767-2493.88511886059i</v>
      </c>
      <c r="AD85" s="64">
        <f t="shared" si="84"/>
        <v>69.579064372216919</v>
      </c>
      <c r="AE85" s="61">
        <f t="shared" si="85"/>
        <v>-55.872975974668527</v>
      </c>
      <c r="AF85" s="31" t="str">
        <f t="shared" si="70"/>
        <v>-1.39902068552014E-06</v>
      </c>
      <c r="AG85" s="31" t="str">
        <f t="shared" si="71"/>
        <v>0.0000097182439650363i</v>
      </c>
      <c r="AH85" s="31">
        <f t="shared" si="86"/>
        <v>9.7182439650362993E-6</v>
      </c>
      <c r="AI85" s="31">
        <f t="shared" si="87"/>
        <v>1.5707963267948966</v>
      </c>
      <c r="AJ85" s="31" t="str">
        <f t="shared" si="72"/>
        <v>1+0.000702000554971699i</v>
      </c>
      <c r="AK85" s="31">
        <f t="shared" si="88"/>
        <v>1.0000002464023592</v>
      </c>
      <c r="AL85" s="31">
        <f t="shared" si="89"/>
        <v>7.0200043965532358E-4</v>
      </c>
      <c r="AM85" s="31" t="str">
        <f t="shared" si="73"/>
        <v>1+0.341378740467708i</v>
      </c>
      <c r="AN85" s="31">
        <f t="shared" si="90"/>
        <v>1.056664300732886</v>
      </c>
      <c r="AO85" s="31">
        <f t="shared" si="91"/>
        <v>0.32897386055196337</v>
      </c>
      <c r="AP85" s="58" t="str">
        <f t="shared" si="92"/>
        <v>-0.0490431782789945+0.143992605407545i</v>
      </c>
      <c r="AQ85" s="49">
        <f t="shared" si="93"/>
        <v>-16.356534666868242</v>
      </c>
      <c r="AR85" s="61">
        <f t="shared" si="94"/>
        <v>108.80859211734419</v>
      </c>
      <c r="AS85" s="58" t="str">
        <f t="shared" si="95"/>
        <v>276.208080517266+365.684810433436i</v>
      </c>
      <c r="AT85" s="64">
        <f t="shared" si="96"/>
        <v>53.222529705348677</v>
      </c>
      <c r="AU85" s="61">
        <f t="shared" si="97"/>
        <v>52.935616142675663</v>
      </c>
    </row>
    <row r="86" spans="14:47" x14ac:dyDescent="0.4">
      <c r="N86" s="10">
        <v>68</v>
      </c>
      <c r="O86" s="50">
        <f t="shared" si="74"/>
        <v>47.863009232263877</v>
      </c>
      <c r="P86" s="48" t="str">
        <f t="shared" si="65"/>
        <v>5120.19230769231</v>
      </c>
      <c r="Q86" s="17" t="str">
        <f t="shared" si="66"/>
        <v>1+1.40534449993906i</v>
      </c>
      <c r="R86" s="17">
        <f t="shared" si="75"/>
        <v>1.7248168492651521</v>
      </c>
      <c r="S86" s="17">
        <f t="shared" si="76"/>
        <v>0.95234786053866649</v>
      </c>
      <c r="T86" s="17" t="str">
        <f t="shared" si="67"/>
        <v>1+3.00431424209196E-06i</v>
      </c>
      <c r="U86" s="17">
        <f t="shared" si="77"/>
        <v>1.0000000000045128</v>
      </c>
      <c r="V86" s="17">
        <f t="shared" si="78"/>
        <v>3.0043142420829211E-6</v>
      </c>
      <c r="W86" s="31" t="str">
        <f t="shared" si="68"/>
        <v>1-0.00487186093312209i</v>
      </c>
      <c r="X86" s="17">
        <f t="shared" si="79"/>
        <v>1.0000118674440577</v>
      </c>
      <c r="Y86" s="17">
        <f t="shared" si="80"/>
        <v>-4.8718223890842289E-3</v>
      </c>
      <c r="Z86" s="31" t="str">
        <f t="shared" si="69"/>
        <v>0.999999083652939+0.0296621871772865i</v>
      </c>
      <c r="AA86" s="17">
        <f t="shared" si="81"/>
        <v>1.0004389100064321</v>
      </c>
      <c r="AB86" s="17">
        <f t="shared" si="82"/>
        <v>2.9653519544721691E-2</v>
      </c>
      <c r="AC86" s="66" t="str">
        <f t="shared" si="83"/>
        <v>1635.87013708827-2475.61156263029i</v>
      </c>
      <c r="AD86" s="64">
        <f t="shared" si="84"/>
        <v>69.44715732685566</v>
      </c>
      <c r="AE86" s="61">
        <f t="shared" si="85"/>
        <v>-56.543497281705825</v>
      </c>
      <c r="AF86" s="31" t="str">
        <f t="shared" si="70"/>
        <v>-1.39902068552014E-06</v>
      </c>
      <c r="AG86" s="31" t="str">
        <f t="shared" si="71"/>
        <v>9.94461094669638E-06i</v>
      </c>
      <c r="AH86" s="31">
        <f t="shared" si="86"/>
        <v>9.9446109466963807E-6</v>
      </c>
      <c r="AI86" s="31">
        <f t="shared" si="87"/>
        <v>1.5707963267948966</v>
      </c>
      <c r="AJ86" s="31" t="str">
        <f t="shared" si="72"/>
        <v>1+0.00071835224847974i</v>
      </c>
      <c r="AK86" s="31">
        <f t="shared" si="88"/>
        <v>1.0000002580149432</v>
      </c>
      <c r="AL86" s="31">
        <f t="shared" si="89"/>
        <v>7.1835212491601938E-4</v>
      </c>
      <c r="AM86" s="31" t="str">
        <f t="shared" si="73"/>
        <v>1+0.349330472834236i</v>
      </c>
      <c r="AN86" s="31">
        <f t="shared" si="90"/>
        <v>1.0592600149399538</v>
      </c>
      <c r="AO86" s="31">
        <f t="shared" si="91"/>
        <v>0.33607823418687688</v>
      </c>
      <c r="AP86" s="58" t="str">
        <f t="shared" si="92"/>
        <v>-0.0490431771399587+0.140716519169517i</v>
      </c>
      <c r="AQ86" s="49">
        <f t="shared" si="93"/>
        <v>-16.535223893542742</v>
      </c>
      <c r="AR86" s="61">
        <f t="shared" si="94"/>
        <v>109.21470586015533</v>
      </c>
      <c r="AS86" s="58" t="str">
        <f t="shared" si="95"/>
        <v>268.131172997955+351.605807900229i</v>
      </c>
      <c r="AT86" s="64">
        <f t="shared" si="96"/>
        <v>52.911933433312925</v>
      </c>
      <c r="AU86" s="61">
        <f t="shared" si="97"/>
        <v>52.671208578449459</v>
      </c>
    </row>
    <row r="87" spans="14:47" x14ac:dyDescent="0.4">
      <c r="N87" s="10">
        <v>69</v>
      </c>
      <c r="O87" s="50">
        <f t="shared" si="74"/>
        <v>48.977881936844632</v>
      </c>
      <c r="P87" s="48" t="str">
        <f t="shared" si="65"/>
        <v>5120.19230769231</v>
      </c>
      <c r="Q87" s="17" t="str">
        <f t="shared" si="66"/>
        <v>1+1.43807917852795i</v>
      </c>
      <c r="R87" s="17">
        <f t="shared" si="75"/>
        <v>1.7515911976587528</v>
      </c>
      <c r="S87" s="17">
        <f t="shared" si="76"/>
        <v>0.96318315801236321</v>
      </c>
      <c r="T87" s="17" t="str">
        <f t="shared" si="67"/>
        <v>1+3.07429371054197E-06i</v>
      </c>
      <c r="U87" s="17">
        <f t="shared" si="77"/>
        <v>1.0000000000047256</v>
      </c>
      <c r="V87" s="17">
        <f t="shared" si="78"/>
        <v>3.0742937105322846E-6</v>
      </c>
      <c r="W87" s="31" t="str">
        <f t="shared" si="68"/>
        <v>1-0.00498534115223022i</v>
      </c>
      <c r="X87" s="17">
        <f t="shared" si="79"/>
        <v>1.0000124267359902</v>
      </c>
      <c r="Y87" s="17">
        <f t="shared" si="80"/>
        <v>-4.9852998515772691E-3</v>
      </c>
      <c r="Z87" s="31" t="str">
        <f t="shared" si="69"/>
        <v>0.999999040466832+0.0303531082742373i</v>
      </c>
      <c r="AA87" s="17">
        <f t="shared" si="81"/>
        <v>1.000459590446557</v>
      </c>
      <c r="AB87" s="17">
        <f t="shared" si="82"/>
        <v>3.0343820969026672E-2</v>
      </c>
      <c r="AC87" s="66" t="str">
        <f t="shared" si="83"/>
        <v>1582.35115687139-2456.30395845413i</v>
      </c>
      <c r="AD87" s="64">
        <f t="shared" si="84"/>
        <v>69.313187277057565</v>
      </c>
      <c r="AE87" s="61">
        <f t="shared" si="85"/>
        <v>-57.210363225064455</v>
      </c>
      <c r="AF87" s="31" t="str">
        <f t="shared" si="70"/>
        <v>-1.39902068552014E-06</v>
      </c>
      <c r="AG87" s="31" t="str">
        <f t="shared" si="71"/>
        <v>0.0000101762506927129i</v>
      </c>
      <c r="AH87" s="31">
        <f t="shared" si="86"/>
        <v>1.01762506927129E-5</v>
      </c>
      <c r="AI87" s="31">
        <f t="shared" si="87"/>
        <v>1.5707963267948966</v>
      </c>
      <c r="AJ87" s="31" t="str">
        <f t="shared" si="72"/>
        <v>1+0.000735084821858442i</v>
      </c>
      <c r="AK87" s="31">
        <f t="shared" si="88"/>
        <v>1.0000002701748112</v>
      </c>
      <c r="AL87" s="31">
        <f t="shared" si="89"/>
        <v>7.3508468945753175E-4</v>
      </c>
      <c r="AM87" s="31" t="str">
        <f t="shared" si="73"/>
        <v>1+0.357467424841396i</v>
      </c>
      <c r="AN87" s="31">
        <f t="shared" si="90"/>
        <v>1.0619712612979408</v>
      </c>
      <c r="AO87" s="31">
        <f t="shared" si="91"/>
        <v>0.34331176271893638</v>
      </c>
      <c r="AP87" s="58" t="str">
        <f t="shared" si="92"/>
        <v>-0.0490431759472418+0.137515042692478i</v>
      </c>
      <c r="AQ87" s="49">
        <f t="shared" si="93"/>
        <v>-16.713020291593772</v>
      </c>
      <c r="AR87" s="61">
        <f t="shared" si="94"/>
        <v>109.62819781070118</v>
      </c>
      <c r="AS87" s="58" t="str">
        <f t="shared" si="95"/>
        <v>260.175217515757+338.062034106034i</v>
      </c>
      <c r="AT87" s="64">
        <f t="shared" si="96"/>
        <v>52.600166985463808</v>
      </c>
      <c r="AU87" s="61">
        <f t="shared" si="97"/>
        <v>52.41783458563679</v>
      </c>
    </row>
    <row r="88" spans="14:47" x14ac:dyDescent="0.4">
      <c r="N88" s="10">
        <v>70</v>
      </c>
      <c r="O88" s="50">
        <f t="shared" si="74"/>
        <v>50.118723362727238</v>
      </c>
      <c r="P88" s="48" t="str">
        <f t="shared" si="65"/>
        <v>5120.19230769231</v>
      </c>
      <c r="Q88" s="17" t="str">
        <f t="shared" si="66"/>
        <v>1+1.47157634573251i</v>
      </c>
      <c r="R88" s="17">
        <f t="shared" si="75"/>
        <v>1.7791955882700046</v>
      </c>
      <c r="S88" s="17">
        <f t="shared" si="76"/>
        <v>0.97393195837653002</v>
      </c>
      <c r="T88" s="17" t="str">
        <f t="shared" si="67"/>
        <v>1+3.14590321021039E-06i</v>
      </c>
      <c r="U88" s="17">
        <f t="shared" si="77"/>
        <v>1.0000000000049485</v>
      </c>
      <c r="V88" s="17">
        <f t="shared" si="78"/>
        <v>3.1459032102000122E-6</v>
      </c>
      <c r="W88" s="31" t="str">
        <f t="shared" si="68"/>
        <v>1-0.00510146466520603i</v>
      </c>
      <c r="X88" s="17">
        <f t="shared" si="79"/>
        <v>1.0000130123862041</v>
      </c>
      <c r="Y88" s="17">
        <f t="shared" si="80"/>
        <v>-5.1014204107901751E-3</v>
      </c>
      <c r="Z88" s="31" t="str">
        <f t="shared" si="69"/>
        <v>0.999998995245427+0.031060122990966i</v>
      </c>
      <c r="AA88" s="17">
        <f t="shared" si="81"/>
        <v>1.0004812450676313</v>
      </c>
      <c r="AB88" s="17">
        <f t="shared" si="82"/>
        <v>3.1050171722651475E-2</v>
      </c>
      <c r="AC88" s="66" t="str">
        <f t="shared" si="83"/>
        <v>1529.68354092467-2436.00620183165i</v>
      </c>
      <c r="AD88" s="64">
        <f t="shared" si="84"/>
        <v>69.177185583286061</v>
      </c>
      <c r="AE88" s="61">
        <f t="shared" si="85"/>
        <v>-57.873344152833887</v>
      </c>
      <c r="AF88" s="31" t="str">
        <f t="shared" si="70"/>
        <v>-1.39902068552014E-06</v>
      </c>
      <c r="AG88" s="31" t="str">
        <f t="shared" si="71"/>
        <v>0.0000104132860215453i</v>
      </c>
      <c r="AH88" s="31">
        <f t="shared" si="86"/>
        <v>1.04132860215453E-5</v>
      </c>
      <c r="AI88" s="31">
        <f t="shared" si="87"/>
        <v>1.5707963267948966</v>
      </c>
      <c r="AJ88" s="31" t="str">
        <f t="shared" si="72"/>
        <v>1+0.000752207146939689i</v>
      </c>
      <c r="AK88" s="31">
        <f t="shared" si="88"/>
        <v>1.0000002829077559</v>
      </c>
      <c r="AL88" s="31">
        <f t="shared" si="89"/>
        <v>7.5220700506955975E-4</v>
      </c>
      <c r="AM88" s="31" t="str">
        <f t="shared" si="73"/>
        <v>1+0.365793910808848i</v>
      </c>
      <c r="AN88" s="31">
        <f t="shared" si="90"/>
        <v>1.0648028856012888</v>
      </c>
      <c r="AO88" s="31">
        <f t="shared" si="91"/>
        <v>0.35067525262043509</v>
      </c>
      <c r="AP88" s="58" t="str">
        <f t="shared" si="92"/>
        <v>-0.0490431746983139+0.134386478511219i</v>
      </c>
      <c r="AQ88" s="49">
        <f t="shared" si="93"/>
        <v>-16.889891297707017</v>
      </c>
      <c r="AR88" s="61">
        <f t="shared" si="94"/>
        <v>110.04911366812416</v>
      </c>
      <c r="AS88" s="58" t="str">
        <f t="shared" si="95"/>
        <v>252.345757964941+325.038262024044i</v>
      </c>
      <c r="AT88" s="64">
        <f t="shared" si="96"/>
        <v>52.287294285579044</v>
      </c>
      <c r="AU88" s="61">
        <f t="shared" si="97"/>
        <v>52.175769515290284</v>
      </c>
    </row>
    <row r="89" spans="14:47" x14ac:dyDescent="0.4">
      <c r="N89" s="10">
        <v>71</v>
      </c>
      <c r="O89" s="50">
        <f t="shared" si="74"/>
        <v>51.28613839913649</v>
      </c>
      <c r="P89" s="48" t="str">
        <f t="shared" si="65"/>
        <v>5120.19230769231</v>
      </c>
      <c r="Q89" s="17" t="str">
        <f t="shared" si="66"/>
        <v>1+1.5058537621942i</v>
      </c>
      <c r="R89" s="17">
        <f t="shared" si="75"/>
        <v>1.8076491786611764</v>
      </c>
      <c r="S89" s="17">
        <f t="shared" si="76"/>
        <v>0.98459002577236487</v>
      </c>
      <c r="T89" s="17" t="str">
        <f t="shared" si="67"/>
        <v>1+3.21918070940182E-06i</v>
      </c>
      <c r="U89" s="17">
        <f t="shared" si="77"/>
        <v>1.0000000000051816</v>
      </c>
      <c r="V89" s="17">
        <f t="shared" si="78"/>
        <v>3.2191807093906997E-6</v>
      </c>
      <c r="W89" s="31" t="str">
        <f t="shared" si="68"/>
        <v>1-0.00522029304227321i</v>
      </c>
      <c r="X89" s="17">
        <f t="shared" si="79"/>
        <v>1.0000136256368946</v>
      </c>
      <c r="Y89" s="17">
        <f t="shared" si="80"/>
        <v>-5.2202456228471758E-3</v>
      </c>
      <c r="Z89" s="31" t="str">
        <f t="shared" si="69"/>
        <v>0.999998947892803+0.0317836061960338i</v>
      </c>
      <c r="AA89" s="17">
        <f t="shared" si="81"/>
        <v>1.0005039197372179</v>
      </c>
      <c r="AB89" s="17">
        <f t="shared" si="82"/>
        <v>3.1772943509960391E-2</v>
      </c>
      <c r="AC89" s="66" t="str">
        <f t="shared" si="83"/>
        <v>1477.90165125163-2414.76354219366i</v>
      </c>
      <c r="AD89" s="64">
        <f t="shared" si="84"/>
        <v>69.03918495394214</v>
      </c>
      <c r="AE89" s="61">
        <f t="shared" si="85"/>
        <v>-58.532222190004397</v>
      </c>
      <c r="AF89" s="31" t="str">
        <f t="shared" si="70"/>
        <v>-1.39902068552014E-06</v>
      </c>
      <c r="AG89" s="31" t="str">
        <f t="shared" si="71"/>
        <v>0.0000106558426124624i</v>
      </c>
      <c r="AH89" s="31">
        <f t="shared" si="86"/>
        <v>1.0655842612462399E-5</v>
      </c>
      <c r="AI89" s="31">
        <f t="shared" si="87"/>
        <v>1.5707963267948966</v>
      </c>
      <c r="AJ89" s="31" t="str">
        <f t="shared" si="72"/>
        <v>1+0.000769728302206883i</v>
      </c>
      <c r="AK89" s="31">
        <f t="shared" si="88"/>
        <v>1.0000002962407857</v>
      </c>
      <c r="AL89" s="31">
        <f t="shared" si="89"/>
        <v>7.6972815019030313E-4</v>
      </c>
      <c r="AM89" s="31" t="str">
        <f t="shared" si="73"/>
        <v>1+0.374314345549665i</v>
      </c>
      <c r="AN89" s="31">
        <f t="shared" si="90"/>
        <v>1.0677599118173868</v>
      </c>
      <c r="AO89" s="31">
        <f t="shared" si="91"/>
        <v>0.35816941309734918</v>
      </c>
      <c r="AP89" s="58" t="str">
        <f t="shared" si="92"/>
        <v>-0.0490431733905263+0.131329167819594i</v>
      </c>
      <c r="AQ89" s="49">
        <f t="shared" si="93"/>
        <v>-17.065803569667505</v>
      </c>
      <c r="AR89" s="61">
        <f t="shared" si="94"/>
        <v>110.47749354677748</v>
      </c>
      <c r="AS89" s="58" t="str">
        <f t="shared" si="95"/>
        <v>244.64789954091+312.519261075006i</v>
      </c>
      <c r="AT89" s="64">
        <f t="shared" si="96"/>
        <v>51.973381384274646</v>
      </c>
      <c r="AU89" s="61">
        <f t="shared" si="97"/>
        <v>51.945271356773098</v>
      </c>
    </row>
    <row r="90" spans="14:47" x14ac:dyDescent="0.4">
      <c r="N90" s="10">
        <v>72</v>
      </c>
      <c r="O90" s="50">
        <f t="shared" si="74"/>
        <v>52.480746024977286</v>
      </c>
      <c r="P90" s="48" t="str">
        <f t="shared" si="65"/>
        <v>5120.19230769231</v>
      </c>
      <c r="Q90" s="17" t="str">
        <f t="shared" si="66"/>
        <v>1+1.54092960225293i</v>
      </c>
      <c r="R90" s="17">
        <f t="shared" si="75"/>
        <v>1.836971431214806</v>
      </c>
      <c r="S90" s="17">
        <f t="shared" si="76"/>
        <v>0.99515332561233871</v>
      </c>
      <c r="T90" s="17" t="str">
        <f t="shared" si="67"/>
        <v>1+3.29416506081627E-06i</v>
      </c>
      <c r="U90" s="17">
        <f t="shared" si="77"/>
        <v>1.0000000000054259</v>
      </c>
      <c r="V90" s="17">
        <f t="shared" si="78"/>
        <v>3.2941650608043544E-6</v>
      </c>
      <c r="W90" s="31" t="str">
        <f t="shared" si="68"/>
        <v>1-0.00534188928781017i</v>
      </c>
      <c r="X90" s="17">
        <f t="shared" si="79"/>
        <v>1.0000142677887967</v>
      </c>
      <c r="Y90" s="17">
        <f t="shared" si="80"/>
        <v>-5.3418384770188834E-3</v>
      </c>
      <c r="Z90" s="31" t="str">
        <f t="shared" si="69"/>
        <v>0.999998898308519+0.0325239414898126i</v>
      </c>
      <c r="AA90" s="17">
        <f t="shared" si="81"/>
        <v>1.0005276624802957</v>
      </c>
      <c r="AB90" s="17">
        <f t="shared" si="82"/>
        <v>3.2512516541244769E-2</v>
      </c>
      <c r="AC90" s="66" t="str">
        <f t="shared" si="83"/>
        <v>1427.0368607941-2392.62235672139i</v>
      </c>
      <c r="AD90" s="64">
        <f t="shared" si="84"/>
        <v>68.89921933130347</v>
      </c>
      <c r="AE90" s="61">
        <f t="shared" si="85"/>
        <v>-59.186791562976715</v>
      </c>
      <c r="AF90" s="31" t="str">
        <f t="shared" si="70"/>
        <v>-1.39902068552014E-06</v>
      </c>
      <c r="AG90" s="31" t="str">
        <f t="shared" si="71"/>
        <v>0.0000109040490721794i</v>
      </c>
      <c r="AH90" s="31">
        <f t="shared" si="86"/>
        <v>1.0904049072179399E-5</v>
      </c>
      <c r="AI90" s="31">
        <f t="shared" si="87"/>
        <v>1.5707963267948966</v>
      </c>
      <c r="AJ90" s="31" t="str">
        <f t="shared" si="72"/>
        <v>1+0.000787657577608467i</v>
      </c>
      <c r="AK90" s="31">
        <f t="shared" si="88"/>
        <v>1.0000003102021817</v>
      </c>
      <c r="AL90" s="31">
        <f t="shared" si="89"/>
        <v>7.8765741471976969E-4</v>
      </c>
      <c r="AM90" s="31" t="str">
        <f t="shared" si="73"/>
        <v>1+0.383033246711129i</v>
      </c>
      <c r="AN90" s="31">
        <f t="shared" si="90"/>
        <v>1.0708475466125271</v>
      </c>
      <c r="AO90" s="31">
        <f t="shared" si="91"/>
        <v>0.36579484954167613</v>
      </c>
      <c r="AP90" s="58" t="str">
        <f t="shared" si="92"/>
        <v>-0.0490431720211044+0.128341489590999i</v>
      </c>
      <c r="AQ90" s="49">
        <f t="shared" si="93"/>
        <v>-17.24072300246916</v>
      </c>
      <c r="AR90" s="61">
        <f t="shared" si="94"/>
        <v>110.9133716007953</v>
      </c>
      <c r="AS90" s="58" t="str">
        <f t="shared" si="95"/>
        <v>237.086303045968+300.489826237805i</v>
      </c>
      <c r="AT90" s="64">
        <f t="shared" si="96"/>
        <v>51.658496328834296</v>
      </c>
      <c r="AU90" s="61">
        <f t="shared" si="97"/>
        <v>51.726580037818557</v>
      </c>
    </row>
    <row r="91" spans="14:47" x14ac:dyDescent="0.4">
      <c r="N91" s="10">
        <v>73</v>
      </c>
      <c r="O91" s="50">
        <f t="shared" si="74"/>
        <v>53.703179637025293</v>
      </c>
      <c r="P91" s="48" t="str">
        <f t="shared" si="65"/>
        <v>5120.19230769231</v>
      </c>
      <c r="Q91" s="17" t="str">
        <f t="shared" si="66"/>
        <v>1+1.57682246358339i</v>
      </c>
      <c r="R91" s="17">
        <f t="shared" si="75"/>
        <v>1.8671821233241259</v>
      </c>
      <c r="S91" s="17">
        <f t="shared" si="76"/>
        <v>1.00561802903985</v>
      </c>
      <c r="T91" s="17" t="str">
        <f t="shared" si="67"/>
        <v>1+3.37089602214939E-06i</v>
      </c>
      <c r="U91" s="17">
        <f t="shared" si="77"/>
        <v>1.0000000000056815</v>
      </c>
      <c r="V91" s="17">
        <f t="shared" si="78"/>
        <v>3.3708960221366221E-6</v>
      </c>
      <c r="W91" s="31" t="str">
        <f t="shared" si="68"/>
        <v>1-0.00546631787375576i</v>
      </c>
      <c r="X91" s="17">
        <f t="shared" si="79"/>
        <v>1.0000149402039435</v>
      </c>
      <c r="Y91" s="17">
        <f t="shared" si="80"/>
        <v>-5.466263429055913E-3</v>
      </c>
      <c r="Z91" s="31" t="str">
        <f t="shared" si="69"/>
        <v>0.999998846387399+0.0332815214078745i</v>
      </c>
      <c r="AA91" s="17">
        <f t="shared" si="81"/>
        <v>1.0005525235805224</v>
      </c>
      <c r="AB91" s="17">
        <f t="shared" si="82"/>
        <v>3.3269279720008399E-2</v>
      </c>
      <c r="AC91" s="66" t="str">
        <f t="shared" si="83"/>
        <v>1377.11753441652-2369.62992641808i</v>
      </c>
      <c r="AD91" s="64">
        <f t="shared" si="84"/>
        <v>68.757323776334786</v>
      </c>
      <c r="AE91" s="61">
        <f t="shared" si="85"/>
        <v>-59.836858867720608</v>
      </c>
      <c r="AF91" s="31" t="str">
        <f t="shared" si="70"/>
        <v>-1.39902068552014E-06</v>
      </c>
      <c r="AG91" s="31" t="str">
        <f t="shared" si="71"/>
        <v>0.0000111580370030467i</v>
      </c>
      <c r="AH91" s="31">
        <f t="shared" si="86"/>
        <v>1.11580370030467E-5</v>
      </c>
      <c r="AI91" s="31">
        <f t="shared" si="87"/>
        <v>1.5707963267948966</v>
      </c>
      <c r="AJ91" s="31" t="str">
        <f t="shared" si="72"/>
        <v>1+0.000806004479483578i</v>
      </c>
      <c r="AK91" s="31">
        <f t="shared" si="88"/>
        <v>1.0000003248215577</v>
      </c>
      <c r="AL91" s="31">
        <f t="shared" si="89"/>
        <v>8.0600430494519727E-4</v>
      </c>
      <c r="AM91" s="31" t="str">
        <f t="shared" si="73"/>
        <v>1+0.391955237170043i</v>
      </c>
      <c r="AN91" s="31">
        <f t="shared" si="90"/>
        <v>1.0740711838351427</v>
      </c>
      <c r="AO91" s="31">
        <f t="shared" si="91"/>
        <v>0.37355205686764492</v>
      </c>
      <c r="AP91" s="58" t="str">
        <f t="shared" si="92"/>
        <v>-0.0490431705871435+0.125421859718883i</v>
      </c>
      <c r="AQ91" s="49">
        <f t="shared" si="93"/>
        <v>-17.414614747969893</v>
      </c>
      <c r="AR91" s="61">
        <f t="shared" si="94"/>
        <v>111.35677564200419</v>
      </c>
      <c r="AS91" s="58" t="str">
        <f t="shared" si="95"/>
        <v>229.66518205794+288.934806927725i</v>
      </c>
      <c r="AT91" s="64">
        <f t="shared" si="96"/>
        <v>51.342709028364901</v>
      </c>
      <c r="AU91" s="61">
        <f t="shared" si="97"/>
        <v>51.519916774283558</v>
      </c>
    </row>
    <row r="92" spans="14:47" x14ac:dyDescent="0.4">
      <c r="N92" s="10">
        <v>74</v>
      </c>
      <c r="O92" s="50">
        <f t="shared" si="74"/>
        <v>54.95408738576247</v>
      </c>
      <c r="P92" s="48" t="str">
        <f t="shared" si="65"/>
        <v>5120.19230769231</v>
      </c>
      <c r="Q92" s="17" t="str">
        <f t="shared" si="66"/>
        <v>1+1.61355137705576i</v>
      </c>
      <c r="R92" s="17">
        <f t="shared" si="75"/>
        <v>1.8983013581616957</v>
      </c>
      <c r="S92" s="17">
        <f t="shared" si="76"/>
        <v>1.01598051641473</v>
      </c>
      <c r="T92" s="17" t="str">
        <f t="shared" si="67"/>
        <v>1+3.44941427717255E-06i</v>
      </c>
      <c r="U92" s="17">
        <f t="shared" si="77"/>
        <v>1.0000000000059492</v>
      </c>
      <c r="V92" s="17">
        <f t="shared" si="78"/>
        <v>3.449414277158869E-6</v>
      </c>
      <c r="W92" s="31" t="str">
        <f t="shared" si="68"/>
        <v>1-0.00559364477379331i</v>
      </c>
      <c r="X92" s="17">
        <f t="shared" si="79"/>
        <v>1.0000156443085555</v>
      </c>
      <c r="Y92" s="17">
        <f t="shared" si="80"/>
        <v>-5.5935864352956478E-3</v>
      </c>
      <c r="Z92" s="31" t="str">
        <f t="shared" si="69"/>
        <v>0.999998792019312+0.0340567476291199i</v>
      </c>
      <c r="AA92" s="17">
        <f t="shared" si="81"/>
        <v>1.0005785556862374</v>
      </c>
      <c r="AB92" s="17">
        <f t="shared" si="82"/>
        <v>3.4043630833845775E-2</v>
      </c>
      <c r="AC92" s="66" t="str">
        <f t="shared" si="83"/>
        <v>1328.16902839128-2345.83421617685i</v>
      </c>
      <c r="AD92" s="64">
        <f t="shared" si="84"/>
        <v>68.613534353088838</v>
      </c>
      <c r="AE92" s="61">
        <f t="shared" si="85"/>
        <v>-60.482243282370973</v>
      </c>
      <c r="AF92" s="31" t="str">
        <f t="shared" si="70"/>
        <v>-1.39902068552014E-06</v>
      </c>
      <c r="AG92" s="31" t="str">
        <f t="shared" si="71"/>
        <v>0.000011417941072827i</v>
      </c>
      <c r="AH92" s="31">
        <f t="shared" si="86"/>
        <v>1.1417941072827E-5</v>
      </c>
      <c r="AI92" s="31">
        <f t="shared" si="87"/>
        <v>1.5707963267948966</v>
      </c>
      <c r="AJ92" s="31" t="str">
        <f t="shared" si="72"/>
        <v>1+0.000824778735602443i</v>
      </c>
      <c r="AK92" s="31">
        <f t="shared" si="88"/>
        <v>1.0000003401299236</v>
      </c>
      <c r="AL92" s="31">
        <f t="shared" si="89"/>
        <v>8.2477854858120203E-4</v>
      </c>
      <c r="AM92" s="31" t="str">
        <f t="shared" si="73"/>
        <v>1+0.401085047483847i</v>
      </c>
      <c r="AN92" s="31">
        <f t="shared" si="90"/>
        <v>1.0774364089425974</v>
      </c>
      <c r="AO92" s="31">
        <f t="shared" si="91"/>
        <v>0.38144141275409149</v>
      </c>
      <c r="AP92" s="58" t="str">
        <f t="shared" si="92"/>
        <v>-0.0490431690856027+0.122568730176836i</v>
      </c>
      <c r="AQ92" s="49">
        <f t="shared" si="93"/>
        <v>-17.587443238293453</v>
      </c>
      <c r="AR92" s="61">
        <f t="shared" si="94"/>
        <v>111.80772675245048</v>
      </c>
      <c r="AS92" s="58" t="str">
        <f t="shared" si="95"/>
        <v>222.388302848516+277.839135380875i</v>
      </c>
      <c r="AT92" s="64">
        <f t="shared" si="96"/>
        <v>51.026091114795385</v>
      </c>
      <c r="AU92" s="61">
        <f t="shared" si="97"/>
        <v>51.325483470079497</v>
      </c>
    </row>
    <row r="93" spans="14:47" x14ac:dyDescent="0.4">
      <c r="N93" s="10">
        <v>75</v>
      </c>
      <c r="O93" s="50">
        <f t="shared" si="74"/>
        <v>56.234132519034915</v>
      </c>
      <c r="P93" s="48" t="str">
        <f t="shared" si="65"/>
        <v>5120.19230769231</v>
      </c>
      <c r="Q93" s="17" t="str">
        <f t="shared" si="66"/>
        <v>1+1.65113581682612i</v>
      </c>
      <c r="R93" s="17">
        <f t="shared" si="75"/>
        <v>1.9303495760110547</v>
      </c>
      <c r="S93" s="17">
        <f t="shared" si="76"/>
        <v>1.0262373798457356</v>
      </c>
      <c r="T93" s="17" t="str">
        <f t="shared" si="67"/>
        <v>1+3.52976145730385E-06i</v>
      </c>
      <c r="U93" s="17">
        <f t="shared" si="77"/>
        <v>1.0000000000062297</v>
      </c>
      <c r="V93" s="17">
        <f t="shared" si="78"/>
        <v>3.5297614572891909E-6</v>
      </c>
      <c r="W93" s="31" t="str">
        <f t="shared" si="68"/>
        <v>1-0.00572393749833056i</v>
      </c>
      <c r="X93" s="17">
        <f t="shared" si="79"/>
        <v>1.0000163815960641</v>
      </c>
      <c r="Y93" s="17">
        <f t="shared" si="80"/>
        <v>-5.7238749875593827E-3</v>
      </c>
      <c r="Z93" s="31" t="str">
        <f t="shared" si="69"/>
        <v>0.999998735088936+0.0348500311887525i</v>
      </c>
      <c r="AA93" s="17">
        <f t="shared" si="81"/>
        <v>1.0006058139214109</v>
      </c>
      <c r="AB93" s="17">
        <f t="shared" si="82"/>
        <v>3.4835976748940685E-2</v>
      </c>
      <c r="AC93" s="66" t="str">
        <f t="shared" si="83"/>
        <v>1280.21370746452-2321.28366044812i</v>
      </c>
      <c r="AD93" s="64">
        <f t="shared" si="84"/>
        <v>68.467888013383785</v>
      </c>
      <c r="AE93" s="61">
        <f t="shared" si="85"/>
        <v>-61.122776725468228</v>
      </c>
      <c r="AF93" s="31" t="str">
        <f t="shared" si="70"/>
        <v>-1.39902068552014E-06</v>
      </c>
      <c r="AG93" s="31" t="str">
        <f t="shared" si="71"/>
        <v>0.0000116838990860985i</v>
      </c>
      <c r="AH93" s="31">
        <f t="shared" si="86"/>
        <v>1.1683899086098499E-5</v>
      </c>
      <c r="AI93" s="31">
        <f t="shared" si="87"/>
        <v>1.5707963267948966</v>
      </c>
      <c r="AJ93" s="31" t="str">
        <f t="shared" si="72"/>
        <v>1+0.00084399030032416i</v>
      </c>
      <c r="AK93" s="31">
        <f t="shared" si="88"/>
        <v>1.0000003561597501</v>
      </c>
      <c r="AL93" s="31">
        <f t="shared" si="89"/>
        <v>8.4399009992729374E-4</v>
      </c>
      <c r="AM93" s="31" t="str">
        <f t="shared" si="73"/>
        <v>1+0.410427518398814i</v>
      </c>
      <c r="AN93" s="31">
        <f t="shared" si="90"/>
        <v>1.0809490033572391</v>
      </c>
      <c r="AO93" s="31">
        <f t="shared" si="91"/>
        <v>0.389463170818037</v>
      </c>
      <c r="AP93" s="58" t="str">
        <f t="shared" si="92"/>
        <v>-0.0490431675132961+0.119780588197801i</v>
      </c>
      <c r="AQ93" s="49">
        <f t="shared" si="93"/>
        <v>-17.759172213173802</v>
      </c>
      <c r="AR93" s="61">
        <f t="shared" si="94"/>
        <v>112.26623889297952</v>
      </c>
      <c r="AS93" s="58" t="str">
        <f t="shared" si="95"/>
        <v>215.25898691442+267.187854304222i</v>
      </c>
      <c r="AT93" s="64">
        <f t="shared" si="96"/>
        <v>50.708715800209987</v>
      </c>
      <c r="AU93" s="61">
        <f t="shared" si="97"/>
        <v>51.143462167511309</v>
      </c>
    </row>
    <row r="94" spans="14:47" x14ac:dyDescent="0.4">
      <c r="N94" s="10">
        <v>76</v>
      </c>
      <c r="O94" s="50">
        <f t="shared" si="74"/>
        <v>57.543993733715695</v>
      </c>
      <c r="P94" s="48" t="str">
        <f t="shared" si="65"/>
        <v>5120.19230769231</v>
      </c>
      <c r="Q94" s="17" t="str">
        <f t="shared" si="66"/>
        <v>1+1.68959571066193i</v>
      </c>
      <c r="R94" s="17">
        <f t="shared" si="75"/>
        <v>1.9633475661449227</v>
      </c>
      <c r="S94" s="17">
        <f t="shared" si="76"/>
        <v>1.036385424797833</v>
      </c>
      <c r="T94" s="17" t="str">
        <f t="shared" si="67"/>
        <v>1+3.61198016368173E-06i</v>
      </c>
      <c r="U94" s="17">
        <f t="shared" si="77"/>
        <v>1.0000000000065232</v>
      </c>
      <c r="V94" s="17">
        <f t="shared" si="78"/>
        <v>3.611980163666022E-6</v>
      </c>
      <c r="W94" s="31" t="str">
        <f t="shared" si="68"/>
        <v>1-0.00585726513029469i</v>
      </c>
      <c r="X94" s="17">
        <f t="shared" si="79"/>
        <v>1.0000171536302798</v>
      </c>
      <c r="Y94" s="17">
        <f t="shared" si="80"/>
        <v>-5.8571981488586417E-3</v>
      </c>
      <c r="Z94" s="31" t="str">
        <f t="shared" si="69"/>
        <v>0.999998675475514+0.0356617926962162i</v>
      </c>
      <c r="AA94" s="17">
        <f t="shared" si="81"/>
        <v>1.0006343560017767</v>
      </c>
      <c r="AB94" s="17">
        <f t="shared" si="82"/>
        <v>3.5646733608212973E-2</v>
      </c>
      <c r="AC94" s="66" t="str">
        <f t="shared" si="83"/>
        <v>1233.27097844429-2296.02695595634i</v>
      </c>
      <c r="AD94" s="64">
        <f t="shared" si="84"/>
        <v>68.320422482405007</v>
      </c>
      <c r="AE94" s="61">
        <f t="shared" si="85"/>
        <v>-61.758303961448931</v>
      </c>
      <c r="AF94" s="31" t="str">
        <f t="shared" si="70"/>
        <v>-1.39902068552014E-06</v>
      </c>
      <c r="AG94" s="31" t="str">
        <f t="shared" si="71"/>
        <v>0.0000119560520573201i</v>
      </c>
      <c r="AH94" s="31">
        <f t="shared" si="86"/>
        <v>1.1956052057320099E-5</v>
      </c>
      <c r="AI94" s="31">
        <f t="shared" si="87"/>
        <v>1.5707963267948966</v>
      </c>
      <c r="AJ94" s="31" t="str">
        <f t="shared" si="72"/>
        <v>1+0.000863649359874643i</v>
      </c>
      <c r="AK94" s="31">
        <f t="shared" si="88"/>
        <v>1.0000003729450389</v>
      </c>
      <c r="AL94" s="31">
        <f t="shared" si="89"/>
        <v>8.6364914514553629E-4</v>
      </c>
      <c r="AM94" s="31" t="str">
        <f t="shared" si="73"/>
        <v>1+0.419987603416687i</v>
      </c>
      <c r="AN94" s="31">
        <f t="shared" si="90"/>
        <v>1.0846149487369665</v>
      </c>
      <c r="AO94" s="31">
        <f t="shared" si="91"/>
        <v>0.39761745374741142</v>
      </c>
      <c r="AP94" s="58" t="str">
        <f t="shared" si="92"/>
        <v>-0.0490431658668894+0.117055955471987i</v>
      </c>
      <c r="AQ94" s="49">
        <f t="shared" si="93"/>
        <v>-17.929764751427953</v>
      </c>
      <c r="AR94" s="61">
        <f t="shared" si="94"/>
        <v>112.73231850946803</v>
      </c>
      <c r="AS94" s="58" t="str">
        <f t="shared" si="95"/>
        <v>208.280115964243+256.966143573485i</v>
      </c>
      <c r="AT94" s="64">
        <f t="shared" si="96"/>
        <v>50.390657730977075</v>
      </c>
      <c r="AU94" s="61">
        <f t="shared" si="97"/>
        <v>50.974014548019142</v>
      </c>
    </row>
    <row r="95" spans="14:47" x14ac:dyDescent="0.4">
      <c r="N95" s="10">
        <v>77</v>
      </c>
      <c r="O95" s="50">
        <f t="shared" si="74"/>
        <v>58.884365535558949</v>
      </c>
      <c r="P95" s="48" t="str">
        <f t="shared" si="65"/>
        <v>5120.19230769231</v>
      </c>
      <c r="Q95" s="17" t="str">
        <f t="shared" si="66"/>
        <v>1+1.72895145050798i</v>
      </c>
      <c r="R95" s="17">
        <f t="shared" si="75"/>
        <v>1.9973164792324847</v>
      </c>
      <c r="S95" s="17">
        <f t="shared" si="76"/>
        <v>1.0464216708080645</v>
      </c>
      <c r="T95" s="17" t="str">
        <f t="shared" si="67"/>
        <v>1+3.69611398975261E-06i</v>
      </c>
      <c r="U95" s="17">
        <f t="shared" si="77"/>
        <v>1.0000000000068305</v>
      </c>
      <c r="V95" s="17">
        <f t="shared" si="78"/>
        <v>3.6961139897357784E-6</v>
      </c>
      <c r="W95" s="31" t="str">
        <f t="shared" si="68"/>
        <v>1-0.00599369836176098i</v>
      </c>
      <c r="X95" s="17">
        <f t="shared" si="79"/>
        <v>1.0000179620487084</v>
      </c>
      <c r="Y95" s="17">
        <f t="shared" si="80"/>
        <v>-5.9936265899287865E-3</v>
      </c>
      <c r="Z95" s="31" t="str">
        <f t="shared" si="69"/>
        <v>0.999998613052598+0.036492462558207i</v>
      </c>
      <c r="AA95" s="17">
        <f t="shared" si="81"/>
        <v>1.0006642423563867</v>
      </c>
      <c r="AB95" s="17">
        <f t="shared" si="82"/>
        <v>3.6476327033133638E-2</v>
      </c>
      <c r="AC95" s="66" t="str">
        <f t="shared" si="83"/>
        <v>1187.35733914098-2270.11286275216i</v>
      </c>
      <c r="AD95" s="64">
        <f t="shared" si="84"/>
        <v>68.171176145837023</v>
      </c>
      <c r="AE95" s="61">
        <f t="shared" si="85"/>
        <v>-62.388682655315677</v>
      </c>
      <c r="AF95" s="31" t="str">
        <f t="shared" si="70"/>
        <v>-1.39902068552014E-06</v>
      </c>
      <c r="AG95" s="31" t="str">
        <f t="shared" si="71"/>
        <v>0.0000122345442855995i</v>
      </c>
      <c r="AH95" s="31">
        <f t="shared" si="86"/>
        <v>1.2234544285599499E-5</v>
      </c>
      <c r="AI95" s="31">
        <f t="shared" si="87"/>
        <v>1.5707963267948966</v>
      </c>
      <c r="AJ95" s="31" t="str">
        <f t="shared" si="72"/>
        <v>1+0.000883766337747481i</v>
      </c>
      <c r="AK95" s="31">
        <f t="shared" si="88"/>
        <v>1.0000003905213937</v>
      </c>
      <c r="AL95" s="31">
        <f t="shared" si="89"/>
        <v>8.8376610766110271E-4</v>
      </c>
      <c r="AM95" s="31" t="str">
        <f t="shared" si="73"/>
        <v>1+0.429770371421084i</v>
      </c>
      <c r="AN95" s="31">
        <f t="shared" si="90"/>
        <v>1.0884404311451392</v>
      </c>
      <c r="AO95" s="31">
        <f t="shared" si="91"/>
        <v>0.4059042464237147</v>
      </c>
      <c r="AP95" s="58" t="str">
        <f t="shared" si="92"/>
        <v>-0.0490431641428901+0.11439338736305i</v>
      </c>
      <c r="AQ95" s="49">
        <f t="shared" si="93"/>
        <v>-18.099183306733632</v>
      </c>
      <c r="AR95" s="61">
        <f t="shared" si="94"/>
        <v>113.20596413847126</v>
      </c>
      <c r="AS95" s="58" t="str">
        <f t="shared" si="95"/>
        <v>201.454139186894+247.159345785555i</v>
      </c>
      <c r="AT95" s="64">
        <f t="shared" si="96"/>
        <v>50.071992839103395</v>
      </c>
      <c r="AU95" s="61">
        <f t="shared" si="97"/>
        <v>50.817281483155604</v>
      </c>
    </row>
    <row r="96" spans="14:47" x14ac:dyDescent="0.4">
      <c r="N96" s="10">
        <v>78</v>
      </c>
      <c r="O96" s="50">
        <f t="shared" si="74"/>
        <v>60.255958607435822</v>
      </c>
      <c r="P96" s="48" t="str">
        <f t="shared" si="65"/>
        <v>5120.19230769231</v>
      </c>
      <c r="Q96" s="17" t="str">
        <f t="shared" si="66"/>
        <v>1+1.76922390329846i</v>
      </c>
      <c r="R96" s="17">
        <f t="shared" si="75"/>
        <v>2.0322778402577333</v>
      </c>
      <c r="S96" s="17">
        <f t="shared" si="76"/>
        <v>1.0563433513490881</v>
      </c>
      <c r="T96" s="17" t="str">
        <f t="shared" si="67"/>
        <v>1+0.0000037822075443847i</v>
      </c>
      <c r="U96" s="17">
        <f t="shared" si="77"/>
        <v>1.0000000000071525</v>
      </c>
      <c r="V96" s="17">
        <f t="shared" si="78"/>
        <v>3.7822075443666651E-6</v>
      </c>
      <c r="W96" s="31" t="str">
        <f t="shared" si="68"/>
        <v>1-0.00613330953143464i</v>
      </c>
      <c r="X96" s="17">
        <f t="shared" si="79"/>
        <v>1.0000188085660231</v>
      </c>
      <c r="Y96" s="17">
        <f t="shared" si="80"/>
        <v>-6.1332326266089936E-3</v>
      </c>
      <c r="Z96" s="31" t="str">
        <f t="shared" si="69"/>
        <v>0.999998547687781+0.0373424812068811i</v>
      </c>
      <c r="AA96" s="17">
        <f t="shared" si="81"/>
        <v>1.000695536254838</v>
      </c>
      <c r="AB96" s="17">
        <f t="shared" si="82"/>
        <v>3.7325192329230046E-2</v>
      </c>
      <c r="AC96" s="66" t="str">
        <f t="shared" si="83"/>
        <v>1142.48644139991-2243.59001471668i</v>
      </c>
      <c r="AD96" s="64">
        <f t="shared" si="84"/>
        <v>68.020187939085034</v>
      </c>
      <c r="AE96" s="61">
        <f t="shared" si="85"/>
        <v>-63.013783378733983</v>
      </c>
      <c r="AF96" s="31" t="str">
        <f t="shared" si="70"/>
        <v>-1.39902068552014E-06</v>
      </c>
      <c r="AG96" s="31" t="str">
        <f t="shared" si="71"/>
        <v>0.0000125195234312025i</v>
      </c>
      <c r="AH96" s="31">
        <f t="shared" si="86"/>
        <v>1.25195234312025E-5</v>
      </c>
      <c r="AI96" s="31">
        <f t="shared" si="87"/>
        <v>1.5707963267948966</v>
      </c>
      <c r="AJ96" s="31" t="str">
        <f t="shared" si="72"/>
        <v>1+0.000904351900230623i</v>
      </c>
      <c r="AK96" s="31">
        <f t="shared" si="88"/>
        <v>1.0000004089260961</v>
      </c>
      <c r="AL96" s="31">
        <f t="shared" si="89"/>
        <v>9.0435165368863216E-4</v>
      </c>
      <c r="AM96" s="31" t="str">
        <f t="shared" si="73"/>
        <v>1+0.439781009365092i</v>
      </c>
      <c r="AN96" s="31">
        <f t="shared" si="90"/>
        <v>1.0924318451043888</v>
      </c>
      <c r="AO96" s="31">
        <f t="shared" si="91"/>
        <v>0.41432338906839966</v>
      </c>
      <c r="AP96" s="58" t="str">
        <f t="shared" si="92"/>
        <v>-0.0490431623376412+0.111791472142123i</v>
      </c>
      <c r="AQ96" s="49">
        <f t="shared" si="93"/>
        <v>-18.267389747873565</v>
      </c>
      <c r="AR96" s="61">
        <f t="shared" si="94"/>
        <v>113.68716601422412</v>
      </c>
      <c r="AS96" s="58" t="str">
        <f t="shared" si="95"/>
        <v>194.783082614415+237.752990497372i</v>
      </c>
      <c r="AT96" s="64">
        <f t="shared" si="96"/>
        <v>49.752798191211454</v>
      </c>
      <c r="AU96" s="61">
        <f t="shared" si="97"/>
        <v>50.673382635490157</v>
      </c>
    </row>
    <row r="97" spans="14:47" x14ac:dyDescent="0.4">
      <c r="N97" s="10">
        <v>79</v>
      </c>
      <c r="O97" s="50">
        <f t="shared" si="74"/>
        <v>61.659500186148257</v>
      </c>
      <c r="P97" s="48" t="str">
        <f t="shared" si="65"/>
        <v>5120.19230769231</v>
      </c>
      <c r="Q97" s="17" t="str">
        <f t="shared" si="66"/>
        <v>1+1.81043442202091i</v>
      </c>
      <c r="R97" s="17">
        <f t="shared" si="75"/>
        <v>2.0682535619304967</v>
      </c>
      <c r="S97" s="17">
        <f t="shared" si="76"/>
        <v>1.0661479128839959</v>
      </c>
      <c r="T97" s="17" t="str">
        <f t="shared" si="67"/>
        <v>1+3.87030647552027E-06i</v>
      </c>
      <c r="U97" s="17">
        <f t="shared" si="77"/>
        <v>1.0000000000074896</v>
      </c>
      <c r="V97" s="17">
        <f t="shared" si="78"/>
        <v>3.8703064755009454E-6</v>
      </c>
      <c r="W97" s="31" t="str">
        <f t="shared" si="68"/>
        <v>1-0.00627617266300583i</v>
      </c>
      <c r="X97" s="17">
        <f t="shared" si="79"/>
        <v>1.0000196949777018</v>
      </c>
      <c r="Y97" s="17">
        <f t="shared" si="80"/>
        <v>-6.2760902580881357E-3</v>
      </c>
      <c r="Z97" s="31" t="str">
        <f t="shared" si="69"/>
        <v>0.999998479242415+0.0382122993333772i</v>
      </c>
      <c r="AA97" s="17">
        <f t="shared" si="81"/>
        <v>1.0007283039404282</v>
      </c>
      <c r="AB97" s="17">
        <f t="shared" si="82"/>
        <v>3.8193774695292525E-2</v>
      </c>
      <c r="AC97" s="66" t="str">
        <f t="shared" si="83"/>
        <v>1098.66916690054-2216.50674046147i</v>
      </c>
      <c r="AD97" s="64">
        <f t="shared" si="84"/>
        <v>67.867497239095329</v>
      </c>
      <c r="AE97" s="61">
        <f t="shared" si="85"/>
        <v>-63.633489570053264</v>
      </c>
      <c r="AF97" s="31" t="str">
        <f t="shared" si="70"/>
        <v>-1.39902068552014E-06</v>
      </c>
      <c r="AG97" s="31" t="str">
        <f t="shared" si="71"/>
        <v>0.0000128111405938442i</v>
      </c>
      <c r="AH97" s="31">
        <f t="shared" si="86"/>
        <v>1.2811140593844201E-5</v>
      </c>
      <c r="AI97" s="31">
        <f t="shared" si="87"/>
        <v>1.5707963267948966</v>
      </c>
      <c r="AJ97" s="31" t="str">
        <f t="shared" si="72"/>
        <v>1+0.000925416962061781i</v>
      </c>
      <c r="AK97" s="31">
        <f t="shared" si="88"/>
        <v>1.0000004281981851</v>
      </c>
      <c r="AL97" s="31">
        <f t="shared" si="89"/>
        <v>9.254166978872844E-4</v>
      </c>
      <c r="AM97" s="31" t="str">
        <f t="shared" si="73"/>
        <v>1+0.450024825021456i</v>
      </c>
      <c r="AN97" s="31">
        <f t="shared" si="90"/>
        <v>1.0965957975186629</v>
      </c>
      <c r="AO97" s="31">
        <f t="shared" si="91"/>
        <v>0.42287457044963883</v>
      </c>
      <c r="AP97" s="58" t="str">
        <f t="shared" si="92"/>
        <v>-0.0490431604473138+0.109248830239308i</v>
      </c>
      <c r="AQ97" s="49">
        <f t="shared" si="93"/>
        <v>-18.434345403589973</v>
      </c>
      <c r="AR97" s="61">
        <f t="shared" si="94"/>
        <v>114.17590567909208</v>
      </c>
      <c r="AS97" s="58" t="str">
        <f t="shared" si="95"/>
        <v>188.268560382137+228.732817008883i</v>
      </c>
      <c r="AT97" s="64">
        <f t="shared" si="96"/>
        <v>49.433151835505342</v>
      </c>
      <c r="AU97" s="61">
        <f t="shared" si="97"/>
        <v>50.542416109038832</v>
      </c>
    </row>
    <row r="98" spans="14:47" x14ac:dyDescent="0.4">
      <c r="N98" s="10">
        <v>80</v>
      </c>
      <c r="O98" s="50">
        <f t="shared" si="74"/>
        <v>63.095734448019364</v>
      </c>
      <c r="P98" s="48" t="str">
        <f t="shared" si="65"/>
        <v>5120.19230769231</v>
      </c>
      <c r="Q98" s="17" t="str">
        <f t="shared" si="66"/>
        <v>1+1.85260485703786i</v>
      </c>
      <c r="R98" s="17">
        <f t="shared" si="75"/>
        <v>2.1052659585715694</v>
      </c>
      <c r="S98" s="17">
        <f t="shared" si="76"/>
        <v>1.0758330131597604</v>
      </c>
      <c r="T98" s="17" t="str">
        <f t="shared" si="67"/>
        <v>1+3.96045749437871E-06i</v>
      </c>
      <c r="U98" s="17">
        <f t="shared" si="77"/>
        <v>1.0000000000078426</v>
      </c>
      <c r="V98" s="17">
        <f t="shared" si="78"/>
        <v>3.9604574943580033E-6</v>
      </c>
      <c r="W98" s="31" t="str">
        <f t="shared" si="68"/>
        <v>1-0.0064223635043979i</v>
      </c>
      <c r="X98" s="17">
        <f t="shared" si="79"/>
        <v>1.000020623163834</v>
      </c>
      <c r="Y98" s="17">
        <f t="shared" si="80"/>
        <v>-6.4222752060360917E-3</v>
      </c>
      <c r="Z98" s="31" t="str">
        <f t="shared" si="69"/>
        <v>0.999998407571318+0.0391023781267793i</v>
      </c>
      <c r="AA98" s="17">
        <f t="shared" si="81"/>
        <v>1.0007626147695274</v>
      </c>
      <c r="AB98" s="17">
        <f t="shared" si="82"/>
        <v>3.9082529436294859E-2</v>
      </c>
      <c r="AC98" s="66" t="str">
        <f t="shared" si="83"/>
        <v>1055.9137143536-2188.91089539598i</v>
      </c>
      <c r="AD98" s="64">
        <f t="shared" si="84"/>
        <v>67.71314375923285</v>
      </c>
      <c r="AE98" s="61">
        <f t="shared" si="85"/>
        <v>-64.24769745097008</v>
      </c>
      <c r="AF98" s="31" t="str">
        <f t="shared" si="70"/>
        <v>-1.39902068552014E-06</v>
      </c>
      <c r="AG98" s="31" t="str">
        <f t="shared" si="71"/>
        <v>0.0000131095503928043i</v>
      </c>
      <c r="AH98" s="31">
        <f t="shared" si="86"/>
        <v>1.31095503928043E-5</v>
      </c>
      <c r="AI98" s="31">
        <f t="shared" si="87"/>
        <v>1.5707963267948966</v>
      </c>
      <c r="AJ98" s="31" t="str">
        <f t="shared" si="72"/>
        <v>1+0.000946972692215564i</v>
      </c>
      <c r="AK98" s="31">
        <f t="shared" si="88"/>
        <v>1.0000004483785394</v>
      </c>
      <c r="AL98" s="31">
        <f t="shared" si="89"/>
        <v>9.4697240914749781E-4</v>
      </c>
      <c r="AM98" s="31" t="str">
        <f t="shared" si="73"/>
        <v>1+0.460507249796827i</v>
      </c>
      <c r="AN98" s="31">
        <f t="shared" si="90"/>
        <v>1.1009391114477844</v>
      </c>
      <c r="AO98" s="31">
        <f t="shared" si="91"/>
        <v>0.43155732118904222</v>
      </c>
      <c r="AP98" s="58" t="str">
        <f t="shared" si="92"/>
        <v>-0.0490431584678977+0.1067641135122i</v>
      </c>
      <c r="AQ98" s="49">
        <f t="shared" si="93"/>
        <v>-18.600011112176059</v>
      </c>
      <c r="AR98" s="61">
        <f t="shared" si="94"/>
        <v>114.67215559974426</v>
      </c>
      <c r="AS98" s="58" t="str">
        <f t="shared" si="95"/>
        <v>181.911787682678+220.084795573349i</v>
      </c>
      <c r="AT98" s="64">
        <f t="shared" si="96"/>
        <v>49.113132647056794</v>
      </c>
      <c r="AU98" s="61">
        <f t="shared" si="97"/>
        <v>50.4244581487741</v>
      </c>
    </row>
    <row r="99" spans="14:47" x14ac:dyDescent="0.4">
      <c r="N99" s="10">
        <v>81</v>
      </c>
      <c r="O99" s="50">
        <f t="shared" si="74"/>
        <v>64.565422903465588</v>
      </c>
      <c r="P99" s="48" t="str">
        <f t="shared" si="65"/>
        <v>5120.19230769231</v>
      </c>
      <c r="Q99" s="17" t="str">
        <f t="shared" si="66"/>
        <v>1+1.89575756767213i</v>
      </c>
      <c r="R99" s="17">
        <f t="shared" si="75"/>
        <v>2.1433377604535764</v>
      </c>
      <c r="S99" s="17">
        <f t="shared" si="76"/>
        <v>1.0853965187896728</v>
      </c>
      <c r="T99" s="17" t="str">
        <f t="shared" si="67"/>
        <v>1+4.05270840022353E-06i</v>
      </c>
      <c r="U99" s="17">
        <f t="shared" si="77"/>
        <v>1.0000000000082121</v>
      </c>
      <c r="V99" s="17">
        <f t="shared" si="78"/>
        <v>4.0527084002013416E-6</v>
      </c>
      <c r="W99" s="31" t="str">
        <f t="shared" si="68"/>
        <v>1-0.00657195956793003i</v>
      </c>
      <c r="X99" s="17">
        <f t="shared" si="79"/>
        <v>1.0000215950931073</v>
      </c>
      <c r="Y99" s="17">
        <f t="shared" si="80"/>
        <v>-6.571864954641079E-3</v>
      </c>
      <c r="Z99" s="31" t="str">
        <f t="shared" si="69"/>
        <v>0.999998332522466+0.0400131895186455i</v>
      </c>
      <c r="AA99" s="17">
        <f t="shared" si="81"/>
        <v>1.0007985413574341</v>
      </c>
      <c r="AB99" s="17">
        <f t="shared" si="82"/>
        <v>3.999192218003194E-2</v>
      </c>
      <c r="AC99" s="66" t="str">
        <f t="shared" si="83"/>
        <v>1014.22569670619-2160.84970556448i</v>
      </c>
      <c r="AD99" s="64">
        <f t="shared" si="84"/>
        <v>67.557167447621993</v>
      </c>
      <c r="AE99" s="61">
        <f t="shared" si="85"/>
        <v>-64.856315902715664</v>
      </c>
      <c r="AF99" s="31" t="str">
        <f t="shared" si="70"/>
        <v>-1.39902068552014E-06</v>
      </c>
      <c r="AG99" s="31" t="str">
        <f t="shared" si="71"/>
        <v>0.0000134149110489081i</v>
      </c>
      <c r="AH99" s="31">
        <f t="shared" si="86"/>
        <v>1.34149110489081E-5</v>
      </c>
      <c r="AI99" s="31">
        <f t="shared" si="87"/>
        <v>1.5707963267948966</v>
      </c>
      <c r="AJ99" s="31" t="str">
        <f t="shared" si="72"/>
        <v>1+0.000969030519825426i</v>
      </c>
      <c r="AK99" s="31">
        <f t="shared" si="88"/>
        <v>1.000000469509964</v>
      </c>
      <c r="AL99" s="31">
        <f t="shared" si="89"/>
        <v>9.6903021651253615E-4</v>
      </c>
      <c r="AM99" s="31" t="str">
        <f t="shared" si="73"/>
        <v>1+0.471233841611576i</v>
      </c>
      <c r="AN99" s="31">
        <f t="shared" si="90"/>
        <v>1.1054688297188682</v>
      </c>
      <c r="AO99" s="31">
        <f t="shared" si="91"/>
        <v>0.44037100721068712</v>
      </c>
      <c r="AP99" s="58" t="str">
        <f t="shared" si="92"/>
        <v>-0.0490431563951949+0.104336004531089i</v>
      </c>
      <c r="AQ99" s="49">
        <f t="shared" si="93"/>
        <v>-18.764347275903301</v>
      </c>
      <c r="AR99" s="61">
        <f t="shared" si="94"/>
        <v>115.17587879147059</v>
      </c>
      <c r="AS99" s="58" t="str">
        <f t="shared" si="95"/>
        <v>175.713595207191+211.795146943594i</v>
      </c>
      <c r="AT99" s="64">
        <f t="shared" si="96"/>
        <v>48.792820171718709</v>
      </c>
      <c r="AU99" s="61">
        <f t="shared" si="97"/>
        <v>50.319562888754966</v>
      </c>
    </row>
    <row r="100" spans="14:47" x14ac:dyDescent="0.4">
      <c r="N100" s="10">
        <v>82</v>
      </c>
      <c r="O100" s="50">
        <f t="shared" si="74"/>
        <v>66.069344800759623</v>
      </c>
      <c r="P100" s="48" t="str">
        <f t="shared" si="65"/>
        <v>5120.19230769231</v>
      </c>
      <c r="Q100" s="17" t="str">
        <f t="shared" si="66"/>
        <v>1+1.9399154340621i</v>
      </c>
      <c r="R100" s="17">
        <f t="shared" si="75"/>
        <v>2.1824921285796992</v>
      </c>
      <c r="S100" s="17">
        <f t="shared" si="76"/>
        <v>1.0948365021774642</v>
      </c>
      <c r="T100" s="17" t="str">
        <f t="shared" si="67"/>
        <v>1+4.14710810570608E-06i</v>
      </c>
      <c r="U100" s="17">
        <f t="shared" si="77"/>
        <v>1.0000000000085993</v>
      </c>
      <c r="V100" s="17">
        <f t="shared" si="78"/>
        <v>4.1471081056823051E-6</v>
      </c>
      <c r="W100" s="31" t="str">
        <f t="shared" si="68"/>
        <v>1-0.00672504017141526i</v>
      </c>
      <c r="X100" s="17">
        <f t="shared" si="79"/>
        <v>1.0000226128269836</v>
      </c>
      <c r="Y100" s="17">
        <f t="shared" si="80"/>
        <v>-6.7249387915734289E-3</v>
      </c>
      <c r="Z100" s="31" t="str">
        <f t="shared" si="69"/>
        <v>0.999998253936671+0.0409452164332317i</v>
      </c>
      <c r="AA100" s="17">
        <f t="shared" si="81"/>
        <v>1.0008361597310294</v>
      </c>
      <c r="AB100" s="17">
        <f t="shared" si="82"/>
        <v>4.0922429097473137E-2</v>
      </c>
      <c r="AC100" s="66" t="str">
        <f t="shared" si="83"/>
        <v>973.608246962665-2132.36962369086i</v>
      </c>
      <c r="AD100" s="64">
        <f t="shared" si="84"/>
        <v>67.399608389301932</v>
      </c>
      <c r="AE100" s="61">
        <f t="shared" si="85"/>
        <v>-65.459266304792109</v>
      </c>
      <c r="AF100" s="31" t="str">
        <f t="shared" si="70"/>
        <v>-1.39902068552014E-06</v>
      </c>
      <c r="AG100" s="31" t="str">
        <f t="shared" si="71"/>
        <v>0.0000137273844684173i</v>
      </c>
      <c r="AH100" s="31">
        <f t="shared" si="86"/>
        <v>1.37273844684173E-5</v>
      </c>
      <c r="AI100" s="31">
        <f t="shared" si="87"/>
        <v>1.5707963267948966</v>
      </c>
      <c r="AJ100" s="31" t="str">
        <f t="shared" si="72"/>
        <v>1+0.000991602140243536i</v>
      </c>
      <c r="AK100" s="31">
        <f t="shared" si="88"/>
        <v>1.0000004916372813</v>
      </c>
      <c r="AL100" s="31">
        <f t="shared" si="89"/>
        <v>9.9160181523792767E-4</v>
      </c>
      <c r="AM100" s="31" t="str">
        <f t="shared" si="73"/>
        <v>1+0.482210287846665i</v>
      </c>
      <c r="AN100" s="31">
        <f t="shared" si="90"/>
        <v>1.1101922183591288</v>
      </c>
      <c r="AO100" s="31">
        <f t="shared" si="91"/>
        <v>0.44931482337743855</v>
      </c>
      <c r="AP100" s="58" t="str">
        <f t="shared" si="92"/>
        <v>-0.0490431542248091+0.101963215880441i</v>
      </c>
      <c r="AQ100" s="49">
        <f t="shared" si="93"/>
        <v>-18.927313920360273</v>
      </c>
      <c r="AR100" s="61">
        <f t="shared" si="94"/>
        <v>115.68702845322267</v>
      </c>
      <c r="AS100" s="58" t="str">
        <f t="shared" si="95"/>
        <v>169.67444486695+203.850360187001i</v>
      </c>
      <c r="AT100" s="64">
        <f t="shared" si="96"/>
        <v>48.472294468941669</v>
      </c>
      <c r="AU100" s="61">
        <f t="shared" si="97"/>
        <v>50.227762148430557</v>
      </c>
    </row>
    <row r="101" spans="14:47" x14ac:dyDescent="0.4">
      <c r="N101" s="10">
        <v>83</v>
      </c>
      <c r="O101" s="50">
        <f t="shared" si="74"/>
        <v>67.60829753919819</v>
      </c>
      <c r="P101" s="48" t="str">
        <f t="shared" si="65"/>
        <v>5120.19230769231</v>
      </c>
      <c r="Q101" s="17" t="str">
        <f t="shared" si="66"/>
        <v>1+1.98510186929302i</v>
      </c>
      <c r="R101" s="17">
        <f t="shared" si="75"/>
        <v>2.2227526698826936</v>
      </c>
      <c r="S101" s="17">
        <f t="shared" si="76"/>
        <v>1.1041512378372917</v>
      </c>
      <c r="T101" s="17" t="str">
        <f t="shared" si="67"/>
        <v>1+4.24370666279975E-06i</v>
      </c>
      <c r="U101" s="17">
        <f t="shared" si="77"/>
        <v>1.0000000000090046</v>
      </c>
      <c r="V101" s="17">
        <f t="shared" si="78"/>
        <v>4.2437066627742749E-6</v>
      </c>
      <c r="W101" s="31" t="str">
        <f t="shared" si="68"/>
        <v>1-0.0068816864802158i</v>
      </c>
      <c r="X101" s="17">
        <f t="shared" si="79"/>
        <v>1.0000236785240697</v>
      </c>
      <c r="Y101" s="17">
        <f t="shared" si="80"/>
        <v>-6.8815778498970345E-3</v>
      </c>
      <c r="Z101" s="31" t="str">
        <f t="shared" si="69"/>
        <v>0.999998171647242+0.0418989530435448i</v>
      </c>
      <c r="AA101" s="17">
        <f t="shared" si="81"/>
        <v>1.0008755494885326</v>
      </c>
      <c r="AB101" s="17">
        <f t="shared" si="82"/>
        <v>4.1874537126826303E-2</v>
      </c>
      <c r="AC101" s="66" t="str">
        <f t="shared" si="83"/>
        <v>934.062131246435-2103.51619771397i</v>
      </c>
      <c r="AD101" s="64">
        <f t="shared" si="84"/>
        <v>67.240506712497151</v>
      </c>
      <c r="AE101" s="61">
        <f t="shared" si="85"/>
        <v>-66.05648233936202</v>
      </c>
      <c r="AF101" s="31" t="str">
        <f t="shared" si="70"/>
        <v>-1.39902068552014E-06</v>
      </c>
      <c r="AG101" s="31" t="str">
        <f t="shared" si="71"/>
        <v>0.0000140471363288751i</v>
      </c>
      <c r="AH101" s="31">
        <f t="shared" si="86"/>
        <v>1.40471363288751E-5</v>
      </c>
      <c r="AI101" s="31">
        <f t="shared" si="87"/>
        <v>1.5707963267948966</v>
      </c>
      <c r="AJ101" s="31" t="str">
        <f t="shared" si="72"/>
        <v>1+0.00101469952124181i</v>
      </c>
      <c r="AK101" s="31">
        <f t="shared" si="88"/>
        <v>1.0000005148074267</v>
      </c>
      <c r="AL101" s="31">
        <f t="shared" si="89"/>
        <v>1.0146991729920358E-3</v>
      </c>
      <c r="AM101" s="31" t="str">
        <f t="shared" si="73"/>
        <v>1+0.493442408359178i</v>
      </c>
      <c r="AN101" s="31">
        <f t="shared" si="90"/>
        <v>1.1151167698350275</v>
      </c>
      <c r="AO101" s="31">
        <f t="shared" si="91"/>
        <v>0.45838778736207852</v>
      </c>
      <c r="AP101" s="58" t="str">
        <f t="shared" si="92"/>
        <v>-0.0490431519521364+0.0996444894762935i</v>
      </c>
      <c r="AQ101" s="49">
        <f t="shared" si="93"/>
        <v>-19.088870758746562</v>
      </c>
      <c r="AR101" s="61">
        <f t="shared" si="94"/>
        <v>116.20554761609949</v>
      </c>
      <c r="AS101" s="58" t="str">
        <f t="shared" si="95"/>
        <v>163.794446590867+196.237208725456i</v>
      </c>
      <c r="AT101" s="64">
        <f t="shared" si="96"/>
        <v>48.151635953750585</v>
      </c>
      <c r="AU101" s="61">
        <f t="shared" si="97"/>
        <v>50.149065276737517</v>
      </c>
    </row>
    <row r="102" spans="14:47" x14ac:dyDescent="0.4">
      <c r="N102" s="10">
        <v>84</v>
      </c>
      <c r="O102" s="50">
        <f t="shared" si="74"/>
        <v>69.183097091893657</v>
      </c>
      <c r="P102" s="48" t="str">
        <f t="shared" si="65"/>
        <v>5120.19230769231</v>
      </c>
      <c r="Q102" s="17" t="str">
        <f t="shared" si="66"/>
        <v>1+2.03134083181097i</v>
      </c>
      <c r="R102" s="17">
        <f t="shared" si="75"/>
        <v>2.264143452827688</v>
      </c>
      <c r="S102" s="17">
        <f t="shared" si="76"/>
        <v>1.1133391981647736</v>
      </c>
      <c r="T102" s="17" t="str">
        <f t="shared" si="67"/>
        <v>1+4.34255528933813E-06i</v>
      </c>
      <c r="U102" s="17">
        <f t="shared" si="77"/>
        <v>1.0000000000094289</v>
      </c>
      <c r="V102" s="17">
        <f t="shared" si="78"/>
        <v>4.3425552893108328E-6</v>
      </c>
      <c r="W102" s="31" t="str">
        <f t="shared" si="68"/>
        <v>1-0.00704198155027803i</v>
      </c>
      <c r="X102" s="17">
        <f t="shared" si="79"/>
        <v>1.0000247944446949</v>
      </c>
      <c r="Y102" s="17">
        <f t="shared" si="80"/>
        <v>-7.0418651509502068E-3</v>
      </c>
      <c r="Z102" s="31" t="str">
        <f t="shared" si="69"/>
        <v>0.999998085479631+0.0428749050333598i</v>
      </c>
      <c r="AA102" s="17">
        <f t="shared" si="81"/>
        <v>1.0009167939666848</v>
      </c>
      <c r="AB102" s="17">
        <f t="shared" si="82"/>
        <v>4.2848744201297272E-2</v>
      </c>
      <c r="AC102" s="66" t="str">
        <f t="shared" si="83"/>
        <v>895.585867760328-2074.33395194919i</v>
      </c>
      <c r="AD102" s="64">
        <f t="shared" si="84"/>
        <v>67.079902499249556</v>
      </c>
      <c r="AE102" s="61">
        <f t="shared" si="85"/>
        <v>-66.647909764450048</v>
      </c>
      <c r="AF102" s="31" t="str">
        <f t="shared" si="70"/>
        <v>-1.39902068552014E-06</v>
      </c>
      <c r="AG102" s="31" t="str">
        <f t="shared" si="71"/>
        <v>0.0000143743361669502i</v>
      </c>
      <c r="AH102" s="31">
        <f t="shared" si="86"/>
        <v>1.43743361669502E-5</v>
      </c>
      <c r="AI102" s="31">
        <f t="shared" si="87"/>
        <v>1.5707963267948966</v>
      </c>
      <c r="AJ102" s="31" t="str">
        <f t="shared" si="72"/>
        <v>1+0.00103833490935738i</v>
      </c>
      <c r="AK102" s="31">
        <f t="shared" si="88"/>
        <v>1.0000005390695468</v>
      </c>
      <c r="AL102" s="31">
        <f t="shared" si="89"/>
        <v>1.0383345362010347E-3</v>
      </c>
      <c r="AM102" s="31" t="str">
        <f t="shared" si="73"/>
        <v>1+0.504936158568084i</v>
      </c>
      <c r="AN102" s="31">
        <f t="shared" si="90"/>
        <v>1.1202502060832185</v>
      </c>
      <c r="AO102" s="31">
        <f t="shared" si="91"/>
        <v>0.46758873380294586</v>
      </c>
      <c r="AP102" s="58" t="str">
        <f t="shared" si="92"/>
        <v>-0.0490431495723561+0.0973785958992i</v>
      </c>
      <c r="AQ102" s="49">
        <f t="shared" si="93"/>
        <v>-19.248977261132289</v>
      </c>
      <c r="AR102" s="61">
        <f t="shared" si="94"/>
        <v>116.73136880812788</v>
      </c>
      <c r="AS102" s="58" t="str">
        <f t="shared" si="95"/>
        <v>158.073375999393+188.942764578128i</v>
      </c>
      <c r="AT102" s="64">
        <f t="shared" si="96"/>
        <v>47.830925238117274</v>
      </c>
      <c r="AU102" s="61">
        <f t="shared" si="97"/>
        <v>50.083459043677784</v>
      </c>
    </row>
    <row r="103" spans="14:47" x14ac:dyDescent="0.4">
      <c r="N103" s="10">
        <v>85</v>
      </c>
      <c r="O103" s="50">
        <f t="shared" si="74"/>
        <v>70.794578438413865</v>
      </c>
      <c r="P103" s="48" t="str">
        <f t="shared" si="65"/>
        <v>5120.19230769231</v>
      </c>
      <c r="Q103" s="17" t="str">
        <f t="shared" si="66"/>
        <v>1+2.07865683812593i</v>
      </c>
      <c r="R103" s="17">
        <f t="shared" si="75"/>
        <v>2.3066890234029573</v>
      </c>
      <c r="S103" s="17">
        <f t="shared" si="76"/>
        <v>1.1223990487144837</v>
      </c>
      <c r="T103" s="17" t="str">
        <f t="shared" si="67"/>
        <v>1+4.44370639617143E-06i</v>
      </c>
      <c r="U103" s="17">
        <f t="shared" si="77"/>
        <v>1.0000000000098732</v>
      </c>
      <c r="V103" s="17">
        <f t="shared" si="78"/>
        <v>4.4437063961421815E-6</v>
      </c>
      <c r="W103" s="31" t="str">
        <f t="shared" si="68"/>
        <v>1-0.00720601037216988i</v>
      </c>
      <c r="X103" s="17">
        <f t="shared" si="79"/>
        <v>1.0000259629557045</v>
      </c>
      <c r="Y103" s="17">
        <f t="shared" si="80"/>
        <v>-7.2058856482178878E-3</v>
      </c>
      <c r="Z103" s="31" t="str">
        <f t="shared" si="69"/>
        <v>0.999997995251065+0.0438735898653399i</v>
      </c>
      <c r="AA103" s="17">
        <f t="shared" si="81"/>
        <v>1.0009599804157114</v>
      </c>
      <c r="AB103" s="17">
        <f t="shared" si="82"/>
        <v>4.3845559480524043E-2</v>
      </c>
      <c r="AC103" s="66" t="str">
        <f t="shared" si="83"/>
        <v>858.175850350332-2044.86628087706i</v>
      </c>
      <c r="AD103" s="64">
        <f t="shared" si="84"/>
        <v>66.917835700610112</v>
      </c>
      <c r="AE103" s="61">
        <f t="shared" si="85"/>
        <v>-67.233506159137136</v>
      </c>
      <c r="AF103" s="31" t="str">
        <f t="shared" si="70"/>
        <v>-1.39902068552014E-06</v>
      </c>
      <c r="AG103" s="31" t="str">
        <f t="shared" si="71"/>
        <v>0.000014709157468328i</v>
      </c>
      <c r="AH103" s="31">
        <f t="shared" si="86"/>
        <v>1.4709157468328E-5</v>
      </c>
      <c r="AI103" s="31">
        <f t="shared" si="87"/>
        <v>1.5707963267948966</v>
      </c>
      <c r="AJ103" s="31" t="str">
        <f t="shared" si="72"/>
        <v>1+0.00106252083638588i</v>
      </c>
      <c r="AK103" s="31">
        <f t="shared" si="88"/>
        <v>1.0000005644751047</v>
      </c>
      <c r="AL103" s="31">
        <f t="shared" si="89"/>
        <v>1.0625204365416645E-3</v>
      </c>
      <c r="AM103" s="31" t="str">
        <f t="shared" si="73"/>
        <v>1+0.516697632611885i</v>
      </c>
      <c r="AN103" s="31">
        <f t="shared" si="90"/>
        <v>1.1256004813195162</v>
      </c>
      <c r="AO103" s="31">
        <f t="shared" si="91"/>
        <v>0.47691630879577773</v>
      </c>
      <c r="AP103" s="58" t="str">
        <f t="shared" si="92"/>
        <v>-0.0490431470804204+0.0951643337423762i</v>
      </c>
      <c r="AQ103" s="49">
        <f t="shared" si="93"/>
        <v>-19.407592728656155</v>
      </c>
      <c r="AR103" s="61">
        <f t="shared" si="94"/>
        <v>117.2644137382958</v>
      </c>
      <c r="AS103" s="58" t="str">
        <f t="shared" si="95"/>
        <v>152.51069276232+181.954410805232i</v>
      </c>
      <c r="AT103" s="64">
        <f t="shared" si="96"/>
        <v>47.510242971953957</v>
      </c>
      <c r="AU103" s="61">
        <f t="shared" si="97"/>
        <v>50.030907579158601</v>
      </c>
    </row>
    <row r="104" spans="14:47" x14ac:dyDescent="0.4">
      <c r="N104" s="10">
        <v>86</v>
      </c>
      <c r="O104" s="50">
        <f t="shared" si="74"/>
        <v>72.443596007499011</v>
      </c>
      <c r="P104" s="48" t="str">
        <f t="shared" si="65"/>
        <v>5120.19230769231</v>
      </c>
      <c r="Q104" s="17" t="str">
        <f t="shared" si="66"/>
        <v>1+2.12707497581073i</v>
      </c>
      <c r="R104" s="17">
        <f t="shared" si="75"/>
        <v>2.3504144214840532</v>
      </c>
      <c r="S104" s="17">
        <f t="shared" si="76"/>
        <v>1.1313296430390862</v>
      </c>
      <c r="T104" s="17" t="str">
        <f t="shared" si="67"/>
        <v>1+4.54721361495538E-06i</v>
      </c>
      <c r="U104" s="17">
        <f t="shared" si="77"/>
        <v>1.0000000000103386</v>
      </c>
      <c r="V104" s="17">
        <f t="shared" si="78"/>
        <v>4.5472136149240391E-6</v>
      </c>
      <c r="W104" s="31" t="str">
        <f t="shared" si="68"/>
        <v>1-0.00737385991614385i</v>
      </c>
      <c r="X104" s="17">
        <f t="shared" si="79"/>
        <v>1.0000271865354775</v>
      </c>
      <c r="Y104" s="17">
        <f t="shared" si="80"/>
        <v>-7.3737262722176899E-3</v>
      </c>
      <c r="Z104" s="31" t="str">
        <f t="shared" si="69"/>
        <v>0.999997900770159+0.0448955370554021i</v>
      </c>
      <c r="AA104" s="17">
        <f t="shared" si="81"/>
        <v>1.0010052001824055</v>
      </c>
      <c r="AB104" s="17">
        <f t="shared" si="82"/>
        <v>4.486550358565726E-2</v>
      </c>
      <c r="AC104" s="66" t="str">
        <f t="shared" si="83"/>
        <v>821.826475436948-2015.15535543592i</v>
      </c>
      <c r="AD104" s="64">
        <f t="shared" si="84"/>
        <v>66.754346056538878</v>
      </c>
      <c r="AE104" s="61">
        <f t="shared" si="85"/>
        <v>-67.813240643903015</v>
      </c>
      <c r="AF104" s="31" t="str">
        <f t="shared" si="70"/>
        <v>-1.39902068552014E-06</v>
      </c>
      <c r="AG104" s="31" t="str">
        <f t="shared" si="71"/>
        <v>0.0000150517777596941i</v>
      </c>
      <c r="AH104" s="31">
        <f t="shared" si="86"/>
        <v>1.50517777596941E-5</v>
      </c>
      <c r="AI104" s="31">
        <f t="shared" si="87"/>
        <v>1.5707963267948966</v>
      </c>
      <c r="AJ104" s="31" t="str">
        <f t="shared" si="72"/>
        <v>1+0.00108727012602595i</v>
      </c>
      <c r="AK104" s="31">
        <f t="shared" si="88"/>
        <v>1.0000005910779888</v>
      </c>
      <c r="AL104" s="31">
        <f t="shared" si="89"/>
        <v>1.0872696975851679E-3</v>
      </c>
      <c r="AM104" s="31" t="str">
        <f t="shared" si="73"/>
        <v>1+0.528733066579796i</v>
      </c>
      <c r="AN104" s="31">
        <f t="shared" si="90"/>
        <v>1.1311757846130173</v>
      </c>
      <c r="AO104" s="31">
        <f t="shared" si="91"/>
        <v>0.48636896477501185</v>
      </c>
      <c r="AP104" s="58" t="str">
        <f t="shared" si="92"/>
        <v>-0.0490431444710436+0.0930005289747028i</v>
      </c>
      <c r="AQ104" s="49">
        <f t="shared" si="93"/>
        <v>-19.564676372594914</v>
      </c>
      <c r="AR104" s="61">
        <f t="shared" si="94"/>
        <v>117.8045930028911</v>
      </c>
      <c r="AS104" s="58" t="str">
        <f t="shared" si="95"/>
        <v>147.105559456763+175.259852169293i</v>
      </c>
      <c r="AT104" s="64">
        <f t="shared" si="96"/>
        <v>47.189669683943976</v>
      </c>
      <c r="AU104" s="61">
        <f t="shared" si="97"/>
        <v>49.991352358988109</v>
      </c>
    </row>
    <row r="105" spans="14:47" x14ac:dyDescent="0.4">
      <c r="N105" s="10">
        <v>87</v>
      </c>
      <c r="O105" s="50">
        <f t="shared" si="74"/>
        <v>74.131024130091816</v>
      </c>
      <c r="P105" s="48" t="str">
        <f t="shared" si="65"/>
        <v>5120.19230769231</v>
      </c>
      <c r="Q105" s="17" t="str">
        <f t="shared" si="66"/>
        <v>1+2.17662091680287i</v>
      </c>
      <c r="R105" s="17">
        <f t="shared" si="75"/>
        <v>2.3953451975579148</v>
      </c>
      <c r="S105" s="17">
        <f t="shared" si="76"/>
        <v>1.1401300171444988</v>
      </c>
      <c r="T105" s="17" t="str">
        <f t="shared" si="67"/>
        <v>1+4.65313182658748E-06i</v>
      </c>
      <c r="U105" s="17">
        <f t="shared" si="77"/>
        <v>1.0000000000108258</v>
      </c>
      <c r="V105" s="17">
        <f t="shared" si="78"/>
        <v>4.6531318265538973E-6</v>
      </c>
      <c r="W105" s="31" t="str">
        <f t="shared" si="68"/>
        <v>1-0.00754561917824996i</v>
      </c>
      <c r="X105" s="17">
        <f t="shared" si="79"/>
        <v>1.0000284677791844</v>
      </c>
      <c r="Y105" s="17">
        <f t="shared" si="80"/>
        <v>-7.5454759764232195E-3</v>
      </c>
      <c r="Z105" s="31" t="str">
        <f t="shared" si="69"/>
        <v>0.999997801836505+0.045941288453474i</v>
      </c>
      <c r="AA105" s="17">
        <f t="shared" si="81"/>
        <v>1.0010525489017084</v>
      </c>
      <c r="AB105" s="17">
        <f t="shared" si="82"/>
        <v>4.5909108838049995E-2</v>
      </c>
      <c r="AC105" s="66" t="str">
        <f t="shared" si="83"/>
        <v>786.53027114717-1985.24204158476i</v>
      </c>
      <c r="AD105" s="64">
        <f t="shared" si="84"/>
        <v>66.589473020614903</v>
      </c>
      <c r="AE105" s="61">
        <f t="shared" si="85"/>
        <v>-68.387093579236222</v>
      </c>
      <c r="AF105" s="31" t="str">
        <f t="shared" si="70"/>
        <v>-1.39902068552014E-06</v>
      </c>
      <c r="AG105" s="31" t="str">
        <f t="shared" si="71"/>
        <v>0.0000154023787028623i</v>
      </c>
      <c r="AH105" s="31">
        <f t="shared" si="86"/>
        <v>1.5402378702862298E-5</v>
      </c>
      <c r="AI105" s="31">
        <f t="shared" si="87"/>
        <v>1.5707963267948966</v>
      </c>
      <c r="AJ105" s="31" t="str">
        <f t="shared" si="72"/>
        <v>1+0.00111259590067857i</v>
      </c>
      <c r="AK105" s="31">
        <f t="shared" si="88"/>
        <v>1.0000006189346275</v>
      </c>
      <c r="AL105" s="31">
        <f t="shared" si="89"/>
        <v>1.1125954415960159E-3</v>
      </c>
      <c r="AM105" s="31" t="str">
        <f t="shared" si="73"/>
        <v>1+0.54104884181822i</v>
      </c>
      <c r="AN105" s="31">
        <f t="shared" si="90"/>
        <v>1.1369845422136737</v>
      </c>
      <c r="AO105" s="31">
        <f t="shared" si="91"/>
        <v>0.49594495583906978</v>
      </c>
      <c r="AP105" s="58" t="str">
        <f t="shared" si="92"/>
        <v>-0.049043141738691+0.0908860343182314i</v>
      </c>
      <c r="AQ105" s="49">
        <f t="shared" si="93"/>
        <v>-19.72018739819503</v>
      </c>
      <c r="AR105" s="61">
        <f t="shared" si="94"/>
        <v>118.35180581727167</v>
      </c>
      <c r="AS105" s="58" t="str">
        <f t="shared" si="95"/>
        <v>141.856860751827+168.847124046859i</v>
      </c>
      <c r="AT105" s="64">
        <f t="shared" si="96"/>
        <v>46.869285622419881</v>
      </c>
      <c r="AU105" s="61">
        <f t="shared" si="97"/>
        <v>49.964712238035347</v>
      </c>
    </row>
    <row r="106" spans="14:47" x14ac:dyDescent="0.4">
      <c r="N106" s="10">
        <v>88</v>
      </c>
      <c r="O106" s="50">
        <f t="shared" si="74"/>
        <v>75.857757502918361</v>
      </c>
      <c r="P106" s="48" t="str">
        <f t="shared" si="65"/>
        <v>5120.19230769231</v>
      </c>
      <c r="Q106" s="17" t="str">
        <f t="shared" si="66"/>
        <v>1+2.22732093101609i</v>
      </c>
      <c r="R106" s="17">
        <f t="shared" si="75"/>
        <v>2.4415074297946306</v>
      </c>
      <c r="S106" s="17">
        <f t="shared" si="76"/>
        <v>1.1487993836141943</v>
      </c>
      <c r="T106" s="17" t="str">
        <f t="shared" si="67"/>
        <v>1+4.76151719030552E-06i</v>
      </c>
      <c r="U106" s="17">
        <f t="shared" si="77"/>
        <v>1.000000000011336</v>
      </c>
      <c r="V106" s="17">
        <f t="shared" si="78"/>
        <v>4.7615171902695352E-6</v>
      </c>
      <c r="W106" s="31" t="str">
        <f t="shared" si="68"/>
        <v>1-0.00772137922752245i</v>
      </c>
      <c r="X106" s="17">
        <f t="shared" si="79"/>
        <v>1.0000298094042872</v>
      </c>
      <c r="Y106" s="17">
        <f t="shared" si="80"/>
        <v>-7.7212257842475844E-3</v>
      </c>
      <c r="Z106" s="31" t="str">
        <f t="shared" si="69"/>
        <v>0.999997698240251+0.0470113985307887i</v>
      </c>
      <c r="AA106" s="17">
        <f t="shared" si="81"/>
        <v>1.001102126697182</v>
      </c>
      <c r="AB106" s="17">
        <f t="shared" si="82"/>
        <v>4.697691950150748E-2</v>
      </c>
      <c r="AC106" s="66" t="str">
        <f t="shared" si="83"/>
        <v>752.278027557699-1955.16583080547i</v>
      </c>
      <c r="AD106" s="64">
        <f t="shared" si="84"/>
        <v>66.423255689617648</v>
      </c>
      <c r="AE106" s="61">
        <f t="shared" si="85"/>
        <v>-68.955056245551859</v>
      </c>
      <c r="AF106" s="31" t="str">
        <f t="shared" si="70"/>
        <v>-1.39902068552014E-06</v>
      </c>
      <c r="AG106" s="31" t="str">
        <f t="shared" si="71"/>
        <v>0.0000157611461910933i</v>
      </c>
      <c r="AH106" s="31">
        <f t="shared" si="86"/>
        <v>1.5761146191093299E-5</v>
      </c>
      <c r="AI106" s="31">
        <f t="shared" si="87"/>
        <v>1.5707963267948966</v>
      </c>
      <c r="AJ106" s="31" t="str">
        <f t="shared" si="72"/>
        <v>1+0.00113851158840467i</v>
      </c>
      <c r="AK106" s="31">
        <f t="shared" si="88"/>
        <v>1.0000006481041084</v>
      </c>
      <c r="AL106" s="31">
        <f t="shared" si="89"/>
        <v>1.1385110964888679E-3</v>
      </c>
      <c r="AM106" s="31" t="str">
        <f t="shared" si="73"/>
        <v>1+0.553651488314203i</v>
      </c>
      <c r="AN106" s="31">
        <f t="shared" si="90"/>
        <v>1.1430354196229144</v>
      </c>
      <c r="AO106" s="31">
        <f t="shared" si="91"/>
        <v>0.50564233357478727</v>
      </c>
      <c r="AP106" s="58" t="str">
        <f t="shared" si="92"/>
        <v>-0.0490431388775671+0.0888197286398879i</v>
      </c>
      <c r="AQ106" s="49">
        <f t="shared" si="93"/>
        <v>-19.874085093108469</v>
      </c>
      <c r="AR106" s="61">
        <f t="shared" si="94"/>
        <v>118.90593977622382</v>
      </c>
      <c r="AS106" s="58" t="str">
        <f t="shared" si="95"/>
        <v>136.763222758068+162.704599638291i</v>
      </c>
      <c r="AT106" s="64">
        <f t="shared" si="96"/>
        <v>46.549170596509164</v>
      </c>
      <c r="AU106" s="61">
        <f t="shared" si="97"/>
        <v>49.950883530671938</v>
      </c>
    </row>
    <row r="107" spans="14:47" x14ac:dyDescent="0.4">
      <c r="N107" s="10">
        <v>89</v>
      </c>
      <c r="O107" s="50">
        <f t="shared" si="74"/>
        <v>77.624711662869217</v>
      </c>
      <c r="P107" s="48" t="str">
        <f t="shared" si="65"/>
        <v>5120.19230769231</v>
      </c>
      <c r="Q107" s="17" t="str">
        <f t="shared" si="66"/>
        <v>1+2.27920190026901i</v>
      </c>
      <c r="R107" s="17">
        <f t="shared" si="75"/>
        <v>2.4889277414561208</v>
      </c>
      <c r="S107" s="17">
        <f t="shared" si="76"/>
        <v>1.1573371254541498</v>
      </c>
      <c r="T107" s="17" t="str">
        <f t="shared" si="67"/>
        <v>1+4.87242717346398E-06i</v>
      </c>
      <c r="U107" s="17">
        <f t="shared" si="77"/>
        <v>1.0000000000118703</v>
      </c>
      <c r="V107" s="17">
        <f t="shared" si="78"/>
        <v>4.8724271734254218E-6</v>
      </c>
      <c r="W107" s="31" t="str">
        <f t="shared" si="68"/>
        <v>1-0.00790123325426591i</v>
      </c>
      <c r="X107" s="17">
        <f t="shared" si="79"/>
        <v>1.0000312142563041</v>
      </c>
      <c r="Y107" s="17">
        <f t="shared" si="80"/>
        <v>-7.9010688371118042E-3</v>
      </c>
      <c r="Z107" s="31" t="str">
        <f t="shared" si="69"/>
        <v>0.999997589761656+0.0481064346738738i</v>
      </c>
      <c r="AA107" s="17">
        <f t="shared" si="81"/>
        <v>1.0011540383907729</v>
      </c>
      <c r="AB107" s="17">
        <f t="shared" si="82"/>
        <v>4.8069492028043975E-2</v>
      </c>
      <c r="AC107" s="66" t="str">
        <f t="shared" si="83"/>
        <v>719.058927042605-1924.96478212874i</v>
      </c>
      <c r="AD107" s="64">
        <f t="shared" si="84"/>
        <v>66.255732737998173</v>
      </c>
      <c r="AE107" s="61">
        <f t="shared" si="85"/>
        <v>-69.51713050736592</v>
      </c>
      <c r="AF107" s="31" t="str">
        <f t="shared" si="70"/>
        <v>-1.39902068552014E-06</v>
      </c>
      <c r="AG107" s="31" t="str">
        <f t="shared" si="71"/>
        <v>0.0000161282704476583i</v>
      </c>
      <c r="AH107" s="31">
        <f t="shared" si="86"/>
        <v>1.6128270447658299E-5</v>
      </c>
      <c r="AI107" s="31">
        <f t="shared" si="87"/>
        <v>1.5707963267948966</v>
      </c>
      <c r="AJ107" s="31" t="str">
        <f t="shared" si="72"/>
        <v>1+0.00116503093004493i</v>
      </c>
      <c r="AK107" s="31">
        <f t="shared" si="88"/>
        <v>1.0000006786483038</v>
      </c>
      <c r="AL107" s="31">
        <f t="shared" si="89"/>
        <v>1.1650304029476707E-3</v>
      </c>
      <c r="AM107" s="31" t="str">
        <f t="shared" si="73"/>
        <v>1+0.566547688157734i</v>
      </c>
      <c r="AN107" s="31">
        <f t="shared" si="90"/>
        <v>1.1493373233985196</v>
      </c>
      <c r="AO107" s="31">
        <f t="shared" si="91"/>
        <v>0.51545894343648269</v>
      </c>
      <c r="AP107" s="58" t="str">
        <f t="shared" si="92"/>
        <v>-0.0490431358816027+0.08680051635703i</v>
      </c>
      <c r="AQ107" s="49">
        <f t="shared" si="93"/>
        <v>-20.026328920229158</v>
      </c>
      <c r="AR107" s="61">
        <f t="shared" si="94"/>
        <v>119.46687064608975</v>
      </c>
      <c r="AS107" s="58" t="str">
        <f t="shared" si="95"/>
        <v>131.823032392042+156.82099553567i</v>
      </c>
      <c r="AT107" s="64">
        <f t="shared" si="96"/>
        <v>46.229403817769025</v>
      </c>
      <c r="AU107" s="61">
        <f t="shared" si="97"/>
        <v>49.949740138724003</v>
      </c>
    </row>
    <row r="108" spans="14:47" x14ac:dyDescent="0.4">
      <c r="N108" s="10">
        <v>90</v>
      </c>
      <c r="O108" s="50">
        <f t="shared" si="74"/>
        <v>79.432823472428197</v>
      </c>
      <c r="P108" s="48" t="str">
        <f t="shared" si="65"/>
        <v>5120.19230769231</v>
      </c>
      <c r="Q108" s="17" t="str">
        <f t="shared" si="66"/>
        <v>1+2.33229133253826i</v>
      </c>
      <c r="R108" s="17">
        <f t="shared" si="75"/>
        <v>2.5376333186323614</v>
      </c>
      <c r="S108" s="17">
        <f t="shared" si="76"/>
        <v>1.1657427897079577</v>
      </c>
      <c r="T108" s="17" t="str">
        <f t="shared" si="67"/>
        <v>1+4.98592058200402E-06i</v>
      </c>
      <c r="U108" s="17">
        <f t="shared" si="77"/>
        <v>1.0000000000124296</v>
      </c>
      <c r="V108" s="17">
        <f t="shared" si="78"/>
        <v>4.9859205819627046E-6</v>
      </c>
      <c r="W108" s="31" t="str">
        <f t="shared" si="68"/>
        <v>1-0.00808527661946597i</v>
      </c>
      <c r="X108" s="17">
        <f t="shared" si="79"/>
        <v>1.0000326853148418</v>
      </c>
      <c r="Y108" s="17">
        <f t="shared" si="80"/>
        <v>-8.0851004436222271E-3</v>
      </c>
      <c r="Z108" s="31" t="str">
        <f t="shared" si="69"/>
        <v>0.999997476170622+0.049226977485387i</v>
      </c>
      <c r="AA108" s="17">
        <f t="shared" si="81"/>
        <v>1.0012083937222862</v>
      </c>
      <c r="AB108" s="17">
        <f t="shared" si="82"/>
        <v>4.9187395307075617E-2</v>
      </c>
      <c r="AC108" s="66" t="str">
        <f t="shared" si="83"/>
        <v>686.860673805802-1894.6754751972i</v>
      </c>
      <c r="AD108" s="64">
        <f t="shared" si="84"/>
        <v>66.086942357223336</v>
      </c>
      <c r="AE108" s="61">
        <f t="shared" si="85"/>
        <v>-70.073328464562138</v>
      </c>
      <c r="AF108" s="31" t="str">
        <f t="shared" si="70"/>
        <v>-1.39902068552014E-06</v>
      </c>
      <c r="AG108" s="31" t="str">
        <f t="shared" si="71"/>
        <v>0.0000165039461266976i</v>
      </c>
      <c r="AH108" s="31">
        <f t="shared" si="86"/>
        <v>1.6503946126697601E-5</v>
      </c>
      <c r="AI108" s="31">
        <f t="shared" si="87"/>
        <v>1.5707963267948966</v>
      </c>
      <c r="AJ108" s="31" t="str">
        <f t="shared" si="72"/>
        <v>1+0.00119216798650531i</v>
      </c>
      <c r="AK108" s="31">
        <f t="shared" si="88"/>
        <v>1.0000007106320015</v>
      </c>
      <c r="AL108" s="31">
        <f t="shared" si="89"/>
        <v>1.1921674217104427E-3</v>
      </c>
      <c r="AM108" s="31" t="str">
        <f t="shared" si="73"/>
        <v>1+0.579744279084671i</v>
      </c>
      <c r="AN108" s="31">
        <f t="shared" si="90"/>
        <v>1.1558994026866718</v>
      </c>
      <c r="AO108" s="31">
        <f t="shared" si="91"/>
        <v>0.52539242173470102</v>
      </c>
      <c r="AP108" s="58" t="str">
        <f t="shared" si="92"/>
        <v>-0.049043132744443+0.0848273268565559i</v>
      </c>
      <c r="AQ108" s="49">
        <f t="shared" si="93"/>
        <v>-20.176878614673839</v>
      </c>
      <c r="AR108" s="61">
        <f t="shared" si="94"/>
        <v>120.03446219181876</v>
      </c>
      <c r="AS108" s="58" t="str">
        <f t="shared" si="95"/>
        <v>127.034456619258+151.185375719576i</v>
      </c>
      <c r="AT108" s="64">
        <f t="shared" si="96"/>
        <v>45.910063742549511</v>
      </c>
      <c r="AU108" s="61">
        <f t="shared" si="97"/>
        <v>49.961133727256602</v>
      </c>
    </row>
    <row r="109" spans="14:47" x14ac:dyDescent="0.4">
      <c r="N109" s="10">
        <v>91</v>
      </c>
      <c r="O109" s="50">
        <f t="shared" si="74"/>
        <v>81.283051616409963</v>
      </c>
      <c r="P109" s="48" t="str">
        <f t="shared" si="65"/>
        <v>5120.19230769231</v>
      </c>
      <c r="Q109" s="17" t="str">
        <f t="shared" si="66"/>
        <v>1+2.38661737654354i</v>
      </c>
      <c r="R109" s="17">
        <f t="shared" si="75"/>
        <v>2.5876519282970749</v>
      </c>
      <c r="S109" s="17">
        <f t="shared" si="76"/>
        <v>1.174016080889321</v>
      </c>
      <c r="T109" s="17" t="str">
        <f t="shared" si="67"/>
        <v>1+5.10205759163309E-06i</v>
      </c>
      <c r="U109" s="17">
        <f t="shared" si="77"/>
        <v>1.0000000000130154</v>
      </c>
      <c r="V109" s="17">
        <f t="shared" si="78"/>
        <v>5.1020575915888199E-6</v>
      </c>
      <c r="W109" s="31" t="str">
        <f t="shared" si="68"/>
        <v>1-0.00827360690535094i</v>
      </c>
      <c r="X109" s="17">
        <f t="shared" si="79"/>
        <v>1.0000342256999128</v>
      </c>
      <c r="Y109" s="17">
        <f t="shared" si="80"/>
        <v>-8.2734181298821877E-3</v>
      </c>
      <c r="Z109" s="31" t="str">
        <f t="shared" si="69"/>
        <v>0.999997357226208+0.0503736210919589i</v>
      </c>
      <c r="AA109" s="17">
        <f t="shared" si="81"/>
        <v>1.0012653075790234</v>
      </c>
      <c r="AB109" s="17">
        <f t="shared" si="82"/>
        <v>5.0331210917970264E-2</v>
      </c>
      <c r="AC109" s="66" t="str">
        <f t="shared" si="83"/>
        <v>655.669621768123-1864.33297382071i</v>
      </c>
      <c r="AD109" s="64">
        <f t="shared" si="84"/>
        <v>65.916922199942121</v>
      </c>
      <c r="AE109" s="61">
        <f t="shared" si="85"/>
        <v>-70.623672093452385</v>
      </c>
      <c r="AF109" s="31" t="str">
        <f t="shared" si="70"/>
        <v>-1.39902068552014E-06</v>
      </c>
      <c r="AG109" s="31" t="str">
        <f t="shared" si="71"/>
        <v>0.0000168883724164287i</v>
      </c>
      <c r="AH109" s="31">
        <f t="shared" si="86"/>
        <v>1.6888372416428701E-5</v>
      </c>
      <c r="AI109" s="31">
        <f t="shared" si="87"/>
        <v>1.5707963267948966</v>
      </c>
      <c r="AJ109" s="31" t="str">
        <f t="shared" si="72"/>
        <v>1+0.00121993714621234i</v>
      </c>
      <c r="AK109" s="31">
        <f t="shared" si="88"/>
        <v>1.0000007441230436</v>
      </c>
      <c r="AL109" s="31">
        <f t="shared" si="89"/>
        <v>1.2199365410237603E-3</v>
      </c>
      <c r="AM109" s="31" t="str">
        <f t="shared" si="73"/>
        <v>1+0.593248258102201i</v>
      </c>
      <c r="AN109" s="31">
        <f t="shared" si="90"/>
        <v>1.1627310504761175</v>
      </c>
      <c r="AO109" s="31">
        <f t="shared" si="91"/>
        <v>0.53544019328875847</v>
      </c>
      <c r="AP109" s="58" t="str">
        <f t="shared" si="92"/>
        <v>-0.0490431294594344+0.0828991139272517i</v>
      </c>
      <c r="AQ109" s="49">
        <f t="shared" si="93"/>
        <v>-20.325694284600413</v>
      </c>
      <c r="AR109" s="61">
        <f t="shared" si="94"/>
        <v>120.60856604204041</v>
      </c>
      <c r="AS109" s="58" t="str">
        <f t="shared" si="95"/>
        <v>122.395461452103+145.787154064175i</v>
      </c>
      <c r="AT109" s="64">
        <f t="shared" si="96"/>
        <v>45.591227915341726</v>
      </c>
      <c r="AU109" s="61">
        <f t="shared" si="97"/>
        <v>49.984893948587917</v>
      </c>
    </row>
    <row r="110" spans="14:47" x14ac:dyDescent="0.4">
      <c r="N110" s="10">
        <v>92</v>
      </c>
      <c r="O110" s="50">
        <f t="shared" si="74"/>
        <v>83.176377110267126</v>
      </c>
      <c r="P110" s="48" t="str">
        <f t="shared" si="65"/>
        <v>5120.19230769231</v>
      </c>
      <c r="Q110" s="17" t="str">
        <f t="shared" si="66"/>
        <v>1+2.44220883667248i</v>
      </c>
      <c r="R110" s="17">
        <f t="shared" si="75"/>
        <v>2.6390119366765186</v>
      </c>
      <c r="S110" s="17">
        <f t="shared" si="76"/>
        <v>1.1821568542766983</v>
      </c>
      <c r="T110" s="17" t="str">
        <f t="shared" si="67"/>
        <v>1+5.22089977973096E-06i</v>
      </c>
      <c r="U110" s="17">
        <f t="shared" si="77"/>
        <v>1.0000000000136289</v>
      </c>
      <c r="V110" s="17">
        <f t="shared" si="78"/>
        <v>5.2208997796835238E-6</v>
      </c>
      <c r="W110" s="31" t="str">
        <f t="shared" si="68"/>
        <v>1-0.00846632396713127i</v>
      </c>
      <c r="X110" s="17">
        <f t="shared" si="79"/>
        <v>1.0000358386785528</v>
      </c>
      <c r="Y110" s="17">
        <f t="shared" si="80"/>
        <v>-8.4661216909636596E-3</v>
      </c>
      <c r="Z110" s="31" t="str">
        <f t="shared" si="69"/>
        <v>0.999997232676116+0.0515469734592075i</v>
      </c>
      <c r="AA110" s="17">
        <f t="shared" si="81"/>
        <v>1.0013249002360294</v>
      </c>
      <c r="AB110" s="17">
        <f t="shared" si="82"/>
        <v>5.1501533385863371E-2</v>
      </c>
      <c r="AC110" s="66" t="str">
        <f t="shared" si="83"/>
        <v>625.470900068804-1833.97079943282i</v>
      </c>
      <c r="AD110" s="64">
        <f t="shared" si="84"/>
        <v>65.745709328893668</v>
      </c>
      <c r="AE110" s="61">
        <f t="shared" si="85"/>
        <v>-71.168192880192436</v>
      </c>
      <c r="AF110" s="31" t="str">
        <f t="shared" si="70"/>
        <v>-1.39902068552014E-06</v>
      </c>
      <c r="AG110" s="31" t="str">
        <f t="shared" si="71"/>
        <v>0.0000172817531447591i</v>
      </c>
      <c r="AH110" s="31">
        <f t="shared" si="86"/>
        <v>1.7281753144759099E-5</v>
      </c>
      <c r="AI110" s="31">
        <f t="shared" si="87"/>
        <v>1.5707963267948966</v>
      </c>
      <c r="AJ110" s="31" t="str">
        <f t="shared" si="72"/>
        <v>1+0.00124835313274207i</v>
      </c>
      <c r="AK110" s="31">
        <f t="shared" si="88"/>
        <v>1.0000007791924683</v>
      </c>
      <c r="AL110" s="31">
        <f t="shared" si="89"/>
        <v>1.2483524842708509E-3</v>
      </c>
      <c r="AM110" s="31" t="str">
        <f t="shared" si="73"/>
        <v>1+0.607066785198747i</v>
      </c>
      <c r="AN110" s="31">
        <f t="shared" si="90"/>
        <v>1.1698419045715287</v>
      </c>
      <c r="AO110" s="31">
        <f t="shared" si="91"/>
        <v>0.54559946979553064</v>
      </c>
      <c r="AP110" s="58" t="str">
        <f t="shared" si="92"/>
        <v>-0.0490431260196084+0.0810148552050729i</v>
      </c>
      <c r="AQ110" s="49">
        <f t="shared" si="93"/>
        <v>-20.472736515503961</v>
      </c>
      <c r="AR110" s="61">
        <f t="shared" si="94"/>
        <v>121.18902159516591</v>
      </c>
      <c r="AS110" s="58" t="str">
        <f t="shared" si="95"/>
        <v>117.903830592709+140.616095436927i</v>
      </c>
      <c r="AT110" s="64">
        <f t="shared" si="96"/>
        <v>45.272972813389714</v>
      </c>
      <c r="AU110" s="61">
        <f t="shared" si="97"/>
        <v>50.020828714973696</v>
      </c>
    </row>
    <row r="111" spans="14:47" x14ac:dyDescent="0.4">
      <c r="N111" s="10">
        <v>93</v>
      </c>
      <c r="O111" s="50">
        <f t="shared" si="74"/>
        <v>85.113803820237734</v>
      </c>
      <c r="P111" s="48" t="str">
        <f t="shared" si="65"/>
        <v>5120.19230769231</v>
      </c>
      <c r="Q111" s="17" t="str">
        <f t="shared" si="66"/>
        <v>1+2.49909518825309i</v>
      </c>
      <c r="R111" s="17">
        <f t="shared" si="75"/>
        <v>2.6917423279262356</v>
      </c>
      <c r="S111" s="17">
        <f t="shared" si="76"/>
        <v>1.190165109112153</v>
      </c>
      <c r="T111" s="17" t="str">
        <f t="shared" si="67"/>
        <v>1+5.34251015799883E-06i</v>
      </c>
      <c r="U111" s="17">
        <f t="shared" si="77"/>
        <v>1.0000000000142713</v>
      </c>
      <c r="V111" s="17">
        <f t="shared" si="78"/>
        <v>5.3425101579480005E-6</v>
      </c>
      <c r="W111" s="31" t="str">
        <f t="shared" si="68"/>
        <v>1-0.00866352998594404i</v>
      </c>
      <c r="X111" s="17">
        <f t="shared" si="79"/>
        <v>1.0000375276717455</v>
      </c>
      <c r="Y111" s="17">
        <f t="shared" si="80"/>
        <v>-8.6633132435647367E-3</v>
      </c>
      <c r="Z111" s="31" t="str">
        <f t="shared" si="69"/>
        <v>0.99999710225616+0.0527476567140892i</v>
      </c>
      <c r="AA111" s="17">
        <f t="shared" si="81"/>
        <v>1.0013872976074465</v>
      </c>
      <c r="AB111" s="17">
        <f t="shared" si="82"/>
        <v>5.2698970440630898E-2</v>
      </c>
      <c r="AC111" s="66" t="str">
        <f t="shared" si="83"/>
        <v>596.248535530686-1803.62091382256i</v>
      </c>
      <c r="AD111" s="64">
        <f t="shared" si="84"/>
        <v>65.5733401704492</v>
      </c>
      <c r="AE111" s="61">
        <f t="shared" si="85"/>
        <v>-71.706931448958258</v>
      </c>
      <c r="AF111" s="31" t="str">
        <f t="shared" si="70"/>
        <v>-1.39902068552014E-06</v>
      </c>
      <c r="AG111" s="31" t="str">
        <f t="shared" si="71"/>
        <v>0.0000176842968873579i</v>
      </c>
      <c r="AH111" s="31">
        <f t="shared" si="86"/>
        <v>1.7684296887357901E-5</v>
      </c>
      <c r="AI111" s="31">
        <f t="shared" si="87"/>
        <v>1.5707963267948966</v>
      </c>
      <c r="AJ111" s="31" t="str">
        <f t="shared" si="72"/>
        <v>1+0.00127743101262669i</v>
      </c>
      <c r="AK111" s="31">
        <f t="shared" si="88"/>
        <v>1.0000008159146632</v>
      </c>
      <c r="AL111" s="31">
        <f t="shared" si="89"/>
        <v>1.2774303177772906E-3</v>
      </c>
      <c r="AM111" s="31" t="str">
        <f t="shared" si="73"/>
        <v>1+0.621207187140284i</v>
      </c>
      <c r="AN111" s="31">
        <f t="shared" si="90"/>
        <v>1.1772418482855356</v>
      </c>
      <c r="AO111" s="31">
        <f t="shared" si="91"/>
        <v>0.55586724896458406</v>
      </c>
      <c r="AP111" s="58" t="str">
        <f t="shared" si="92"/>
        <v>-0.0490431224176689+0.0791735516310774i</v>
      </c>
      <c r="AQ111" s="49">
        <f t="shared" si="93"/>
        <v>-20.617966477576097</v>
      </c>
      <c r="AR111" s="61">
        <f t="shared" si="94"/>
        <v>121.77565596938773</v>
      </c>
      <c r="AS111" s="58" t="str">
        <f t="shared" si="95"/>
        <v>113.557183624034+135.662315484461i</v>
      </c>
      <c r="AT111" s="64">
        <f t="shared" si="96"/>
        <v>44.95537369287311</v>
      </c>
      <c r="AU111" s="61">
        <f t="shared" si="97"/>
        <v>50.068724520429583</v>
      </c>
    </row>
    <row r="112" spans="14:47" x14ac:dyDescent="0.4">
      <c r="N112" s="10">
        <v>94</v>
      </c>
      <c r="O112" s="50">
        <f t="shared" si="74"/>
        <v>87.096358995608071</v>
      </c>
      <c r="P112" s="48" t="str">
        <f t="shared" si="65"/>
        <v>5120.19230769231</v>
      </c>
      <c r="Q112" s="17" t="str">
        <f t="shared" si="66"/>
        <v>1+2.55730659318193i</v>
      </c>
      <c r="R112" s="17">
        <f t="shared" si="75"/>
        <v>2.7458727231122291</v>
      </c>
      <c r="S112" s="17">
        <f t="shared" si="76"/>
        <v>1.1980409817436786</v>
      </c>
      <c r="T112" s="17" t="str">
        <f t="shared" si="67"/>
        <v>1+5.46695320586894E-06i</v>
      </c>
      <c r="U112" s="17">
        <f t="shared" si="77"/>
        <v>1.0000000000149438</v>
      </c>
      <c r="V112" s="17">
        <f t="shared" si="78"/>
        <v>5.4669532058144746E-6</v>
      </c>
      <c r="W112" s="31" t="str">
        <f t="shared" si="68"/>
        <v>1-0.0088653295230307i</v>
      </c>
      <c r="X112" s="17">
        <f t="shared" si="79"/>
        <v>1.0000392962616778</v>
      </c>
      <c r="Y112" s="17">
        <f t="shared" si="80"/>
        <v>-8.8650972798798942E-3</v>
      </c>
      <c r="Z112" s="31" t="str">
        <f t="shared" si="69"/>
        <v>0.9999969656897+0.0539763074747582i</v>
      </c>
      <c r="AA112" s="17">
        <f t="shared" si="81"/>
        <v>1.0014526315094572</v>
      </c>
      <c r="AB112" s="17">
        <f t="shared" si="82"/>
        <v>5.3924143278899418E-2</v>
      </c>
      <c r="AC112" s="66" t="str">
        <f t="shared" si="83"/>
        <v>567.985571526144-1773.31371049199i</v>
      </c>
      <c r="AD112" s="64">
        <f t="shared" si="84"/>
        <v>65.399850472657789</v>
      </c>
      <c r="AE112" s="61">
        <f t="shared" si="85"/>
        <v>-72.239937187126685</v>
      </c>
      <c r="AF112" s="31" t="str">
        <f t="shared" si="70"/>
        <v>-1.39902068552014E-06</v>
      </c>
      <c r="AG112" s="31" t="str">
        <f t="shared" si="71"/>
        <v>0.0000180962170782456i</v>
      </c>
      <c r="AH112" s="31">
        <f t="shared" si="86"/>
        <v>1.8096217078245601E-5</v>
      </c>
      <c r="AI112" s="31">
        <f t="shared" si="87"/>
        <v>1.5707963267948966</v>
      </c>
      <c r="AJ112" s="31" t="str">
        <f t="shared" si="72"/>
        <v>1+0.00130718620334299i</v>
      </c>
      <c r="AK112" s="31">
        <f t="shared" si="88"/>
        <v>1.0000008543675201</v>
      </c>
      <c r="AL112" s="31">
        <f t="shared" si="89"/>
        <v>1.3071854587984786E-3</v>
      </c>
      <c r="AM112" s="31" t="str">
        <f t="shared" si="73"/>
        <v>1+0.63567696135509i</v>
      </c>
      <c r="AN112" s="31">
        <f t="shared" si="90"/>
        <v>1.1849410108514435</v>
      </c>
      <c r="AO112" s="31">
        <f t="shared" si="91"/>
        <v>0.56624031446666878</v>
      </c>
      <c r="AP112" s="58" t="str">
        <f t="shared" si="92"/>
        <v>-0.049043118645976+0.0773742269217092i</v>
      </c>
      <c r="AQ112" s="49">
        <f t="shared" si="93"/>
        <v>-20.761346035663255</v>
      </c>
      <c r="AR112" s="61">
        <f t="shared" si="94"/>
        <v>122.36828399927062</v>
      </c>
      <c r="AS112" s="58" t="str">
        <f t="shared" si="95"/>
        <v>109.352993665426+130.916279199715i</v>
      </c>
      <c r="AT112" s="64">
        <f t="shared" si="96"/>
        <v>44.638504436994509</v>
      </c>
      <c r="AU112" s="61">
        <f t="shared" si="97"/>
        <v>50.12834681214396</v>
      </c>
    </row>
    <row r="113" spans="14:47" x14ac:dyDescent="0.4">
      <c r="N113" s="10">
        <v>95</v>
      </c>
      <c r="O113" s="50">
        <f t="shared" si="74"/>
        <v>89.125093813374562</v>
      </c>
      <c r="P113" s="48" t="str">
        <f t="shared" si="65"/>
        <v>5120.19230769231</v>
      </c>
      <c r="Q113" s="17" t="str">
        <f t="shared" si="66"/>
        <v>1+2.61687391591644i</v>
      </c>
      <c r="R113" s="17">
        <f t="shared" si="75"/>
        <v>2.801433399494595</v>
      </c>
      <c r="S113" s="17">
        <f t="shared" si="76"/>
        <v>1.2057847387474085</v>
      </c>
      <c r="T113" s="17" t="str">
        <f t="shared" si="67"/>
        <v>1+5.59429490469248E-06i</v>
      </c>
      <c r="U113" s="17">
        <f t="shared" si="77"/>
        <v>1.0000000000156479</v>
      </c>
      <c r="V113" s="17">
        <f t="shared" si="78"/>
        <v>5.5942949046341203E-6</v>
      </c>
      <c r="W113" s="31" t="str">
        <f t="shared" si="68"/>
        <v>1-0.00907182957517699i</v>
      </c>
      <c r="X113" s="17">
        <f t="shared" si="79"/>
        <v>1.0000411481993334</v>
      </c>
      <c r="Y113" s="17">
        <f t="shared" si="80"/>
        <v>-9.0715807227104081E-3</v>
      </c>
      <c r="Z113" s="31" t="str">
        <f t="shared" si="69"/>
        <v>0.999996822687061+0.0552335771881113i</v>
      </c>
      <c r="AA113" s="17">
        <f t="shared" si="81"/>
        <v>1.0015210399353638</v>
      </c>
      <c r="AB113" s="17">
        <f t="shared" si="82"/>
        <v>5.5177686828957198E-2</v>
      </c>
      <c r="AC113" s="66" t="str">
        <f t="shared" si="83"/>
        <v>540.664182765349-1743.07801397552i</v>
      </c>
      <c r="AD113" s="64">
        <f t="shared" si="84"/>
        <v>65.225275267644051</v>
      </c>
      <c r="AE113" s="61">
        <f t="shared" si="85"/>
        <v>-72.767267869541101</v>
      </c>
      <c r="AF113" s="31" t="str">
        <f t="shared" si="70"/>
        <v>-1.39902068552014E-06</v>
      </c>
      <c r="AG113" s="31" t="str">
        <f t="shared" si="71"/>
        <v>0.0000185177321229601i</v>
      </c>
      <c r="AH113" s="31">
        <f t="shared" si="86"/>
        <v>1.8517732122960098E-5</v>
      </c>
      <c r="AI113" s="31">
        <f t="shared" si="87"/>
        <v>1.5707963267948966</v>
      </c>
      <c r="AJ113" s="31" t="str">
        <f t="shared" si="72"/>
        <v>1+0.00133763448148697i</v>
      </c>
      <c r="AK113" s="31">
        <f t="shared" si="88"/>
        <v>1.0000008946326029</v>
      </c>
      <c r="AL113" s="31">
        <f t="shared" si="89"/>
        <v>1.337633683693191E-3</v>
      </c>
      <c r="AM113" s="31" t="str">
        <f t="shared" si="73"/>
        <v>1+0.650483779908988i</v>
      </c>
      <c r="AN113" s="31">
        <f t="shared" si="90"/>
        <v>1.1929497675613525</v>
      </c>
      <c r="AO113" s="31">
        <f t="shared" si="91"/>
        <v>0.5767152367387457</v>
      </c>
      <c r="AP113" s="58" t="str">
        <f t="shared" si="92"/>
        <v>-0.049043114696529+0.0756159270511585i</v>
      </c>
      <c r="AQ113" s="49">
        <f t="shared" si="93"/>
        <v>-20.902837861306285</v>
      </c>
      <c r="AR113" s="61">
        <f t="shared" si="94"/>
        <v>122.96670828140805</v>
      </c>
      <c r="AS113" s="58" t="str">
        <f t="shared" si="95"/>
        <v>105.288604421585+126.368798367558i</v>
      </c>
      <c r="AT113" s="64">
        <f t="shared" si="96"/>
        <v>44.322437406337762</v>
      </c>
      <c r="AU113" s="61">
        <f t="shared" si="97"/>
        <v>50.199440411866888</v>
      </c>
    </row>
    <row r="114" spans="14:47" x14ac:dyDescent="0.4">
      <c r="N114" s="10">
        <v>96</v>
      </c>
      <c r="O114" s="50">
        <f t="shared" si="74"/>
        <v>91.201083935590972</v>
      </c>
      <c r="P114" s="48" t="str">
        <f t="shared" si="65"/>
        <v>5120.19230769231</v>
      </c>
      <c r="Q114" s="17" t="str">
        <f t="shared" si="66"/>
        <v>1+2.67782873983959i</v>
      </c>
      <c r="R114" s="17">
        <f t="shared" si="75"/>
        <v>2.858455310112594</v>
      </c>
      <c r="S114" s="17">
        <f t="shared" si="76"/>
        <v>1.2133967700631223</v>
      </c>
      <c r="T114" s="17" t="str">
        <f t="shared" si="67"/>
        <v>1+5.72460277272375E-06i</v>
      </c>
      <c r="U114" s="17">
        <f t="shared" si="77"/>
        <v>1.0000000000163856</v>
      </c>
      <c r="V114" s="17">
        <f t="shared" si="78"/>
        <v>5.7246027726612165E-6</v>
      </c>
      <c r="W114" s="31" t="str">
        <f t="shared" si="68"/>
        <v>1-0.0092831396314439i</v>
      </c>
      <c r="X114" s="17">
        <f t="shared" si="79"/>
        <v>1.000043087412446</v>
      </c>
      <c r="Y114" s="17">
        <f t="shared" si="80"/>
        <v>-9.2828729818422943E-3</v>
      </c>
      <c r="Z114" s="31" t="str">
        <f t="shared" si="69"/>
        <v>0.999996672944916+0.0565201324751925i</v>
      </c>
      <c r="AA114" s="17">
        <f t="shared" si="81"/>
        <v>1.001592667343324</v>
      </c>
      <c r="AB114" s="17">
        <f t="shared" si="82"/>
        <v>5.6460250018407619E-2</v>
      </c>
      <c r="AC114" s="66" t="str">
        <f t="shared" si="83"/>
        <v>514.265785609941-1712.94108645237i</v>
      </c>
      <c r="AD114" s="64">
        <f t="shared" si="84"/>
        <v>65.049648838192383</v>
      </c>
      <c r="AE114" s="61">
        <f t="shared" si="85"/>
        <v>-73.28898928376843</v>
      </c>
      <c r="AF114" s="31" t="str">
        <f t="shared" si="70"/>
        <v>-1.39902068552014E-06</v>
      </c>
      <c r="AG114" s="31" t="str">
        <f t="shared" si="71"/>
        <v>0.0000189490655143572i</v>
      </c>
      <c r="AH114" s="31">
        <f t="shared" si="86"/>
        <v>1.8949065514357198E-5</v>
      </c>
      <c r="AI114" s="31">
        <f t="shared" si="87"/>
        <v>1.5707963267948966</v>
      </c>
      <c r="AJ114" s="31" t="str">
        <f t="shared" si="72"/>
        <v>1+0.00136879199113872i</v>
      </c>
      <c r="AK114" s="31">
        <f t="shared" si="88"/>
        <v>1.0000009367953187</v>
      </c>
      <c r="AL114" s="31">
        <f t="shared" si="89"/>
        <v>1.3687911362873274E-3</v>
      </c>
      <c r="AM114" s="31" t="str">
        <f t="shared" si="73"/>
        <v>1+0.665635493573163i</v>
      </c>
      <c r="AN114" s="31">
        <f t="shared" si="90"/>
        <v>1.2012787396372202</v>
      </c>
      <c r="AO114" s="31">
        <f t="shared" si="91"/>
        <v>0.58728837468410777</v>
      </c>
      <c r="AP114" s="58" t="str">
        <f t="shared" si="92"/>
        <v>-0.0490431105609513+0.0738977197455277i</v>
      </c>
      <c r="AQ114" s="49">
        <f t="shared" si="93"/>
        <v>-21.042405546294862</v>
      </c>
      <c r="AR114" s="61">
        <f t="shared" si="94"/>
        <v>123.57071927135293</v>
      </c>
      <c r="AS114" s="58" t="str">
        <f t="shared" si="95"/>
        <v>101.361246565874+122.011027986997i</v>
      </c>
      <c r="AT114" s="64">
        <f t="shared" si="96"/>
        <v>44.007243291897524</v>
      </c>
      <c r="AU114" s="61">
        <f t="shared" si="97"/>
        <v>50.281729987584626</v>
      </c>
    </row>
    <row r="115" spans="14:47" x14ac:dyDescent="0.4">
      <c r="N115" s="10">
        <v>97</v>
      </c>
      <c r="O115" s="50">
        <f t="shared" si="74"/>
        <v>93.325430079699174</v>
      </c>
      <c r="P115" s="48" t="str">
        <f t="shared" si="65"/>
        <v>5120.19230769231</v>
      </c>
      <c r="Q115" s="17" t="str">
        <f t="shared" si="66"/>
        <v>1+2.74020338400586i</v>
      </c>
      <c r="R115" s="17">
        <f t="shared" si="75"/>
        <v>2.9169701036721589</v>
      </c>
      <c r="S115" s="17">
        <f t="shared" si="76"/>
        <v>1.2208775821736204</v>
      </c>
      <c r="T115" s="17" t="str">
        <f t="shared" si="67"/>
        <v>1+0.0000058579459009192i</v>
      </c>
      <c r="U115" s="17">
        <f t="shared" si="77"/>
        <v>1.0000000000171578</v>
      </c>
      <c r="V115" s="17">
        <f t="shared" si="78"/>
        <v>5.8579459008521934E-6</v>
      </c>
      <c r="W115" s="31" t="str">
        <f t="shared" si="68"/>
        <v>1-0.00949937173122031i</v>
      </c>
      <c r="X115" s="17">
        <f t="shared" si="79"/>
        <v>1.0000451180138263</v>
      </c>
      <c r="Y115" s="17">
        <f t="shared" si="80"/>
        <v>-9.499086011720656E-3</v>
      </c>
      <c r="Z115" s="31" t="str">
        <f t="shared" si="69"/>
        <v>0.99999651614564+0.0578366554846444i</v>
      </c>
      <c r="AA115" s="17">
        <f t="shared" si="81"/>
        <v>1.0016676649573284</v>
      </c>
      <c r="AB115" s="17">
        <f t="shared" si="82"/>
        <v>5.7772496044395008E-2</v>
      </c>
      <c r="AC115" s="66" t="str">
        <f t="shared" si="83"/>
        <v>488.77114359142-1682.9286409854i</v>
      </c>
      <c r="AD115" s="64">
        <f t="shared" si="84"/>
        <v>64.873004688333992</v>
      </c>
      <c r="AE115" s="61">
        <f t="shared" si="85"/>
        <v>-73.805174858091505</v>
      </c>
      <c r="AF115" s="31" t="str">
        <f t="shared" si="70"/>
        <v>-1.39902068552014E-06</v>
      </c>
      <c r="AG115" s="31" t="str">
        <f t="shared" si="71"/>
        <v>0.0000193904459511107i</v>
      </c>
      <c r="AH115" s="31">
        <f t="shared" si="86"/>
        <v>1.9390445951110701E-5</v>
      </c>
      <c r="AI115" s="31">
        <f t="shared" si="87"/>
        <v>1.5707963267948966</v>
      </c>
      <c r="AJ115" s="31" t="str">
        <f t="shared" si="72"/>
        <v>1+0.00140067525242227i</v>
      </c>
      <c r="AK115" s="31">
        <f t="shared" si="88"/>
        <v>1.0000009809451003</v>
      </c>
      <c r="AL115" s="31">
        <f t="shared" si="89"/>
        <v>1.4006743364325485E-3</v>
      </c>
      <c r="AM115" s="31" t="str">
        <f t="shared" si="73"/>
        <v>1+0.68114013598676i</v>
      </c>
      <c r="AN115" s="31">
        <f t="shared" si="90"/>
        <v>1.2099387938454003</v>
      </c>
      <c r="AO115" s="31">
        <f t="shared" si="91"/>
        <v>0.59795587830085717</v>
      </c>
      <c r="AP115" s="58" t="str">
        <f t="shared" si="92"/>
        <v>-0.0490431062304703+0.0722186939885239i</v>
      </c>
      <c r="AQ115" s="49">
        <f t="shared" si="93"/>
        <v>-21.180013717125874</v>
      </c>
      <c r="AR115" s="61">
        <f t="shared" si="94"/>
        <v>124.18009543372746</v>
      </c>
      <c r="AS115" s="58" t="str">
        <f t="shared" si="95"/>
        <v>97.5680534103045+117.834461767598i</v>
      </c>
      <c r="AT115" s="64">
        <f t="shared" si="96"/>
        <v>43.692990971208125</v>
      </c>
      <c r="AU115" s="61">
        <f t="shared" si="97"/>
        <v>50.374920575636082</v>
      </c>
    </row>
    <row r="116" spans="14:47" x14ac:dyDescent="0.4">
      <c r="N116" s="10">
        <v>98</v>
      </c>
      <c r="O116" s="50">
        <f t="shared" si="74"/>
        <v>95.499258602143655</v>
      </c>
      <c r="P116" s="48" t="str">
        <f t="shared" si="65"/>
        <v>5120.19230769231</v>
      </c>
      <c r="Q116" s="17" t="str">
        <f t="shared" si="66"/>
        <v>1+2.8040309202772i</v>
      </c>
      <c r="R116" s="17">
        <f t="shared" si="75"/>
        <v>2.9770101447376023</v>
      </c>
      <c r="S116" s="17">
        <f t="shared" si="76"/>
        <v>1.2282277913555564</v>
      </c>
      <c r="T116" s="17" t="str">
        <f t="shared" si="67"/>
        <v>1+5.99439498957038E-06i</v>
      </c>
      <c r="U116" s="17">
        <f t="shared" si="77"/>
        <v>1.0000000000179665</v>
      </c>
      <c r="V116" s="17">
        <f t="shared" si="78"/>
        <v>5.9943949894985815E-6</v>
      </c>
      <c r="W116" s="31" t="str">
        <f t="shared" si="68"/>
        <v>1-0.00972064052362763i</v>
      </c>
      <c r="X116" s="17">
        <f t="shared" si="79"/>
        <v>1.0000472443100823</v>
      </c>
      <c r="Y116" s="17">
        <f t="shared" si="80"/>
        <v>-9.7203343704490124E-3</v>
      </c>
      <c r="Z116" s="31" t="str">
        <f t="shared" si="69"/>
        <v>0.999996351956643+0.0591838442543929i</v>
      </c>
      <c r="AA116" s="17">
        <f t="shared" si="81"/>
        <v>1.0017461910820138</v>
      </c>
      <c r="AB116" s="17">
        <f t="shared" si="82"/>
        <v>5.9115102646207465E-2</v>
      </c>
      <c r="AC116" s="66" t="str">
        <f t="shared" si="83"/>
        <v>464.16046788584-1653.06486072991i</v>
      </c>
      <c r="AD116" s="64">
        <f t="shared" si="84"/>
        <v>64.695375517746768</v>
      </c>
      <c r="AE116" s="61">
        <f t="shared" si="85"/>
        <v>-74.315905293807447</v>
      </c>
      <c r="AF116" s="31" t="str">
        <f t="shared" si="70"/>
        <v>-1.39902068552014E-06</v>
      </c>
      <c r="AG116" s="31" t="str">
        <f t="shared" si="71"/>
        <v>0.0000198421074589703i</v>
      </c>
      <c r="AH116" s="31">
        <f t="shared" si="86"/>
        <v>1.9842107458970302E-5</v>
      </c>
      <c r="AI116" s="31">
        <f t="shared" si="87"/>
        <v>1.5707963267948966</v>
      </c>
      <c r="AJ116" s="31" t="str">
        <f t="shared" si="72"/>
        <v>1+0.00143330117026479i</v>
      </c>
      <c r="AK116" s="31">
        <f t="shared" si="88"/>
        <v>1.0000010271755948</v>
      </c>
      <c r="AL116" s="31">
        <f t="shared" si="89"/>
        <v>1.4333001887641744E-3</v>
      </c>
      <c r="AM116" s="31" t="str">
        <f t="shared" si="73"/>
        <v>1+0.697005927916411i</v>
      </c>
      <c r="AN116" s="31">
        <f t="shared" si="90"/>
        <v>1.2189410418681526</v>
      </c>
      <c r="AO116" s="31">
        <f t="shared" si="91"/>
        <v>0.60871369226585137</v>
      </c>
      <c r="AP116" s="58" t="str">
        <f t="shared" si="92"/>
        <v>-0.049043101695901+0.0705779595384285i</v>
      </c>
      <c r="AQ116" s="49">
        <f t="shared" si="93"/>
        <v>-21.315628149710118</v>
      </c>
      <c r="AR116" s="61">
        <f t="shared" si="94"/>
        <v>124.79460344706696</v>
      </c>
      <c r="AS116" s="58" t="str">
        <f t="shared" si="95"/>
        <v>93.9060758252513+113.830926796482i</v>
      </c>
      <c r="AT116" s="64">
        <f t="shared" si="96"/>
        <v>43.379747368036632</v>
      </c>
      <c r="AU116" s="61">
        <f t="shared" si="97"/>
        <v>50.478698153259458</v>
      </c>
    </row>
    <row r="117" spans="14:47" x14ac:dyDescent="0.4">
      <c r="N117" s="10">
        <v>99</v>
      </c>
      <c r="O117" s="50">
        <f t="shared" si="74"/>
        <v>97.723722095581124</v>
      </c>
      <c r="P117" s="48" t="str">
        <f t="shared" si="65"/>
        <v>5120.19230769231</v>
      </c>
      <c r="Q117" s="17" t="str">
        <f t="shared" si="66"/>
        <v>1+2.86934519085821i</v>
      </c>
      <c r="R117" s="17">
        <f t="shared" si="75"/>
        <v>3.0386085342309466</v>
      </c>
      <c r="S117" s="17">
        <f t="shared" si="76"/>
        <v>1.2354481170265188</v>
      </c>
      <c r="T117" s="17" t="str">
        <f t="shared" si="67"/>
        <v>1+6.13402238579023E-06i</v>
      </c>
      <c r="U117" s="17">
        <f t="shared" si="77"/>
        <v>1.000000000018813</v>
      </c>
      <c r="V117" s="17">
        <f t="shared" si="78"/>
        <v>6.1340223857132969E-6</v>
      </c>
      <c r="W117" s="31" t="str">
        <f t="shared" si="68"/>
        <v>1-0.00994706332830847i</v>
      </c>
      <c r="X117" s="17">
        <f t="shared" si="79"/>
        <v>1.0000494708107481</v>
      </c>
      <c r="Y117" s="17">
        <f t="shared" si="80"/>
        <v>-9.9467352801436738E-3</v>
      </c>
      <c r="Z117" s="31" t="str">
        <f t="shared" si="69"/>
        <v>0.999996180029656+0.0605624130817557i</v>
      </c>
      <c r="AA117" s="17">
        <f t="shared" si="81"/>
        <v>1.0018284114319125</v>
      </c>
      <c r="AB117" s="17">
        <f t="shared" si="82"/>
        <v>6.0488762380041659E-2</v>
      </c>
      <c r="AC117" s="66" t="str">
        <f t="shared" si="83"/>
        <v>440.413512562639-1623.37242347087i</v>
      </c>
      <c r="AD117" s="64">
        <f t="shared" si="84"/>
        <v>64.516793199765459</v>
      </c>
      <c r="AE117" s="61">
        <f t="shared" si="85"/>
        <v>-74.821268203242198</v>
      </c>
      <c r="AF117" s="31" t="str">
        <f t="shared" si="70"/>
        <v>-1.39902068552014E-06</v>
      </c>
      <c r="AG117" s="31" t="str">
        <f t="shared" si="71"/>
        <v>0.000020304289514846i</v>
      </c>
      <c r="AH117" s="31">
        <f t="shared" si="86"/>
        <v>2.0304289514846E-5</v>
      </c>
      <c r="AI117" s="31">
        <f t="shared" si="87"/>
        <v>1.5707963267948966</v>
      </c>
      <c r="AJ117" s="31" t="str">
        <f t="shared" si="72"/>
        <v>1+0.00146668704335976i</v>
      </c>
      <c r="AK117" s="31">
        <f t="shared" si="88"/>
        <v>1.0000010755848632</v>
      </c>
      <c r="AL117" s="31">
        <f t="shared" si="89"/>
        <v>1.4666859916629632E-3</v>
      </c>
      <c r="AM117" s="31" t="str">
        <f t="shared" si="73"/>
        <v>1+0.713241281615008i</v>
      </c>
      <c r="AN117" s="31">
        <f t="shared" si="90"/>
        <v>1.2282968394487626</v>
      </c>
      <c r="AO117" s="31">
        <f t="shared" si="91"/>
        <v>0.61955756049453914</v>
      </c>
      <c r="AP117" s="58" t="str">
        <f t="shared" si="92"/>
        <v>-0.0490430969476248+0.0689746464560773i</v>
      </c>
      <c r="AQ117" s="49">
        <f t="shared" si="93"/>
        <v>-21.449215883637272</v>
      </c>
      <c r="AR117" s="61">
        <f t="shared" si="94"/>
        <v>125.41399846456501</v>
      </c>
      <c r="AS117" s="58" t="str">
        <f t="shared" si="95"/>
        <v>90.3722963817952+109.99257746987i</v>
      </c>
      <c r="AT117" s="64">
        <f t="shared" si="96"/>
        <v>43.067577316128194</v>
      </c>
      <c r="AU117" s="61">
        <f t="shared" si="97"/>
        <v>50.592730261322899</v>
      </c>
    </row>
    <row r="118" spans="14:47" x14ac:dyDescent="0.4">
      <c r="N118" s="10">
        <v>100</v>
      </c>
      <c r="O118" s="50">
        <f t="shared" si="74"/>
        <v>100</v>
      </c>
      <c r="P118" s="48" t="str">
        <f t="shared" si="65"/>
        <v>5120.19230769231</v>
      </c>
      <c r="Q118" s="17" t="str">
        <f t="shared" si="66"/>
        <v>1+2.93618082623969i</v>
      </c>
      <c r="R118" s="17">
        <f t="shared" si="75"/>
        <v>3.1017991302432186</v>
      </c>
      <c r="S118" s="17">
        <f t="shared" si="76"/>
        <v>1.2425393752103417</v>
      </c>
      <c r="T118" s="17" t="str">
        <f t="shared" si="67"/>
        <v>1+6.27690212187242E-06i</v>
      </c>
      <c r="U118" s="17">
        <f t="shared" si="77"/>
        <v>1.0000000000196998</v>
      </c>
      <c r="V118" s="17">
        <f t="shared" si="78"/>
        <v>6.276902121789984E-6</v>
      </c>
      <c r="W118" s="31" t="str">
        <f t="shared" si="68"/>
        <v>1-0.0101787601976309i</v>
      </c>
      <c r="X118" s="17">
        <f t="shared" si="79"/>
        <v>1.0000518022378446</v>
      </c>
      <c r="Y118" s="17">
        <f t="shared" si="80"/>
        <v>-1.0178408688672662E-2</v>
      </c>
      <c r="Z118" s="31" t="str">
        <f t="shared" si="69"/>
        <v>0.999996+0.0619730929021729i</v>
      </c>
      <c r="AA118" s="17">
        <f t="shared" si="81"/>
        <v>1.0019144994758091</v>
      </c>
      <c r="AB118" s="17">
        <f t="shared" si="82"/>
        <v>6.1894182895691242E-2</v>
      </c>
      <c r="AC118" s="66" t="str">
        <f t="shared" si="83"/>
        <v>417.509664486745-1593.87253086813i</v>
      </c>
      <c r="AD118" s="64">
        <f t="shared" si="84"/>
        <v>64.337288762797101</v>
      </c>
      <c r="AE118" s="61">
        <f t="shared" si="85"/>
        <v>-75.321357754728922</v>
      </c>
      <c r="AF118" s="31" t="str">
        <f t="shared" si="70"/>
        <v>-1.39902068552014E-06</v>
      </c>
      <c r="AG118" s="31" t="str">
        <f t="shared" si="71"/>
        <v>0.0000207772371737815i</v>
      </c>
      <c r="AH118" s="31">
        <f t="shared" si="86"/>
        <v>2.07772371737815E-5</v>
      </c>
      <c r="AI118" s="31">
        <f t="shared" si="87"/>
        <v>1.5707963267948966</v>
      </c>
      <c r="AJ118" s="31" t="str">
        <f t="shared" si="72"/>
        <v>1+0.00150085057333902i</v>
      </c>
      <c r="AK118" s="31">
        <f t="shared" si="88"/>
        <v>1.0000011262755875</v>
      </c>
      <c r="AL118" s="31">
        <f t="shared" si="89"/>
        <v>1.5008494464256675E-3</v>
      </c>
      <c r="AM118" s="31" t="str">
        <f t="shared" si="73"/>
        <v>1+0.729854805281982i</v>
      </c>
      <c r="AN118" s="31">
        <f t="shared" si="90"/>
        <v>1.2380177853299199</v>
      </c>
      <c r="AO118" s="31">
        <f t="shared" si="91"/>
        <v>0.63048303168962638</v>
      </c>
      <c r="AP118" s="58" t="str">
        <f t="shared" si="92"/>
        <v>-0.0490430919755705+0.067407904643608i</v>
      </c>
      <c r="AQ118" s="49">
        <f t="shared" si="93"/>
        <v>-21.580745335275186</v>
      </c>
      <c r="AR118" s="61">
        <f t="shared" si="94"/>
        <v>126.03802443146384</v>
      </c>
      <c r="AS118" s="58" t="str">
        <f t="shared" si="95"/>
        <v>86.9636426987121+106.311888780208i</v>
      </c>
      <c r="AT118" s="64">
        <f t="shared" si="96"/>
        <v>42.756543427521905</v>
      </c>
      <c r="AU118" s="61">
        <f t="shared" si="97"/>
        <v>50.71666667673481</v>
      </c>
    </row>
    <row r="119" spans="14:47" x14ac:dyDescent="0.4">
      <c r="N119" s="10">
        <v>1</v>
      </c>
      <c r="O119" s="50">
        <f>10^(2+(N119/100))</f>
        <v>102.32929922807544</v>
      </c>
      <c r="P119" s="48" t="str">
        <f t="shared" si="65"/>
        <v>5120.19230769231</v>
      </c>
      <c r="Q119" s="17" t="str">
        <f t="shared" si="66"/>
        <v>1+3.00457326356019i</v>
      </c>
      <c r="R119" s="17">
        <f t="shared" si="75"/>
        <v>3.1666165691634864</v>
      </c>
      <c r="S119" s="17">
        <f t="shared" si="76"/>
        <v>1.2495024721399919</v>
      </c>
      <c r="T119" s="17" t="str">
        <f t="shared" si="67"/>
        <v>1+6.42310995454424E-06i</v>
      </c>
      <c r="U119" s="17">
        <f t="shared" si="77"/>
        <v>1.0000000000206282</v>
      </c>
      <c r="V119" s="17">
        <f t="shared" si="78"/>
        <v>6.4231099544559086E-6</v>
      </c>
      <c r="W119" s="31" t="str">
        <f t="shared" si="68"/>
        <v>1-0.010415853980342i</v>
      </c>
      <c r="X119" s="17">
        <f t="shared" si="79"/>
        <v>1.0000542435358892</v>
      </c>
      <c r="Y119" s="17">
        <f t="shared" si="80"/>
        <v>-1.0415477332810659E-2</v>
      </c>
      <c r="Z119" s="31" t="str">
        <f t="shared" si="69"/>
        <v>0.999995811485808+0.0634166316767577i</v>
      </c>
      <c r="AA119" s="17">
        <f t="shared" si="81"/>
        <v>1.0020046367968489</v>
      </c>
      <c r="AB119" s="17">
        <f t="shared" si="82"/>
        <v>6.3332087214893987E-2</v>
      </c>
      <c r="AC119" s="66" t="str">
        <f t="shared" si="83"/>
        <v>395.428027808444-1564.58494181342i</v>
      </c>
      <c r="AD119" s="64">
        <f t="shared" si="84"/>
        <v>64.156892374930564</v>
      </c>
      <c r="AE119" s="61">
        <f t="shared" si="85"/>
        <v>-75.816274325644613</v>
      </c>
      <c r="AF119" s="31" t="str">
        <f t="shared" si="70"/>
        <v>-1.39902068552014E-06</v>
      </c>
      <c r="AG119" s="31" t="str">
        <f t="shared" si="71"/>
        <v>0.0000212612011988858i</v>
      </c>
      <c r="AH119" s="31">
        <f t="shared" si="86"/>
        <v>2.1261201198885801E-5</v>
      </c>
      <c r="AI119" s="31">
        <f t="shared" si="87"/>
        <v>1.5707963267948966</v>
      </c>
      <c r="AJ119" s="31" t="str">
        <f t="shared" si="72"/>
        <v>1+0.00153580987415837i</v>
      </c>
      <c r="AK119" s="31">
        <f t="shared" si="88"/>
        <v>1.0000011793552894</v>
      </c>
      <c r="AL119" s="31">
        <f t="shared" si="89"/>
        <v>1.5358086666490344E-3</v>
      </c>
      <c r="AM119" s="31" t="str">
        <f t="shared" si="73"/>
        <v>1+0.746855307627486i</v>
      </c>
      <c r="AN119" s="31">
        <f t="shared" si="90"/>
        <v>1.2481157200081034</v>
      </c>
      <c r="AO119" s="31">
        <f t="shared" si="91"/>
        <v>0.64148546588358413</v>
      </c>
      <c r="AP119" s="58" t="str">
        <f t="shared" si="92"/>
        <v>-0.0490430867691912+0.0658769033937261i</v>
      </c>
      <c r="AQ119" s="49">
        <f t="shared" si="93"/>
        <v>-21.710186408956499</v>
      </c>
      <c r="AR119" s="61">
        <f t="shared" si="94"/>
        <v>126.66641445937415</v>
      </c>
      <c r="AS119" s="58" t="str">
        <f t="shared" si="95"/>
        <v>83.6769999843416+102.781649046234i</v>
      </c>
      <c r="AT119" s="64">
        <f t="shared" si="96"/>
        <v>42.446705965974054</v>
      </c>
      <c r="AU119" s="61">
        <f t="shared" si="97"/>
        <v>50.850140133729504</v>
      </c>
    </row>
    <row r="120" spans="14:47" x14ac:dyDescent="0.4">
      <c r="N120" s="10">
        <v>2</v>
      </c>
      <c r="O120" s="50">
        <f t="shared" ref="O120:O183" si="98">10^(2+(N120/100))</f>
        <v>104.71285480508998</v>
      </c>
      <c r="P120" s="48" t="str">
        <f t="shared" si="65"/>
        <v>5120.19230769231</v>
      </c>
      <c r="Q120" s="17" t="str">
        <f t="shared" si="66"/>
        <v>1+3.07455876539526i</v>
      </c>
      <c r="R120" s="17">
        <f t="shared" si="75"/>
        <v>3.2330962871323252</v>
      </c>
      <c r="S120" s="17">
        <f t="shared" si="76"/>
        <v>1.2563383980148</v>
      </c>
      <c r="T120" s="17" t="str">
        <f t="shared" si="67"/>
        <v>1+6.57272340513387E-06i</v>
      </c>
      <c r="U120" s="17">
        <f t="shared" si="77"/>
        <v>1.0000000000216005</v>
      </c>
      <c r="V120" s="17">
        <f t="shared" si="78"/>
        <v>6.5727234050392209E-6</v>
      </c>
      <c r="W120" s="31" t="str">
        <f t="shared" si="68"/>
        <v>1-0.0106584703867036i</v>
      </c>
      <c r="X120" s="17">
        <f t="shared" si="79"/>
        <v>1.0000567998823788</v>
      </c>
      <c r="Y120" s="17">
        <f t="shared" si="80"/>
        <v>-1.0658066802840494E-2</v>
      </c>
      <c r="Z120" s="31" t="str">
        <f t="shared" si="69"/>
        <v>0.999995614087215+0.0648937947888759i</v>
      </c>
      <c r="AA120" s="17">
        <f t="shared" si="81"/>
        <v>1.0020990134691117</v>
      </c>
      <c r="AB120" s="17">
        <f t="shared" si="82"/>
        <v>6.4803214011049728E-2</v>
      </c>
      <c r="AC120" s="66" t="str">
        <f t="shared" si="83"/>
        <v>374.147503025399-1535.52800933117i</v>
      </c>
      <c r="AD120" s="64">
        <f t="shared" si="84"/>
        <v>63.975633331528201</v>
      </c>
      <c r="AE120" s="61">
        <f t="shared" si="85"/>
        <v>-76.306124164451518</v>
      </c>
      <c r="AF120" s="31" t="str">
        <f t="shared" si="70"/>
        <v>-1.39902068552014E-06</v>
      </c>
      <c r="AG120" s="31" t="str">
        <f t="shared" si="71"/>
        <v>0.000021756438194291i</v>
      </c>
      <c r="AH120" s="31">
        <f t="shared" si="86"/>
        <v>2.1756438194290999E-5</v>
      </c>
      <c r="AI120" s="31">
        <f t="shared" si="87"/>
        <v>1.5707963267948966</v>
      </c>
      <c r="AJ120" s="31" t="str">
        <f t="shared" si="72"/>
        <v>1+0.00157158348170185i</v>
      </c>
      <c r="AK120" s="31">
        <f t="shared" si="88"/>
        <v>1.0000012349365575</v>
      </c>
      <c r="AL120" s="31">
        <f t="shared" si="89"/>
        <v>1.571582187832372E-3</v>
      </c>
      <c r="AM120" s="31" t="str">
        <f t="shared" si="73"/>
        <v>1+0.764251802542893i</v>
      </c>
      <c r="AN120" s="31">
        <f t="shared" si="90"/>
        <v>1.2586027243296676</v>
      </c>
      <c r="AO120" s="31">
        <f t="shared" si="91"/>
        <v>0.65256004197151729</v>
      </c>
      <c r="AP120" s="58" t="str">
        <f t="shared" si="92"/>
        <v>-0.0490430813174442+0.0643808309492537i</v>
      </c>
      <c r="AQ120" s="49">
        <f t="shared" si="93"/>
        <v>-21.837510605486496</v>
      </c>
      <c r="AR120" s="61">
        <f t="shared" si="94"/>
        <v>127.29889125732711</v>
      </c>
      <c r="AS120" s="58" t="str">
        <f t="shared" si="95"/>
        <v>80.5092227710008+99.3949521692054i</v>
      </c>
      <c r="AT120" s="64">
        <f t="shared" si="96"/>
        <v>42.138122726041701</v>
      </c>
      <c r="AU120" s="61">
        <f t="shared" si="97"/>
        <v>50.992767092875596</v>
      </c>
    </row>
    <row r="121" spans="14:47" x14ac:dyDescent="0.4">
      <c r="N121" s="10">
        <v>3</v>
      </c>
      <c r="O121" s="50">
        <f t="shared" si="98"/>
        <v>107.15193052376065</v>
      </c>
      <c r="P121" s="48" t="str">
        <f t="shared" si="65"/>
        <v>5120.19230769231</v>
      </c>
      <c r="Q121" s="17" t="str">
        <f t="shared" si="66"/>
        <v>1+3.14617443898434i</v>
      </c>
      <c r="R121" s="17">
        <f t="shared" si="75"/>
        <v>3.3012745418275085</v>
      </c>
      <c r="S121" s="17">
        <f t="shared" si="76"/>
        <v>1.2630482209263834</v>
      </c>
      <c r="T121" s="17" t="str">
        <f t="shared" si="67"/>
        <v>1+6.72582180067319E-06i</v>
      </c>
      <c r="U121" s="17">
        <f t="shared" si="77"/>
        <v>1.0000000000226184</v>
      </c>
      <c r="V121" s="17">
        <f t="shared" si="78"/>
        <v>6.7258218005717722E-6</v>
      </c>
      <c r="W121" s="31" t="str">
        <f t="shared" si="68"/>
        <v>1-0.0109067380551457i</v>
      </c>
      <c r="X121" s="17">
        <f t="shared" si="79"/>
        <v>1.0000594766987629</v>
      </c>
      <c r="Y121" s="17">
        <f t="shared" si="80"/>
        <v>-1.0906305608634145E-2</v>
      </c>
      <c r="Z121" s="31" t="str">
        <f t="shared" si="69"/>
        <v>0.999995407385514+0.066405365449962i</v>
      </c>
      <c r="AA121" s="17">
        <f t="shared" si="81"/>
        <v>1.0021978284513806</v>
      </c>
      <c r="AB121" s="17">
        <f t="shared" si="82"/>
        <v>6.6308317889987659E-2</v>
      </c>
      <c r="AC121" s="66" t="str">
        <f t="shared" si="83"/>
        <v>353.646860645576-1506.71872048574i</v>
      </c>
      <c r="AD121" s="64">
        <f t="shared" si="84"/>
        <v>63.793540045588728</v>
      </c>
      <c r="AE121" s="61">
        <f t="shared" si="85"/>
        <v>-76.791019062548742</v>
      </c>
      <c r="AF121" s="31" t="str">
        <f t="shared" si="70"/>
        <v>-1.39902068552014E-06</v>
      </c>
      <c r="AG121" s="31" t="str">
        <f t="shared" si="71"/>
        <v>0.0000222632107412073i</v>
      </c>
      <c r="AH121" s="31">
        <f t="shared" si="86"/>
        <v>2.2263210741207302E-5</v>
      </c>
      <c r="AI121" s="31">
        <f t="shared" si="87"/>
        <v>1.5707963267948966</v>
      </c>
      <c r="AJ121" s="31" t="str">
        <f t="shared" si="72"/>
        <v>1+0.00160819036360969i</v>
      </c>
      <c r="AK121" s="31">
        <f t="shared" si="88"/>
        <v>1.0000012931372868</v>
      </c>
      <c r="AL121" s="31">
        <f t="shared" si="89"/>
        <v>1.6081889772036626E-3</v>
      </c>
      <c r="AM121" s="31" t="str">
        <f t="shared" si="73"/>
        <v>1+0.782053513880077i</v>
      </c>
      <c r="AN121" s="31">
        <f t="shared" si="90"/>
        <v>1.2694911179571819</v>
      </c>
      <c r="AO121" s="31">
        <f t="shared" si="91"/>
        <v>0.66370176622205068</v>
      </c>
      <c r="AP121" s="58" t="str">
        <f t="shared" si="92"/>
        <v>-0.0490430756087656+0.062918894072724i</v>
      </c>
      <c r="AQ121" s="49">
        <f t="shared" si="93"/>
        <v>-21.962691127198251</v>
      </c>
      <c r="AR121" s="61">
        <f t="shared" si="94"/>
        <v>127.93516761884869</v>
      </c>
      <c r="AS121" s="58" t="str">
        <f t="shared" si="95"/>
        <v>77.4571458461889+96.1451894940351i</v>
      </c>
      <c r="AT121" s="64">
        <f t="shared" si="96"/>
        <v>41.830848918390473</v>
      </c>
      <c r="AU121" s="61">
        <f t="shared" si="97"/>
        <v>51.144148556299982</v>
      </c>
    </row>
    <row r="122" spans="14:47" x14ac:dyDescent="0.4">
      <c r="N122" s="10">
        <v>4</v>
      </c>
      <c r="O122" s="50">
        <f t="shared" si="98"/>
        <v>109.64781961431861</v>
      </c>
      <c r="P122" s="48" t="str">
        <f t="shared" si="65"/>
        <v>5120.19230769231</v>
      </c>
      <c r="Q122" s="17" t="str">
        <f t="shared" si="66"/>
        <v>1+3.21945825590551i</v>
      </c>
      <c r="R122" s="17">
        <f t="shared" si="75"/>
        <v>3.3711884345907079</v>
      </c>
      <c r="S122" s="17">
        <f t="shared" si="76"/>
        <v>1.2696330809653218</v>
      </c>
      <c r="T122" s="17" t="str">
        <f t="shared" si="67"/>
        <v>1+0.000006882486315958i</v>
      </c>
      <c r="U122" s="17">
        <f t="shared" si="77"/>
        <v>1.0000000000236842</v>
      </c>
      <c r="V122" s="17">
        <f t="shared" si="78"/>
        <v>6.8824863158493294E-6</v>
      </c>
      <c r="W122" s="31" t="str">
        <f t="shared" si="68"/>
        <v>1-0.0111607886204724i</v>
      </c>
      <c r="X122" s="17">
        <f t="shared" si="79"/>
        <v>1.0000622796619372</v>
      </c>
      <c r="Y122" s="17">
        <f t="shared" si="80"/>
        <v>-1.1160325247245308E-2</v>
      </c>
      <c r="Z122" s="31" t="str">
        <f t="shared" si="69"/>
        <v>0.999995190942262+0.0679521451147886i</v>
      </c>
      <c r="AA122" s="17">
        <f t="shared" si="81"/>
        <v>1.0023012899988468</v>
      </c>
      <c r="AB122" s="17">
        <f t="shared" si="82"/>
        <v>6.7848169671435171E-2</v>
      </c>
      <c r="AC122" s="66" t="str">
        <f t="shared" si="83"/>
        <v>333.904809518682-1478.17273878981i</v>
      </c>
      <c r="AD122" s="64">
        <f t="shared" si="84"/>
        <v>63.610640040670063</v>
      </c>
      <c r="AE122" s="61">
        <f t="shared" si="85"/>
        <v>-77.271076036607255</v>
      </c>
      <c r="AF122" s="31" t="str">
        <f t="shared" si="70"/>
        <v>-1.39902068552014E-06</v>
      </c>
      <c r="AG122" s="31" t="str">
        <f t="shared" si="71"/>
        <v>0.000022781787537147i</v>
      </c>
      <c r="AH122" s="31">
        <f t="shared" si="86"/>
        <v>2.2781787537147001E-5</v>
      </c>
      <c r="AI122" s="31">
        <f t="shared" si="87"/>
        <v>1.5707963267948966</v>
      </c>
      <c r="AJ122" s="31" t="str">
        <f t="shared" si="72"/>
        <v>1+0.00164564992933523i</v>
      </c>
      <c r="AK122" s="31">
        <f t="shared" si="88"/>
        <v>1.0000013540809283</v>
      </c>
      <c r="AL122" s="31">
        <f t="shared" si="89"/>
        <v>1.6456484437745156E-3</v>
      </c>
      <c r="AM122" s="31" t="str">
        <f t="shared" si="73"/>
        <v>1+0.800269880342023i</v>
      </c>
      <c r="AN122" s="31">
        <f t="shared" si="90"/>
        <v>1.280793457737287</v>
      </c>
      <c r="AO122" s="31">
        <f t="shared" si="91"/>
        <v>0.67490548174477316</v>
      </c>
      <c r="AP122" s="58" t="str">
        <f t="shared" si="92"/>
        <v>-0.0490430696310468+0.061490317625796i</v>
      </c>
      <c r="AQ122" s="49">
        <f t="shared" si="93"/>
        <v>-22.085702978778798</v>
      </c>
      <c r="AR122" s="61">
        <f t="shared" si="94"/>
        <v>128.57494696382864</v>
      </c>
      <c r="AS122" s="58" t="str">
        <f t="shared" si="95"/>
        <v>74.5175943906121+93.0260413492685i</v>
      </c>
      <c r="AT122" s="64">
        <f t="shared" si="96"/>
        <v>41.524937061891265</v>
      </c>
      <c r="AU122" s="61">
        <f t="shared" si="97"/>
        <v>51.303870927221375</v>
      </c>
    </row>
    <row r="123" spans="14:47" x14ac:dyDescent="0.4">
      <c r="N123" s="10">
        <v>5</v>
      </c>
      <c r="O123" s="50">
        <f t="shared" si="98"/>
        <v>112.20184543019634</v>
      </c>
      <c r="P123" s="48" t="str">
        <f t="shared" si="65"/>
        <v>5120.19230769231</v>
      </c>
      <c r="Q123" s="17" t="str">
        <f t="shared" si="66"/>
        <v>1+3.29444907220852i</v>
      </c>
      <c r="R123" s="17">
        <f t="shared" si="75"/>
        <v>3.4428759329048697</v>
      </c>
      <c r="S123" s="17">
        <f t="shared" si="76"/>
        <v>1.2760941845185014</v>
      </c>
      <c r="T123" s="17" t="str">
        <f t="shared" si="67"/>
        <v>1+0.000007042800016588i</v>
      </c>
      <c r="U123" s="17">
        <f t="shared" si="77"/>
        <v>1.0000000000248006</v>
      </c>
      <c r="V123" s="17">
        <f t="shared" si="78"/>
        <v>7.0428000164715566E-6</v>
      </c>
      <c r="W123" s="31" t="str">
        <f t="shared" si="68"/>
        <v>1-0.0114207567836562i</v>
      </c>
      <c r="X123" s="17">
        <f t="shared" si="79"/>
        <v>1.0000652147162761</v>
      </c>
      <c r="Y123" s="17">
        <f t="shared" si="80"/>
        <v>-1.1420260272046517E-2</v>
      </c>
      <c r="Z123" s="31" t="str">
        <f t="shared" si="69"/>
        <v>0.999994964298353+0.0695349539064081i</v>
      </c>
      <c r="AA123" s="17">
        <f t="shared" si="81"/>
        <v>1.0024096160935563</v>
      </c>
      <c r="AB123" s="17">
        <f t="shared" si="82"/>
        <v>6.9423556670803882E-2</v>
      </c>
      <c r="AC123" s="66" t="str">
        <f t="shared" si="83"/>
        <v>314.900059937543-1449.90444864237i</v>
      </c>
      <c r="AD123" s="64">
        <f t="shared" si="84"/>
        <v>63.426959946165262</v>
      </c>
      <c r="AE123" s="61">
        <f t="shared" si="85"/>
        <v>-77.746417021935329</v>
      </c>
      <c r="AF123" s="31" t="str">
        <f t="shared" si="70"/>
        <v>-1.39902068552014E-06</v>
      </c>
      <c r="AG123" s="31" t="str">
        <f t="shared" si="71"/>
        <v>0.0000233124435383916i</v>
      </c>
      <c r="AH123" s="31">
        <f t="shared" si="86"/>
        <v>2.3312443538391599E-5</v>
      </c>
      <c r="AI123" s="31">
        <f t="shared" si="87"/>
        <v>1.5707963267948966</v>
      </c>
      <c r="AJ123" s="31" t="str">
        <f t="shared" si="72"/>
        <v>1+0.00168398204043606i</v>
      </c>
      <c r="AK123" s="31">
        <f t="shared" si="88"/>
        <v>1.0000014178967509</v>
      </c>
      <c r="AL123" s="31">
        <f t="shared" si="89"/>
        <v>1.6839804486291972E-3</v>
      </c>
      <c r="AM123" s="31" t="str">
        <f t="shared" si="73"/>
        <v>1+0.818910560487349i</v>
      </c>
      <c r="AN123" s="31">
        <f t="shared" si="90"/>
        <v>1.2925225360038037</v>
      </c>
      <c r="AO123" s="31">
        <f t="shared" si="91"/>
        <v>0.68616587888347247</v>
      </c>
      <c r="AP123" s="58" t="str">
        <f t="shared" si="92"/>
        <v>-0.049043063371608+0.0600943441582662i</v>
      </c>
      <c r="AQ123" s="49">
        <f t="shared" si="93"/>
        <v>-22.206523063099436</v>
      </c>
      <c r="AR123" s="61">
        <f t="shared" si="94"/>
        <v>129.21792393341877</v>
      </c>
      <c r="AS123" s="58" t="str">
        <f t="shared" si="95"/>
        <v>71.6873933380757+90.0314683348895i</v>
      </c>
      <c r="AT123" s="64">
        <f t="shared" si="96"/>
        <v>41.220436883065823</v>
      </c>
      <c r="AU123" s="61">
        <f t="shared" si="97"/>
        <v>51.471506911483466</v>
      </c>
    </row>
    <row r="124" spans="14:47" x14ac:dyDescent="0.4">
      <c r="N124" s="10">
        <v>6</v>
      </c>
      <c r="O124" s="50">
        <f t="shared" si="98"/>
        <v>114.81536214968835</v>
      </c>
      <c r="P124" s="48" t="str">
        <f t="shared" si="65"/>
        <v>5120.19230769231</v>
      </c>
      <c r="Q124" s="17" t="str">
        <f t="shared" si="66"/>
        <v>1+3.37118664901681i</v>
      </c>
      <c r="R124" s="17">
        <f t="shared" si="75"/>
        <v>3.5163758932328593</v>
      </c>
      <c r="S124" s="17">
        <f t="shared" si="76"/>
        <v>1.2824327987650548</v>
      </c>
      <c r="T124" s="17" t="str">
        <f t="shared" si="67"/>
        <v>1+7.20684790300928E-06i</v>
      </c>
      <c r="U124" s="17">
        <f t="shared" si="77"/>
        <v>1.0000000000259694</v>
      </c>
      <c r="V124" s="17">
        <f t="shared" si="78"/>
        <v>7.2068479028845087E-6</v>
      </c>
      <c r="W124" s="31" t="str">
        <f t="shared" si="68"/>
        <v>1-0.0116867803832583i</v>
      </c>
      <c r="X124" s="17">
        <f t="shared" si="79"/>
        <v>1.0000682880862319</v>
      </c>
      <c r="Y124" s="17">
        <f t="shared" si="80"/>
        <v>-1.1686248363445279E-2</v>
      </c>
      <c r="Z124" s="31" t="str">
        <f t="shared" si="69"/>
        <v>0.999994726973046+0.0711546310509926i</v>
      </c>
      <c r="AA124" s="17">
        <f t="shared" si="81"/>
        <v>1.0025230348944107</v>
      </c>
      <c r="AB124" s="17">
        <f t="shared" si="82"/>
        <v>7.1035282980875386E-2</v>
      </c>
      <c r="AC124" s="66" t="str">
        <f t="shared" si="83"/>
        <v>296.611381639625-1421.92700135906i</v>
      </c>
      <c r="AD124" s="64">
        <f t="shared" si="84"/>
        <v>63.242525494729158</v>
      </c>
      <c r="AE124" s="61">
        <f t="shared" si="85"/>
        <v>-78.217168577307959</v>
      </c>
      <c r="AF124" s="31" t="str">
        <f t="shared" si="70"/>
        <v>-1.39902068552014E-06</v>
      </c>
      <c r="AG124" s="31" t="str">
        <f t="shared" si="71"/>
        <v>0.0000238554601057769i</v>
      </c>
      <c r="AH124" s="31">
        <f t="shared" si="86"/>
        <v>2.3855460105776901E-5</v>
      </c>
      <c r="AI124" s="31">
        <f t="shared" si="87"/>
        <v>1.5707963267948966</v>
      </c>
      <c r="AJ124" s="31" t="str">
        <f t="shared" si="72"/>
        <v>1+0.00172320702110487i</v>
      </c>
      <c r="AK124" s="31">
        <f t="shared" si="88"/>
        <v>1.0000014847201166</v>
      </c>
      <c r="AL124" s="31">
        <f t="shared" si="89"/>
        <v>1.7232053154532232E-3</v>
      </c>
      <c r="AM124" s="31" t="str">
        <f t="shared" si="73"/>
        <v>1+0.837985437851409i</v>
      </c>
      <c r="AN124" s="31">
        <f t="shared" si="90"/>
        <v>1.3046913788521091</v>
      </c>
      <c r="AO124" s="31">
        <f t="shared" si="91"/>
        <v>0.69747750649511064</v>
      </c>
      <c r="AP124" s="58" t="str">
        <f t="shared" si="92"/>
        <v>-0.0490430568171728+0.0587302335064579i</v>
      </c>
      <c r="AQ124" s="49">
        <f t="shared" si="93"/>
        <v>-22.325130271300505</v>
      </c>
      <c r="AR124" s="61">
        <f t="shared" si="94"/>
        <v>129.86378503566837</v>
      </c>
      <c r="AS124" s="58" t="str">
        <f t="shared" si="95"/>
        <v>68.9633759765828+87.1557024218928i</v>
      </c>
      <c r="AT124" s="64">
        <f t="shared" si="96"/>
        <v>40.917395223428642</v>
      </c>
      <c r="AU124" s="61">
        <f t="shared" si="97"/>
        <v>51.646616458360405</v>
      </c>
    </row>
    <row r="125" spans="14:47" x14ac:dyDescent="0.4">
      <c r="N125" s="10">
        <v>7</v>
      </c>
      <c r="O125" s="50">
        <f t="shared" si="98"/>
        <v>117.48975549395293</v>
      </c>
      <c r="P125" s="48" t="str">
        <f t="shared" si="65"/>
        <v>5120.19230769231</v>
      </c>
      <c r="Q125" s="17" t="str">
        <f t="shared" si="66"/>
        <v>1+3.44971167360934i</v>
      </c>
      <c r="R125" s="17">
        <f t="shared" si="75"/>
        <v>3.5917280842286146</v>
      </c>
      <c r="S125" s="17">
        <f t="shared" si="76"/>
        <v>1.2886502463769614</v>
      </c>
      <c r="T125" s="17" t="str">
        <f t="shared" si="67"/>
        <v>1+7.37471695558264E-06i</v>
      </c>
      <c r="U125" s="17">
        <f t="shared" si="77"/>
        <v>1.0000000000271934</v>
      </c>
      <c r="V125" s="17">
        <f t="shared" si="78"/>
        <v>7.3747169554489449E-6</v>
      </c>
      <c r="W125" s="31" t="str">
        <f t="shared" si="68"/>
        <v>1-0.0119590004685124i</v>
      </c>
      <c r="X125" s="17">
        <f t="shared" si="79"/>
        <v>1.0000715062895282</v>
      </c>
      <c r="Y125" s="17">
        <f t="shared" si="80"/>
        <v>-1.1958430401213395E-2</v>
      </c>
      <c r="Z125" s="31" t="str">
        <f t="shared" si="69"/>
        <v>0.999994478462942+0.0728120353228032i</v>
      </c>
      <c r="AA125" s="17">
        <f t="shared" si="81"/>
        <v>1.0026417852075689</v>
      </c>
      <c r="AB125" s="17">
        <f t="shared" si="82"/>
        <v>7.2684169752932362E-2</v>
      </c>
      <c r="AC125" s="66" t="str">
        <f t="shared" si="83"/>
        <v>279.017656863138-1394.25236239183i</v>
      </c>
      <c r="AD125" s="64">
        <f t="shared" si="84"/>
        <v>63.057361521657931</v>
      </c>
      <c r="AE125" s="61">
        <f t="shared" si="85"/>
        <v>-78.683461601582891</v>
      </c>
      <c r="AF125" s="31" t="str">
        <f t="shared" si="70"/>
        <v>-1.39902068552014E-06</v>
      </c>
      <c r="AG125" s="31" t="str">
        <f t="shared" si="71"/>
        <v>0.0000244111251538745i</v>
      </c>
      <c r="AH125" s="31">
        <f t="shared" si="86"/>
        <v>2.4411125153874501E-5</v>
      </c>
      <c r="AI125" s="31">
        <f t="shared" si="87"/>
        <v>1.5707963267948966</v>
      </c>
      <c r="AJ125" s="31" t="str">
        <f t="shared" si="72"/>
        <v>1+0.00176334566894561i</v>
      </c>
      <c r="AK125" s="31">
        <f t="shared" si="88"/>
        <v>1.0000015546927656</v>
      </c>
      <c r="AL125" s="31">
        <f t="shared" si="89"/>
        <v>1.7633438413070959E-3</v>
      </c>
      <c r="AM125" s="31" t="str">
        <f t="shared" si="73"/>
        <v>1+0.857504626186666i</v>
      </c>
      <c r="AN125" s="31">
        <f t="shared" si="90"/>
        <v>1.317313244422728</v>
      </c>
      <c r="AO125" s="31">
        <f t="shared" si="91"/>
        <v>0.70883478406528011</v>
      </c>
      <c r="AP125" s="58" t="str">
        <f t="shared" si="92"/>
        <v>-0.0490430499538386+0.0573972624007768i</v>
      </c>
      <c r="AQ125" s="49">
        <f t="shared" si="93"/>
        <v>-22.44150556640885</v>
      </c>
      <c r="AR125" s="61">
        <f t="shared" si="94"/>
        <v>130.51220933907027</v>
      </c>
      <c r="AS125" s="58" t="str">
        <f t="shared" si="95"/>
        <v>66.3423918135649+84.3932379224634i</v>
      </c>
      <c r="AT125" s="64">
        <f t="shared" si="96"/>
        <v>40.615855955249074</v>
      </c>
      <c r="AU125" s="61">
        <f t="shared" si="97"/>
        <v>51.828747737487397</v>
      </c>
    </row>
    <row r="126" spans="14:47" x14ac:dyDescent="0.4">
      <c r="N126" s="10">
        <v>8</v>
      </c>
      <c r="O126" s="50">
        <f t="shared" si="98"/>
        <v>120.22644346174135</v>
      </c>
      <c r="P126" s="48" t="str">
        <f t="shared" si="65"/>
        <v>5120.19230769231</v>
      </c>
      <c r="Q126" s="17" t="str">
        <f t="shared" si="66"/>
        <v>1+3.53006578099356i</v>
      </c>
      <c r="R126" s="17">
        <f t="shared" si="75"/>
        <v>3.6689732103330588</v>
      </c>
      <c r="S126" s="17">
        <f t="shared" si="76"/>
        <v>1.2947479004287079</v>
      </c>
      <c r="T126" s="17" t="str">
        <f t="shared" si="67"/>
        <v>1+7.54649618070179E-06i</v>
      </c>
      <c r="U126" s="17">
        <f t="shared" si="77"/>
        <v>1.0000000000284748</v>
      </c>
      <c r="V126" s="17">
        <f t="shared" si="78"/>
        <v>7.5464961805585333E-6</v>
      </c>
      <c r="W126" s="31" t="str">
        <f t="shared" si="68"/>
        <v>1-0.012237561374111i</v>
      </c>
      <c r="X126" s="17">
        <f t="shared" si="79"/>
        <v>1.0000748761509735</v>
      </c>
      <c r="Y126" s="17">
        <f t="shared" si="80"/>
        <v>-1.2236950538464835E-2</v>
      </c>
      <c r="Z126" s="31" t="str">
        <f t="shared" si="69"/>
        <v>0.999994218240917+0.0745080454995234i</v>
      </c>
      <c r="AA126" s="17">
        <f t="shared" si="81"/>
        <v>1.0027661169781426</v>
      </c>
      <c r="AB126" s="17">
        <f t="shared" si="82"/>
        <v>7.4371055476837325E-2</v>
      </c>
      <c r="AC126" s="66" t="str">
        <f t="shared" si="83"/>
        <v>262.097928631975-1366.8913593689i</v>
      </c>
      <c r="AD126" s="64">
        <f t="shared" si="84"/>
        <v>62.871491966029112</v>
      </c>
      <c r="AE126" s="61">
        <f t="shared" si="85"/>
        <v>-79.145431062328726</v>
      </c>
      <c r="AF126" s="31" t="str">
        <f t="shared" si="70"/>
        <v>-1.39902068552014E-06</v>
      </c>
      <c r="AG126" s="31" t="str">
        <f t="shared" si="71"/>
        <v>0.0000249797333036483i</v>
      </c>
      <c r="AH126" s="31">
        <f t="shared" si="86"/>
        <v>2.4979733303648299E-5</v>
      </c>
      <c r="AI126" s="31">
        <f t="shared" si="87"/>
        <v>1.5707963267948966</v>
      </c>
      <c r="AJ126" s="31" t="str">
        <f t="shared" si="72"/>
        <v>1+0.00180441926600066i</v>
      </c>
      <c r="AK126" s="31">
        <f t="shared" si="88"/>
        <v>1.0000016279631188</v>
      </c>
      <c r="AL126" s="31">
        <f t="shared" si="89"/>
        <v>1.8044173076508811E-3</v>
      </c>
      <c r="AM126" s="31" t="str">
        <f t="shared" si="73"/>
        <v>1+0.877478474825144i</v>
      </c>
      <c r="AN126" s="31">
        <f t="shared" si="90"/>
        <v>1.3304016212337764</v>
      </c>
      <c r="AO126" s="31">
        <f t="shared" si="91"/>
        <v>0.72023201460200248</v>
      </c>
      <c r="AP126" s="58" t="str">
        <f t="shared" si="92"/>
        <v>-0.0490430427670474+0.0560947240822217i</v>
      </c>
      <c r="AQ126" s="49">
        <f t="shared" si="93"/>
        <v>-22.555632059802587</v>
      </c>
      <c r="AR126" s="61">
        <f t="shared" si="94"/>
        <v>131.16286921069067</v>
      </c>
      <c r="AS126" s="58" t="str">
        <f t="shared" si="95"/>
        <v>63.8213137311189+81.738822384569i</v>
      </c>
      <c r="AT126" s="64">
        <f t="shared" si="96"/>
        <v>40.315859906226528</v>
      </c>
      <c r="AU126" s="61">
        <f t="shared" si="97"/>
        <v>52.017438148361975</v>
      </c>
    </row>
    <row r="127" spans="14:47" x14ac:dyDescent="0.4">
      <c r="N127" s="10">
        <v>9</v>
      </c>
      <c r="O127" s="50">
        <f t="shared" si="98"/>
        <v>123.02687708123821</v>
      </c>
      <c r="P127" s="48" t="str">
        <f t="shared" si="65"/>
        <v>5120.19230769231</v>
      </c>
      <c r="Q127" s="17" t="str">
        <f t="shared" si="66"/>
        <v>1+3.61229157598079i</v>
      </c>
      <c r="R127" s="17">
        <f t="shared" si="75"/>
        <v>3.7481529357674002</v>
      </c>
      <c r="S127" s="17">
        <f t="shared" si="76"/>
        <v>1.3007271795188329</v>
      </c>
      <c r="T127" s="17" t="str">
        <f t="shared" si="67"/>
        <v>1+7.72227665798561E-06i</v>
      </c>
      <c r="U127" s="17">
        <f t="shared" si="77"/>
        <v>1.0000000000298168</v>
      </c>
      <c r="V127" s="17">
        <f t="shared" si="78"/>
        <v>7.7222766578321075E-6</v>
      </c>
      <c r="W127" s="31" t="str">
        <f t="shared" si="68"/>
        <v>1-0.0125226107967334i</v>
      </c>
      <c r="X127" s="17">
        <f t="shared" si="79"/>
        <v>1.0000784048169256</v>
      </c>
      <c r="Y127" s="17">
        <f t="shared" si="80"/>
        <v>-1.2521956277317569E-2</v>
      </c>
      <c r="Z127" s="31" t="str">
        <f t="shared" si="69"/>
        <v>0.999993945755006+0.0762435608281978i</v>
      </c>
      <c r="AA127" s="17">
        <f t="shared" si="81"/>
        <v>1.0028962918041073</v>
      </c>
      <c r="AB127" s="17">
        <f t="shared" si="82"/>
        <v>7.6096796259519942E-2</v>
      </c>
      <c r="AC127" s="66" t="str">
        <f t="shared" si="83"/>
        <v>245.831444459733-1339.85373061988i</v>
      </c>
      <c r="AD127" s="64">
        <f t="shared" si="84"/>
        <v>62.684939873419161</v>
      </c>
      <c r="AE127" s="61">
        <f t="shared" si="85"/>
        <v>-79.603215736598813</v>
      </c>
      <c r="AF127" s="31" t="str">
        <f t="shared" si="70"/>
        <v>-1.39902068552014E-06</v>
      </c>
      <c r="AG127" s="31" t="str">
        <f t="shared" si="71"/>
        <v>0.0000255615860386654i</v>
      </c>
      <c r="AH127" s="31">
        <f t="shared" si="86"/>
        <v>2.5561586038665398E-5</v>
      </c>
      <c r="AI127" s="31">
        <f t="shared" si="87"/>
        <v>1.5707963267948966</v>
      </c>
      <c r="AJ127" s="31" t="str">
        <f t="shared" si="72"/>
        <v>1+0.00184644959003486i</v>
      </c>
      <c r="AK127" s="31">
        <f t="shared" si="88"/>
        <v>1.0000017046865912</v>
      </c>
      <c r="AL127" s="31">
        <f t="shared" si="89"/>
        <v>1.8464474916254589E-3</v>
      </c>
      <c r="AM127" s="31" t="str">
        <f t="shared" si="73"/>
        <v>1+0.897917574165774i</v>
      </c>
      <c r="AN127" s="31">
        <f t="shared" si="90"/>
        <v>1.3439702266031597</v>
      </c>
      <c r="AO127" s="31">
        <f t="shared" si="91"/>
        <v>0.73166339824120497</v>
      </c>
      <c r="AP127" s="58" t="str">
        <f t="shared" si="92"/>
        <v>-0.0490430352415555+0.0548219279276541i</v>
      </c>
      <c r="AQ127" s="49">
        <f t="shared" si="93"/>
        <v>-22.667495079883999</v>
      </c>
      <c r="AR127" s="61">
        <f t="shared" si="94"/>
        <v>131.81543109505793</v>
      </c>
      <c r="AS127" s="58" t="str">
        <f t="shared" si="95"/>
        <v>61.3970444595204+79.187447459843i</v>
      </c>
      <c r="AT127" s="64">
        <f t="shared" si="96"/>
        <v>40.017444793535176</v>
      </c>
      <c r="AU127" s="61">
        <f t="shared" si="97"/>
        <v>52.212215358459147</v>
      </c>
    </row>
    <row r="128" spans="14:47" x14ac:dyDescent="0.4">
      <c r="N128" s="10">
        <v>10</v>
      </c>
      <c r="O128" s="50">
        <f t="shared" si="98"/>
        <v>125.89254117941677</v>
      </c>
      <c r="P128" s="48" t="str">
        <f t="shared" si="65"/>
        <v>5120.19230769231</v>
      </c>
      <c r="Q128" s="17" t="str">
        <f t="shared" si="66"/>
        <v>1+3.69643265577594i</v>
      </c>
      <c r="R128" s="17">
        <f t="shared" si="75"/>
        <v>3.8293099089374789</v>
      </c>
      <c r="S128" s="17">
        <f t="shared" si="76"/>
        <v>1.306589543104808</v>
      </c>
      <c r="T128" s="17" t="str">
        <f t="shared" si="67"/>
        <v>1+7.90215158856991E-06i</v>
      </c>
      <c r="U128" s="17">
        <f t="shared" si="77"/>
        <v>1.0000000000312221</v>
      </c>
      <c r="V128" s="17">
        <f t="shared" si="78"/>
        <v>7.9021515884054294E-6</v>
      </c>
      <c r="W128" s="31" t="str">
        <f t="shared" si="68"/>
        <v>1-0.0128142998733566i</v>
      </c>
      <c r="X128" s="17">
        <f t="shared" si="79"/>
        <v>1.0000820997704361</v>
      </c>
      <c r="Y128" s="17">
        <f t="shared" si="80"/>
        <v>-1.2813598546276372E-2</v>
      </c>
      <c r="Z128" s="31" t="str">
        <f t="shared" si="69"/>
        <v>0.99999366042723+0.0780195015020262i</v>
      </c>
      <c r="AA128" s="17">
        <f t="shared" si="81"/>
        <v>1.003032583473376</v>
      </c>
      <c r="AB128" s="17">
        <f t="shared" si="82"/>
        <v>7.7862266101291766E-2</v>
      </c>
      <c r="AC128" s="66" t="str">
        <f t="shared" si="83"/>
        <v>230.197695675212-1313.14817388289i</v>
      </c>
      <c r="AD128" s="64">
        <f t="shared" si="84"/>
        <v>62.497727400019308</v>
      </c>
      <c r="AE128" s="61">
        <f t="shared" si="85"/>
        <v>-80.05695796390215</v>
      </c>
      <c r="AF128" s="31" t="str">
        <f t="shared" si="70"/>
        <v>-1.39902068552014E-06</v>
      </c>
      <c r="AG128" s="31" t="str">
        <f t="shared" si="71"/>
        <v>0.0000261569918649479i</v>
      </c>
      <c r="AH128" s="31">
        <f t="shared" si="86"/>
        <v>2.61569918649479E-5</v>
      </c>
      <c r="AI128" s="31">
        <f t="shared" si="87"/>
        <v>1.5707963267948966</v>
      </c>
      <c r="AJ128" s="31" t="str">
        <f t="shared" si="72"/>
        <v>1+0.00188945892608234i</v>
      </c>
      <c r="AK128" s="31">
        <f t="shared" si="88"/>
        <v>1.0000017850259235</v>
      </c>
      <c r="AL128" s="31">
        <f t="shared" si="89"/>
        <v>1.8894566775963732E-3</v>
      </c>
      <c r="AM128" s="31" t="str">
        <f t="shared" si="73"/>
        <v>1+0.91883276128957i</v>
      </c>
      <c r="AN128" s="31">
        <f t="shared" si="90"/>
        <v>1.3580330052023832</v>
      </c>
      <c r="AO128" s="31">
        <f t="shared" si="91"/>
        <v>0.74312304648930327</v>
      </c>
      <c r="AP128" s="58" t="str">
        <f t="shared" si="92"/>
        <v>-0.0490430273614004+0.0535781990836175i</v>
      </c>
      <c r="AQ128" s="49">
        <f t="shared" si="93"/>
        <v>-22.777082232377683</v>
      </c>
      <c r="AR128" s="61">
        <f t="shared" si="94"/>
        <v>132.46955632954203</v>
      </c>
      <c r="AS128" s="58" t="str">
        <f t="shared" si="95"/>
        <v>59.0665223990555+76.734339788788i</v>
      </c>
      <c r="AT128" s="64">
        <f t="shared" si="96"/>
        <v>39.720645167641628</v>
      </c>
      <c r="AU128" s="61">
        <f t="shared" si="97"/>
        <v>52.412598365639901</v>
      </c>
    </row>
    <row r="129" spans="14:47" x14ac:dyDescent="0.4">
      <c r="N129" s="10">
        <v>11</v>
      </c>
      <c r="O129" s="50">
        <f t="shared" si="98"/>
        <v>128.82495516931343</v>
      </c>
      <c r="P129" s="48" t="str">
        <f t="shared" si="65"/>
        <v>5120.19230769231</v>
      </c>
      <c r="Q129" s="17" t="str">
        <f t="shared" si="66"/>
        <v>1+3.78253363309326i</v>
      </c>
      <c r="R129" s="17">
        <f t="shared" si="75"/>
        <v>3.9124877872629451</v>
      </c>
      <c r="S129" s="17">
        <f t="shared" si="76"/>
        <v>1.3123364870514151</v>
      </c>
      <c r="T129" s="17" t="str">
        <f t="shared" si="67"/>
        <v>1+8.08621634452382E-06i</v>
      </c>
      <c r="U129" s="17">
        <f t="shared" si="77"/>
        <v>1.0000000000326934</v>
      </c>
      <c r="V129" s="17">
        <f t="shared" si="78"/>
        <v>8.0862163443475763E-6</v>
      </c>
      <c r="W129" s="31" t="str">
        <f t="shared" si="68"/>
        <v>1-0.01311278326139i</v>
      </c>
      <c r="X129" s="17">
        <f t="shared" si="79"/>
        <v>1.0000859688471089</v>
      </c>
      <c r="Y129" s="17">
        <f t="shared" si="80"/>
        <v>-1.3112031779373114E-2</v>
      </c>
      <c r="Z129" s="31" t="str">
        <f t="shared" si="69"/>
        <v>0.99999336165237+0.0798368091482612i</v>
      </c>
      <c r="AA129" s="17">
        <f t="shared" si="81"/>
        <v>1.0031752785250359</v>
      </c>
      <c r="AB129" s="17">
        <f t="shared" si="82"/>
        <v>7.9668357169349419E-2</v>
      </c>
      <c r="AC129" s="66" t="str">
        <f t="shared" si="83"/>
        <v>215.176452580857-1286.78239492234i</v>
      </c>
      <c r="AD129" s="64">
        <f t="shared" si="84"/>
        <v>62.309875817981137</v>
      </c>
      <c r="AE129" s="61">
        <f t="shared" si="85"/>
        <v>-80.506803411346127</v>
      </c>
      <c r="AF129" s="31" t="str">
        <f t="shared" si="70"/>
        <v>-1.39902068552014E-06</v>
      </c>
      <c r="AG129" s="31" t="str">
        <f t="shared" si="71"/>
        <v>0.0000267662664745459i</v>
      </c>
      <c r="AH129" s="31">
        <f t="shared" si="86"/>
        <v>2.6766266474545901E-5</v>
      </c>
      <c r="AI129" s="31">
        <f t="shared" si="87"/>
        <v>1.5707963267948966</v>
      </c>
      <c r="AJ129" s="31" t="str">
        <f t="shared" si="72"/>
        <v>1+0.00193347007826238i</v>
      </c>
      <c r="AK129" s="31">
        <f t="shared" si="88"/>
        <v>1.0000018691515249</v>
      </c>
      <c r="AL129" s="31">
        <f t="shared" si="89"/>
        <v>1.9334676689665021E-3</v>
      </c>
      <c r="AM129" s="31" t="str">
        <f t="shared" si="73"/>
        <v>1+0.940235125705592i</v>
      </c>
      <c r="AN129" s="31">
        <f t="shared" si="90"/>
        <v>1.3726041277843406</v>
      </c>
      <c r="AO129" s="31">
        <f t="shared" si="91"/>
        <v>0.75460499702106409</v>
      </c>
      <c r="AP129" s="58" t="str">
        <f t="shared" si="92"/>
        <v>-0.0490430191098678+0.0523628781085226i</v>
      </c>
      <c r="AQ129" s="49">
        <f t="shared" si="93"/>
        <v>-22.88438345173298</v>
      </c>
      <c r="AR129" s="61">
        <f t="shared" si="94"/>
        <v>133.1249019915322</v>
      </c>
      <c r="AS129" s="58" t="str">
        <f t="shared" si="95"/>
        <v>56.8267268215947+74.3749519427335i</v>
      </c>
      <c r="AT129" s="64">
        <f t="shared" si="96"/>
        <v>39.42549236624815</v>
      </c>
      <c r="AU129" s="61">
        <f t="shared" si="97"/>
        <v>52.618098580186114</v>
      </c>
    </row>
    <row r="130" spans="14:47" x14ac:dyDescent="0.4">
      <c r="N130" s="10">
        <v>12</v>
      </c>
      <c r="O130" s="50">
        <f t="shared" si="98"/>
        <v>131.82567385564084</v>
      </c>
      <c r="P130" s="48" t="str">
        <f t="shared" si="65"/>
        <v>5120.19230769231</v>
      </c>
      <c r="Q130" s="17" t="str">
        <f t="shared" si="66"/>
        <v>1+3.8706401598106i</v>
      </c>
      <c r="R130" s="17">
        <f t="shared" si="75"/>
        <v>3.9977312624460679</v>
      </c>
      <c r="S130" s="17">
        <f t="shared" si="76"/>
        <v>1.3179695393916819</v>
      </c>
      <c r="T130" s="17" t="str">
        <f t="shared" si="67"/>
        <v>1+8.27456851941733E-06i</v>
      </c>
      <c r="U130" s="17">
        <f t="shared" si="77"/>
        <v>1.0000000000342344</v>
      </c>
      <c r="V130" s="17">
        <f t="shared" si="78"/>
        <v>8.2745685192284806E-6</v>
      </c>
      <c r="W130" s="31" t="str">
        <f t="shared" si="68"/>
        <v>1-0.0134182192206767i</v>
      </c>
      <c r="X130" s="17">
        <f t="shared" si="79"/>
        <v>1.0000900202517042</v>
      </c>
      <c r="Y130" s="17">
        <f t="shared" si="80"/>
        <v>-1.3417413997102596E-2</v>
      </c>
      <c r="Z130" s="31" t="str">
        <f t="shared" si="69"/>
        <v>0.999993048796685+0.0816964473274718i</v>
      </c>
      <c r="AA130" s="17">
        <f t="shared" si="81"/>
        <v>1.0033246768357786</v>
      </c>
      <c r="AB130" s="17">
        <f t="shared" si="82"/>
        <v>8.1515980067784294E-2</v>
      </c>
      <c r="AC130" s="66" t="str">
        <f t="shared" si="83"/>
        <v>200.747795661528-1260.76315581583i</v>
      </c>
      <c r="AD130" s="64">
        <f t="shared" si="84"/>
        <v>62.121405521829928</v>
      </c>
      <c r="AE130" s="61">
        <f t="shared" si="85"/>
        <v>-80.95290085086134</v>
      </c>
      <c r="AF130" s="31" t="str">
        <f t="shared" si="70"/>
        <v>-1.39902068552014E-06</v>
      </c>
      <c r="AG130" s="31" t="str">
        <f t="shared" si="71"/>
        <v>0.0000273897329129221i</v>
      </c>
      <c r="AH130" s="31">
        <f t="shared" si="86"/>
        <v>2.7389732912922099E-5</v>
      </c>
      <c r="AI130" s="31">
        <f t="shared" si="87"/>
        <v>1.5707963267948966</v>
      </c>
      <c r="AJ130" s="31" t="str">
        <f t="shared" si="72"/>
        <v>1+0.00197850638187041i</v>
      </c>
      <c r="AK130" s="31">
        <f t="shared" si="88"/>
        <v>1.0000019572418362</v>
      </c>
      <c r="AL130" s="31">
        <f t="shared" si="89"/>
        <v>1.9785038002636379E-3</v>
      </c>
      <c r="AM130" s="31" t="str">
        <f t="shared" si="73"/>
        <v>1+0.962136015230747i</v>
      </c>
      <c r="AN130" s="31">
        <f t="shared" si="90"/>
        <v>1.387697990127571</v>
      </c>
      <c r="AO130" s="31">
        <f t="shared" si="91"/>
        <v>0.76610322894452942</v>
      </c>
      <c r="AP130" s="58" t="str">
        <f t="shared" si="92"/>
        <v>-0.0490430104694555+0.0511753206230013i</v>
      </c>
      <c r="AQ130" s="49">
        <f t="shared" si="93"/>
        <v>-22.989391043182547</v>
      </c>
      <c r="AR130" s="61">
        <f t="shared" si="94"/>
        <v>133.78112177236042</v>
      </c>
      <c r="AS130" s="58" t="str">
        <f t="shared" si="95"/>
        <v>54.6746824841936+72.1049534575189i</v>
      </c>
      <c r="AT130" s="64">
        <f t="shared" si="96"/>
        <v>39.13201447864737</v>
      </c>
      <c r="AU130" s="61">
        <f t="shared" si="97"/>
        <v>52.828220921499074</v>
      </c>
    </row>
    <row r="131" spans="14:47" x14ac:dyDescent="0.4">
      <c r="N131" s="10">
        <v>13</v>
      </c>
      <c r="O131" s="50">
        <f t="shared" si="98"/>
        <v>134.89628825916537</v>
      </c>
      <c r="P131" s="48" t="str">
        <f t="shared" si="65"/>
        <v>5120.19230769231</v>
      </c>
      <c r="Q131" s="17" t="str">
        <f t="shared" si="66"/>
        <v>1+3.96079895117464i</v>
      </c>
      <c r="R131" s="17">
        <f t="shared" si="75"/>
        <v>4.0850860861952629</v>
      </c>
      <c r="S131" s="17">
        <f t="shared" si="76"/>
        <v>1.3234902562984252</v>
      </c>
      <c r="T131" s="17" t="str">
        <f t="shared" si="67"/>
        <v>1+8.46730798006668E-06i</v>
      </c>
      <c r="U131" s="17">
        <f t="shared" si="77"/>
        <v>1.0000000000358478</v>
      </c>
      <c r="V131" s="17">
        <f t="shared" si="78"/>
        <v>8.4673079798643239E-6</v>
      </c>
      <c r="W131" s="31" t="str">
        <f t="shared" si="68"/>
        <v>1-0.0137307696974054i</v>
      </c>
      <c r="X131" s="17">
        <f t="shared" si="79"/>
        <v>1.0000942625755249</v>
      </c>
      <c r="Y131" s="17">
        <f t="shared" si="80"/>
        <v>-1.3729906889192834E-2</v>
      </c>
      <c r="Z131" s="31" t="str">
        <f t="shared" si="69"/>
        <v>0.999992721196566+0.0835994020444355i</v>
      </c>
      <c r="AA131" s="17">
        <f t="shared" si="81"/>
        <v>1.0034810922325841</v>
      </c>
      <c r="AB131" s="17">
        <f t="shared" si="82"/>
        <v>8.3406064103355923E-2</v>
      </c>
      <c r="AC131" s="66" t="str">
        <f t="shared" si="83"/>
        <v>186.892143064416-1235.09632269712i</v>
      </c>
      <c r="AD131" s="64">
        <f t="shared" si="84"/>
        <v>61.932336035792133</v>
      </c>
      <c r="AE131" s="61">
        <f t="shared" si="85"/>
        <v>-81.395401948354532</v>
      </c>
      <c r="AF131" s="31" t="str">
        <f t="shared" si="70"/>
        <v>-1.39902068552014E-06</v>
      </c>
      <c r="AG131" s="31" t="str">
        <f t="shared" si="71"/>
        <v>0.0000280277217502347i</v>
      </c>
      <c r="AH131" s="31">
        <f t="shared" si="86"/>
        <v>2.80277217502347E-5</v>
      </c>
      <c r="AI131" s="31">
        <f t="shared" si="87"/>
        <v>1.5707963267948966</v>
      </c>
      <c r="AJ131" s="31" t="str">
        <f t="shared" si="72"/>
        <v>1+0.00202459171575074i</v>
      </c>
      <c r="AK131" s="31">
        <f t="shared" si="88"/>
        <v>1.0000020494837076</v>
      </c>
      <c r="AL131" s="31">
        <f t="shared" si="89"/>
        <v>2.0245889495095512E-3</v>
      </c>
      <c r="AM131" s="31" t="str">
        <f t="shared" si="73"/>
        <v>1+0.984547042006551i</v>
      </c>
      <c r="AN131" s="31">
        <f t="shared" si="90"/>
        <v>1.4033292122391843</v>
      </c>
      <c r="AO131" s="31">
        <f t="shared" si="91"/>
        <v>0.77761167843932899</v>
      </c>
      <c r="AP131" s="58" t="str">
        <f t="shared" si="92"/>
        <v>-0.0490430014218364+0.0500148969682479i</v>
      </c>
      <c r="AQ131" s="49">
        <f t="shared" si="93"/>
        <v>-23.092099715085645</v>
      </c>
      <c r="AR131" s="61">
        <f t="shared" si="94"/>
        <v>134.437866872602</v>
      </c>
      <c r="AS131" s="58" t="str">
        <f t="shared" si="95"/>
        <v>52.6074636875201+69.9202219896816i</v>
      </c>
      <c r="AT131" s="64">
        <f t="shared" si="96"/>
        <v>38.840236320706488</v>
      </c>
      <c r="AU131" s="61">
        <f t="shared" si="97"/>
        <v>53.042464924247497</v>
      </c>
    </row>
    <row r="132" spans="14:47" x14ac:dyDescent="0.4">
      <c r="N132" s="10">
        <v>14</v>
      </c>
      <c r="O132" s="50">
        <f t="shared" si="98"/>
        <v>138.0384264602886</v>
      </c>
      <c r="P132" s="48" t="str">
        <f t="shared" si="65"/>
        <v>5120.19230769231</v>
      </c>
      <c r="Q132" s="17" t="str">
        <f t="shared" si="66"/>
        <v>1+4.05305781056997i</v>
      </c>
      <c r="R132" s="17">
        <f t="shared" si="75"/>
        <v>4.174599096418989</v>
      </c>
      <c r="S132" s="17">
        <f t="shared" si="76"/>
        <v>1.3289002182635827</v>
      </c>
      <c r="T132" s="17" t="str">
        <f t="shared" si="67"/>
        <v>1+8.66453691948515E-06i</v>
      </c>
      <c r="U132" s="17">
        <f t="shared" si="77"/>
        <v>1.0000000000375371</v>
      </c>
      <c r="V132" s="17">
        <f t="shared" si="78"/>
        <v>8.6645369192683235E-6</v>
      </c>
      <c r="W132" s="31" t="str">
        <f t="shared" si="68"/>
        <v>1-0.0140506004099759i</v>
      </c>
      <c r="X132" s="17">
        <f t="shared" si="79"/>
        <v>1.0000987048146202</v>
      </c>
      <c r="Y132" s="17">
        <f t="shared" si="80"/>
        <v>-1.4049675899247398E-2</v>
      </c>
      <c r="Z132" s="31" t="str">
        <f t="shared" si="69"/>
        <v>0.999992378157128+0.0855466822709323i</v>
      </c>
      <c r="AA132" s="17">
        <f t="shared" si="81"/>
        <v>1.0036448531327764</v>
      </c>
      <c r="AB132" s="17">
        <f t="shared" si="82"/>
        <v>8.5339557546230363E-2</v>
      </c>
      <c r="AC132" s="66" t="str">
        <f t="shared" si="83"/>
        <v>173.590274571921-1209.78691276907i</v>
      </c>
      <c r="AD132" s="64">
        <f t="shared" si="84"/>
        <v>61.742686021891949</v>
      </c>
      <c r="AE132" s="61">
        <f t="shared" si="85"/>
        <v>-81.834461064586662</v>
      </c>
      <c r="AF132" s="31" t="str">
        <f t="shared" si="70"/>
        <v>-1.39902068552014E-06</v>
      </c>
      <c r="AG132" s="31" t="str">
        <f t="shared" si="71"/>
        <v>0.0000286805712566101i</v>
      </c>
      <c r="AH132" s="31">
        <f t="shared" si="86"/>
        <v>2.86805712566101E-5</v>
      </c>
      <c r="AI132" s="31">
        <f t="shared" si="87"/>
        <v>1.5707963267948966</v>
      </c>
      <c r="AJ132" s="31" t="str">
        <f t="shared" si="72"/>
        <v>1+0.0020717505149574i</v>
      </c>
      <c r="AK132" s="31">
        <f t="shared" si="88"/>
        <v>1.0000021460727953</v>
      </c>
      <c r="AL132" s="31">
        <f t="shared" si="89"/>
        <v>2.0717475508769067E-3</v>
      </c>
      <c r="AM132" s="31" t="str">
        <f t="shared" si="73"/>
        <v>1+1.00748008865605i</v>
      </c>
      <c r="AN132" s="31">
        <f t="shared" si="90"/>
        <v>1.4195126378579384</v>
      </c>
      <c r="AO132" s="31">
        <f t="shared" si="91"/>
        <v>0.78912425467030534</v>
      </c>
      <c r="AP132" s="58" t="str">
        <f t="shared" si="92"/>
        <v>-0.0490429919478195+0.0488809918721655i</v>
      </c>
      <c r="AQ132" s="49">
        <f t="shared" si="93"/>
        <v>-23.192506601268672</v>
      </c>
      <c r="AR132" s="61">
        <f t="shared" si="94"/>
        <v>135.09478691313339</v>
      </c>
      <c r="AS132" s="58" t="str">
        <f t="shared" si="95"/>
        <v>50.6221978120666+67.816834621948i</v>
      </c>
      <c r="AT132" s="64">
        <f t="shared" si="96"/>
        <v>38.55017942062328</v>
      </c>
      <c r="AU132" s="61">
        <f t="shared" si="97"/>
        <v>53.260325848546771</v>
      </c>
    </row>
    <row r="133" spans="14:47" x14ac:dyDescent="0.4">
      <c r="N133" s="10">
        <v>15</v>
      </c>
      <c r="O133" s="50">
        <f t="shared" si="98"/>
        <v>141.25375446227542</v>
      </c>
      <c r="P133" s="48" t="str">
        <f t="shared" si="65"/>
        <v>5120.19230769231</v>
      </c>
      <c r="Q133" s="17" t="str">
        <f t="shared" si="66"/>
        <v>1+4.14746565486503i</v>
      </c>
      <c r="R133" s="17">
        <f t="shared" si="75"/>
        <v>4.2663182439059817</v>
      </c>
      <c r="S133" s="17">
        <f t="shared" si="76"/>
        <v>1.3342010264817368</v>
      </c>
      <c r="T133" s="17" t="str">
        <f t="shared" si="67"/>
        <v>1+8.86635991106702E-06i</v>
      </c>
      <c r="U133" s="17">
        <f t="shared" si="77"/>
        <v>1.0000000000393061</v>
      </c>
      <c r="V133" s="17">
        <f t="shared" si="78"/>
        <v>8.8663599108346857E-6</v>
      </c>
      <c r="W133" s="31" t="str">
        <f t="shared" si="68"/>
        <v>1-0.0143778809368654i</v>
      </c>
      <c r="X133" s="17">
        <f t="shared" si="79"/>
        <v>1.0001033563888457</v>
      </c>
      <c r="Y133" s="17">
        <f t="shared" si="80"/>
        <v>-1.437689031130112E-2</v>
      </c>
      <c r="Z133" s="31" t="str">
        <f t="shared" si="69"/>
        <v>0.99999201895074+0.0875393204807132i</v>
      </c>
      <c r="AA133" s="17">
        <f t="shared" si="81"/>
        <v>1.0038163032125957</v>
      </c>
      <c r="AB133" s="17">
        <f t="shared" si="82"/>
        <v>8.7317427884816001E-2</v>
      </c>
      <c r="AC133" s="66" t="str">
        <f t="shared" si="83"/>
        <v>160.823352288423-1184.83914042559i</v>
      </c>
      <c r="AD133" s="64">
        <f t="shared" si="84"/>
        <v>61.552473288679991</v>
      </c>
      <c r="AE133" s="61">
        <f t="shared" si="85"/>
        <v>-82.270235067521142</v>
      </c>
      <c r="AF133" s="31" t="str">
        <f t="shared" si="70"/>
        <v>-1.39902068552014E-06</v>
      </c>
      <c r="AG133" s="31" t="str">
        <f t="shared" si="71"/>
        <v>0.0000293486275814979i</v>
      </c>
      <c r="AH133" s="31">
        <f t="shared" si="86"/>
        <v>2.9348627581497899E-5</v>
      </c>
      <c r="AI133" s="31">
        <f t="shared" si="87"/>
        <v>1.5707963267948966</v>
      </c>
      <c r="AJ133" s="31" t="str">
        <f t="shared" si="72"/>
        <v>1+0.00212000778370995i</v>
      </c>
      <c r="AK133" s="31">
        <f t="shared" si="88"/>
        <v>1.0000022472139765</v>
      </c>
      <c r="AL133" s="31">
        <f t="shared" si="89"/>
        <v>2.1200046076408647E-3</v>
      </c>
      <c r="AM133" s="31" t="str">
        <f t="shared" si="73"/>
        <v>1+1.03094731458413i</v>
      </c>
      <c r="AN133" s="31">
        <f t="shared" si="90"/>
        <v>1.4362633342977982</v>
      </c>
      <c r="AO133" s="31">
        <f t="shared" si="91"/>
        <v>0.80063485587507488</v>
      </c>
      <c r="AP133" s="58" t="str">
        <f t="shared" si="92"/>
        <v>-0.0490429820273101+0.0477730041231397i</v>
      </c>
      <c r="AQ133" s="49">
        <f t="shared" si="93"/>
        <v>-23.290611273163154</v>
      </c>
      <c r="AR133" s="61">
        <f t="shared" si="94"/>
        <v>135.75153085614059</v>
      </c>
      <c r="AS133" s="58" t="str">
        <f t="shared" si="95"/>
        <v>48.7160683649561+65.7910593411177i</v>
      </c>
      <c r="AT133" s="64">
        <f t="shared" si="96"/>
        <v>38.261862015516826</v>
      </c>
      <c r="AU133" s="61">
        <f t="shared" si="97"/>
        <v>53.481295788619434</v>
      </c>
    </row>
    <row r="134" spans="14:47" x14ac:dyDescent="0.4">
      <c r="N134" s="10">
        <v>16</v>
      </c>
      <c r="O134" s="50">
        <f t="shared" si="98"/>
        <v>144.54397707459285</v>
      </c>
      <c r="P134" s="48" t="str">
        <f t="shared" si="65"/>
        <v>5120.19230769231</v>
      </c>
      <c r="Q134" s="17" t="str">
        <f t="shared" si="66"/>
        <v>1+4.24407254034849i</v>
      </c>
      <c r="R134" s="17">
        <f t="shared" si="75"/>
        <v>4.360292619508475</v>
      </c>
      <c r="S134" s="17">
        <f t="shared" si="76"/>
        <v>1.3393942994335994</v>
      </c>
      <c r="T134" s="17" t="str">
        <f t="shared" si="67"/>
        <v>1+0.0000090728839640339i</v>
      </c>
      <c r="U134" s="17">
        <f t="shared" si="77"/>
        <v>1.0000000000411586</v>
      </c>
      <c r="V134" s="17">
        <f t="shared" si="78"/>
        <v>9.0728839637849492E-6</v>
      </c>
      <c r="W134" s="31" t="str">
        <f t="shared" si="68"/>
        <v>1-0.0147127848065414i</v>
      </c>
      <c r="X134" s="17">
        <f t="shared" si="79"/>
        <v>1.0001082271618225</v>
      </c>
      <c r="Y134" s="17">
        <f t="shared" si="80"/>
        <v>-1.4711723338328804E-2</v>
      </c>
      <c r="Z134" s="31" t="str">
        <f t="shared" si="69"/>
        <v>0.999991642815477+0.089578373196933i</v>
      </c>
      <c r="AA134" s="17">
        <f t="shared" si="81"/>
        <v>1.0039958021054698</v>
      </c>
      <c r="AB134" s="17">
        <f t="shared" si="82"/>
        <v>8.9340662073774044E-2</v>
      </c>
      <c r="AC134" s="66" t="str">
        <f t="shared" si="83"/>
        <v>148.572938259109-1160.25646234518i</v>
      </c>
      <c r="AD134" s="64">
        <f t="shared" si="84"/>
        <v>61.361714800465705</v>
      </c>
      <c r="AE134" s="61">
        <f t="shared" si="85"/>
        <v>-82.702883155849861</v>
      </c>
      <c r="AF134" s="31" t="str">
        <f t="shared" si="70"/>
        <v>-1.39902068552014E-06</v>
      </c>
      <c r="AG134" s="31" t="str">
        <f t="shared" si="71"/>
        <v>0.0000300322449372045i</v>
      </c>
      <c r="AH134" s="31">
        <f t="shared" si="86"/>
        <v>3.0032244937204501E-5</v>
      </c>
      <c r="AI134" s="31">
        <f t="shared" si="87"/>
        <v>1.5707963267948966</v>
      </c>
      <c r="AJ134" s="31" t="str">
        <f t="shared" si="72"/>
        <v>1+0.00216938910865105i</v>
      </c>
      <c r="AK134" s="31">
        <f t="shared" si="88"/>
        <v>1.0000023531217836</v>
      </c>
      <c r="AL134" s="31">
        <f t="shared" si="89"/>
        <v>2.1693857054321431E-3</v>
      </c>
      <c r="AM134" s="31" t="str">
        <f t="shared" si="73"/>
        <v>1+1.0549611624246i</v>
      </c>
      <c r="AN134" s="31">
        <f t="shared" si="90"/>
        <v>1.4535965926708356</v>
      </c>
      <c r="AO134" s="31">
        <f t="shared" si="91"/>
        <v>0.8121373855221159</v>
      </c>
      <c r="AP134" s="58" t="str">
        <f t="shared" si="92"/>
        <v>-0.0490429716392656+0.0466903462512674i</v>
      </c>
      <c r="AQ134" s="49">
        <f t="shared" si="93"/>
        <v>-23.386415741632508</v>
      </c>
      <c r="AR134" s="61">
        <f t="shared" si="94"/>
        <v>136.40774793014904</v>
      </c>
      <c r="AS134" s="58" t="str">
        <f t="shared" si="95"/>
        <v>46.8863175697632+63.8393467079553i</v>
      </c>
      <c r="AT134" s="64">
        <f t="shared" si="96"/>
        <v>37.975299058833201</v>
      </c>
      <c r="AU134" s="61">
        <f t="shared" si="97"/>
        <v>53.704864774299196</v>
      </c>
    </row>
    <row r="135" spans="14:47" x14ac:dyDescent="0.4">
      <c r="N135" s="10">
        <v>17</v>
      </c>
      <c r="O135" s="50">
        <f t="shared" si="98"/>
        <v>147.91083881682084</v>
      </c>
      <c r="P135" s="48" t="str">
        <f t="shared" si="65"/>
        <v>5120.19230769231</v>
      </c>
      <c r="Q135" s="17" t="str">
        <f t="shared" si="66"/>
        <v>1+4.34292968926979i</v>
      </c>
      <c r="R135" s="17">
        <f t="shared" si="75"/>
        <v>4.4565724818453241</v>
      </c>
      <c r="S135" s="17">
        <f t="shared" si="76"/>
        <v>1.3444816696646593</v>
      </c>
      <c r="T135" s="17" t="str">
        <f t="shared" si="67"/>
        <v>1+9.28421858017231E-06i</v>
      </c>
      <c r="U135" s="17">
        <f t="shared" si="77"/>
        <v>1.0000000000430984</v>
      </c>
      <c r="V135" s="17">
        <f t="shared" si="78"/>
        <v>9.2842185799055533E-6</v>
      </c>
      <c r="W135" s="31" t="str">
        <f t="shared" si="68"/>
        <v>1-0.0150554895894686i</v>
      </c>
      <c r="X135" s="17">
        <f t="shared" si="79"/>
        <v>1.0001133274618326</v>
      </c>
      <c r="Y135" s="17">
        <f t="shared" si="80"/>
        <v>-1.5054352212747578E-2</v>
      </c>
      <c r="Z135" s="31" t="str">
        <f t="shared" si="69"/>
        <v>0.999991248953504+0.0916649215523316i</v>
      </c>
      <c r="AA135" s="17">
        <f t="shared" si="81"/>
        <v>1.0041837261312214</v>
      </c>
      <c r="AB135" s="17">
        <f t="shared" si="82"/>
        <v>9.1410266774195933E-2</v>
      </c>
      <c r="AC135" s="66" t="str">
        <f t="shared" si="83"/>
        <v>136.821009234879-1136.04162144023i</v>
      </c>
      <c r="AD135" s="64">
        <f t="shared" si="84"/>
        <v>61.17042668693243</v>
      </c>
      <c r="AE135" s="61">
        <f t="shared" si="85"/>
        <v>-83.132566693366584</v>
      </c>
      <c r="AF135" s="31" t="str">
        <f t="shared" si="70"/>
        <v>-1.39902068552014E-06</v>
      </c>
      <c r="AG135" s="31" t="str">
        <f t="shared" si="71"/>
        <v>0.0000307317857867005i</v>
      </c>
      <c r="AH135" s="31">
        <f t="shared" si="86"/>
        <v>3.07317857867005E-5</v>
      </c>
      <c r="AI135" s="31">
        <f t="shared" si="87"/>
        <v>1.5707963267948966</v>
      </c>
      <c r="AJ135" s="31" t="str">
        <f t="shared" si="72"/>
        <v>1+0.00221992067241281i</v>
      </c>
      <c r="AK135" s="31">
        <f t="shared" si="88"/>
        <v>1.0000024640208602</v>
      </c>
      <c r="AL135" s="31">
        <f t="shared" si="89"/>
        <v>2.2199170257985366E-3</v>
      </c>
      <c r="AM135" s="31" t="str">
        <f t="shared" si="73"/>
        <v>1+1.07953436463745i</v>
      </c>
      <c r="AN135" s="31">
        <f t="shared" si="90"/>
        <v>1.4715279285263949</v>
      </c>
      <c r="AO135" s="31">
        <f t="shared" si="91"/>
        <v>0.82362576843508939</v>
      </c>
      <c r="AP135" s="58" t="str">
        <f t="shared" si="92"/>
        <v>-0.0490429607616525+0.0456324442168728i</v>
      </c>
      <c r="AQ135" s="49">
        <f t="shared" si="93"/>
        <v>-23.479924448470598</v>
      </c>
      <c r="AR135" s="61">
        <f t="shared" si="94"/>
        <v>137.0630885531024</v>
      </c>
      <c r="AS135" s="58" t="str">
        <f t="shared" si="95"/>
        <v>45.1302485311412+61.9583217355041i</v>
      </c>
      <c r="AT135" s="64">
        <f t="shared" si="96"/>
        <v>37.690502238461825</v>
      </c>
      <c r="AU135" s="61">
        <f t="shared" si="97"/>
        <v>53.930521859735784</v>
      </c>
    </row>
    <row r="136" spans="14:47" x14ac:dyDescent="0.4">
      <c r="N136" s="10">
        <v>18</v>
      </c>
      <c r="O136" s="50">
        <f t="shared" si="98"/>
        <v>151.3561248436209</v>
      </c>
      <c r="P136" s="48" t="str">
        <f t="shared" si="65"/>
        <v>5120.19230769231</v>
      </c>
      <c r="Q136" s="17" t="str">
        <f t="shared" si="66"/>
        <v>1+4.44408951699781i</v>
      </c>
      <c r="R136" s="17">
        <f t="shared" si="75"/>
        <v>4.555209285542194</v>
      </c>
      <c r="S136" s="17">
        <f t="shared" si="76"/>
        <v>1.3494647807537206</v>
      </c>
      <c r="T136" s="17" t="str">
        <f t="shared" si="67"/>
        <v>1+0.0000095004758118931i</v>
      </c>
      <c r="U136" s="17">
        <f t="shared" si="77"/>
        <v>1.0000000000451297</v>
      </c>
      <c r="V136" s="17">
        <f t="shared" si="78"/>
        <v>9.5004758116072646E-6</v>
      </c>
      <c r="W136" s="31" t="str">
        <f t="shared" si="68"/>
        <v>1-0.0154061769922591i</v>
      </c>
      <c r="X136" s="17">
        <f t="shared" si="79"/>
        <v>1.0001186681036989</v>
      </c>
      <c r="Y136" s="17">
        <f t="shared" si="80"/>
        <v>-1.5404958278955079E-2</v>
      </c>
      <c r="Z136" s="31" t="str">
        <f t="shared" si="69"/>
        <v>0.999990836529389+0.093800071862466i</v>
      </c>
      <c r="AA136" s="17">
        <f t="shared" si="81"/>
        <v>1.0043804690574938</v>
      </c>
      <c r="AB136" s="17">
        <f t="shared" si="82"/>
        <v>9.3527268584876963E-2</v>
      </c>
      <c r="AC136" s="66" t="str">
        <f t="shared" si="83"/>
        <v>125.549968791971-1112.19668956657i</v>
      </c>
      <c r="AD136" s="64">
        <f t="shared" si="84"/>
        <v>60.978624253023533</v>
      </c>
      <c r="AE136" s="61">
        <f t="shared" si="85"/>
        <v>-83.559449053826938</v>
      </c>
      <c r="AF136" s="31" t="str">
        <f t="shared" si="70"/>
        <v>-1.39902068552014E-06</v>
      </c>
      <c r="AG136" s="31" t="str">
        <f t="shared" si="71"/>
        <v>0.0000314476210358039i</v>
      </c>
      <c r="AH136" s="31">
        <f t="shared" si="86"/>
        <v>3.1447621035803897E-5</v>
      </c>
      <c r="AI136" s="31">
        <f t="shared" si="87"/>
        <v>1.5707963267948966</v>
      </c>
      <c r="AJ136" s="31" t="str">
        <f t="shared" si="72"/>
        <v>1+0.00227162926749921i</v>
      </c>
      <c r="AK136" s="31">
        <f t="shared" si="88"/>
        <v>1.0000025801464358</v>
      </c>
      <c r="AL136" s="31">
        <f t="shared" si="89"/>
        <v>2.2716253600821618E-3</v>
      </c>
      <c r="AM136" s="31" t="str">
        <f t="shared" si="73"/>
        <v>1+1.10467995025976i</v>
      </c>
      <c r="AN136" s="31">
        <f t="shared" si="90"/>
        <v>1.4900730829412046</v>
      </c>
      <c r="AO136" s="31">
        <f t="shared" si="91"/>
        <v>0.83509396677950998</v>
      </c>
      <c r="AP136" s="58" t="str">
        <f t="shared" si="92"/>
        <v>-0.0490429493713985+0.044598737106142i</v>
      </c>
      <c r="AQ136" s="49">
        <f t="shared" si="93"/>
        <v>-23.57114424764935</v>
      </c>
      <c r="AR136" s="61">
        <f t="shared" si="94"/>
        <v>137.71720524753655</v>
      </c>
      <c r="AS136" s="58" t="str">
        <f t="shared" si="95"/>
        <v>43.4452270052556+60.1447759892878i</v>
      </c>
      <c r="AT136" s="64">
        <f t="shared" si="96"/>
        <v>37.407480005374182</v>
      </c>
      <c r="AU136" s="61">
        <f t="shared" si="97"/>
        <v>54.157756193709638</v>
      </c>
    </row>
    <row r="137" spans="14:47" x14ac:dyDescent="0.4">
      <c r="N137" s="10">
        <v>19</v>
      </c>
      <c r="O137" s="50">
        <f t="shared" si="98"/>
        <v>154.8816618912482</v>
      </c>
      <c r="P137" s="48" t="str">
        <f t="shared" si="65"/>
        <v>5120.19230769231</v>
      </c>
      <c r="Q137" s="17" t="str">
        <f t="shared" si="66"/>
        <v>1+4.54760565981222i</v>
      </c>
      <c r="R137" s="17">
        <f t="shared" si="75"/>
        <v>4.6562557100266879</v>
      </c>
      <c r="S137" s="17">
        <f t="shared" si="76"/>
        <v>1.3543452844657002</v>
      </c>
      <c r="T137" s="17" t="str">
        <f t="shared" si="67"/>
        <v>1+9.72177032164301E-06i</v>
      </c>
      <c r="U137" s="17">
        <f t="shared" si="77"/>
        <v>1.0000000000472564</v>
      </c>
      <c r="V137" s="17">
        <f t="shared" si="78"/>
        <v>9.7217703213367329E-6</v>
      </c>
      <c r="W137" s="31" t="str">
        <f t="shared" si="68"/>
        <v>1-0.0157650329540157i</v>
      </c>
      <c r="X137" s="17">
        <f t="shared" si="79"/>
        <v>1.0001242604116956</v>
      </c>
      <c r="Y137" s="17">
        <f t="shared" si="80"/>
        <v>-1.576372708794559E-2</v>
      </c>
      <c r="Z137" s="31" t="str">
        <f t="shared" si="69"/>
        <v>0.999990404668324+0.0959849562122926i</v>
      </c>
      <c r="AA137" s="17">
        <f t="shared" si="81"/>
        <v>1.004586442894684</v>
      </c>
      <c r="AB137" s="17">
        <f t="shared" si="82"/>
        <v>9.5692714263528128E-2</v>
      </c>
      <c r="AC137" s="66" t="str">
        <f t="shared" si="83"/>
        <v>114.742657008478-1088.72310891565i</v>
      </c>
      <c r="AD137" s="64">
        <f t="shared" si="84"/>
        <v>60.786321988993315</v>
      </c>
      <c r="AE137" s="61">
        <f t="shared" si="85"/>
        <v>-83.983695475907496</v>
      </c>
      <c r="AF137" s="31" t="str">
        <f t="shared" si="70"/>
        <v>-1.39902068552014E-06</v>
      </c>
      <c r="AG137" s="31" t="str">
        <f t="shared" si="71"/>
        <v>0.0000321801302298389i</v>
      </c>
      <c r="AH137" s="31">
        <f t="shared" si="86"/>
        <v>3.2180130229838903E-5</v>
      </c>
      <c r="AI137" s="31">
        <f t="shared" si="87"/>
        <v>1.5707963267948966</v>
      </c>
      <c r="AJ137" s="31" t="str">
        <f t="shared" si="72"/>
        <v>1+0.0023245423104918i</v>
      </c>
      <c r="AK137" s="31">
        <f t="shared" si="88"/>
        <v>1.000002701744827</v>
      </c>
      <c r="AL137" s="31">
        <f t="shared" si="89"/>
        <v>2.3245381236196099E-3</v>
      </c>
      <c r="AM137" s="31" t="str">
        <f t="shared" si="73"/>
        <v>1+1.13041125181387i</v>
      </c>
      <c r="AN137" s="31">
        <f t="shared" si="90"/>
        <v>1.5092480240925945</v>
      </c>
      <c r="AO137" s="31">
        <f t="shared" si="91"/>
        <v>0.84653599580955174</v>
      </c>
      <c r="AP137" s="58" t="str">
        <f t="shared" si="92"/>
        <v>-0.0490429374443443+0.0435886768337197i</v>
      </c>
      <c r="AQ137" s="49">
        <f t="shared" si="93"/>
        <v>-23.660084376482565</v>
      </c>
      <c r="AR137" s="61">
        <f t="shared" si="94"/>
        <v>138.36975354199095</v>
      </c>
      <c r="AS137" s="58" t="str">
        <f t="shared" si="95"/>
        <v>41.8286828060622+58.3956599201472i</v>
      </c>
      <c r="AT137" s="64">
        <f t="shared" si="96"/>
        <v>37.126237612510749</v>
      </c>
      <c r="AU137" s="61">
        <f t="shared" si="97"/>
        <v>54.386058066083514</v>
      </c>
    </row>
    <row r="138" spans="14:47" x14ac:dyDescent="0.4">
      <c r="N138" s="10">
        <v>20</v>
      </c>
      <c r="O138" s="50">
        <f t="shared" si="98"/>
        <v>158.48931924611153</v>
      </c>
      <c r="P138" s="48" t="str">
        <f t="shared" si="65"/>
        <v>5120.19230769231</v>
      </c>
      <c r="Q138" s="17" t="str">
        <f t="shared" si="66"/>
        <v>1+4.65353300334214i</v>
      </c>
      <c r="R138" s="17">
        <f t="shared" si="75"/>
        <v>4.7597656888963051</v>
      </c>
      <c r="S138" s="17">
        <f t="shared" si="76"/>
        <v>1.3591248380827285</v>
      </c>
      <c r="T138" s="17" t="str">
        <f t="shared" si="67"/>
        <v>1+9.94821944270032E-06i</v>
      </c>
      <c r="U138" s="17">
        <f t="shared" si="77"/>
        <v>1.0000000000494835</v>
      </c>
      <c r="V138" s="17">
        <f t="shared" si="78"/>
        <v>9.9482194423721396E-6</v>
      </c>
      <c r="W138" s="31" t="str">
        <f t="shared" si="68"/>
        <v>1-0.0161322477449194i</v>
      </c>
      <c r="X138" s="17">
        <f t="shared" si="79"/>
        <v>1.0001301162435332</v>
      </c>
      <c r="Y138" s="17">
        <f t="shared" si="80"/>
        <v>-1.6130848494046966E-2</v>
      </c>
      <c r="Z138" s="31" t="str">
        <f t="shared" si="69"/>
        <v>0.999989952454274+0.0982207330564141i</v>
      </c>
      <c r="AA138" s="17">
        <f t="shared" si="81"/>
        <v>1.0048020787257761</v>
      </c>
      <c r="AB138" s="17">
        <f t="shared" si="82"/>
        <v>9.7907670936687896E-2</v>
      </c>
      <c r="AC138" s="66" t="str">
        <f t="shared" si="83"/>
        <v>104.382357892744-1065.621732029i</v>
      </c>
      <c r="AD138" s="64">
        <f t="shared" si="84"/>
        <v>60.593533580527279</v>
      </c>
      <c r="AE138" s="61">
        <f t="shared" si="85"/>
        <v>-84.405472927855797</v>
      </c>
      <c r="AF138" s="31" t="str">
        <f t="shared" si="70"/>
        <v>-1.39902068552014E-06</v>
      </c>
      <c r="AG138" s="31" t="str">
        <f t="shared" si="71"/>
        <v>0.0000329297017548763i</v>
      </c>
      <c r="AH138" s="31">
        <f t="shared" si="86"/>
        <v>3.2929701754876298E-5</v>
      </c>
      <c r="AI138" s="31">
        <f t="shared" si="87"/>
        <v>1.5707963267948966</v>
      </c>
      <c r="AJ138" s="31" t="str">
        <f t="shared" si="72"/>
        <v>1+0.00237868785658638i</v>
      </c>
      <c r="AK138" s="31">
        <f t="shared" si="88"/>
        <v>1.0000028290739578</v>
      </c>
      <c r="AL138" s="31">
        <f t="shared" si="89"/>
        <v>2.3786833702726853E-3</v>
      </c>
      <c r="AM138" s="31" t="str">
        <f t="shared" si="73"/>
        <v>1+1.15674191237645i</v>
      </c>
      <c r="AN138" s="31">
        <f t="shared" si="90"/>
        <v>1.5290689493441187</v>
      </c>
      <c r="AO138" s="31">
        <f t="shared" si="91"/>
        <v>0.85794593927560825</v>
      </c>
      <c r="AP138" s="58" t="str">
        <f t="shared" si="92"/>
        <v>-0.0490429249551912+0.0426017278521046i</v>
      </c>
      <c r="AQ138" s="49">
        <f t="shared" si="93"/>
        <v>-23.746756416963887</v>
      </c>
      <c r="AR138" s="61">
        <f t="shared" si="94"/>
        <v>139.02039285296505</v>
      </c>
      <c r="AS138" s="58" t="str">
        <f t="shared" si="95"/>
        <v>40.278110876408+56.7080754380268i</v>
      </c>
      <c r="AT138" s="64">
        <f t="shared" si="96"/>
        <v>36.846777163563395</v>
      </c>
      <c r="AU138" s="61">
        <f t="shared" si="97"/>
        <v>54.614919925109312</v>
      </c>
    </row>
    <row r="139" spans="14:47" x14ac:dyDescent="0.4">
      <c r="N139" s="10">
        <v>21</v>
      </c>
      <c r="O139" s="50">
        <f t="shared" si="98"/>
        <v>162.18100973589304</v>
      </c>
      <c r="P139" s="48" t="str">
        <f t="shared" si="65"/>
        <v>5120.19230769231</v>
      </c>
      <c r="Q139" s="17" t="str">
        <f t="shared" si="66"/>
        <v>1+4.76192771166721i</v>
      </c>
      <c r="R139" s="17">
        <f t="shared" si="75"/>
        <v>4.865794439877634</v>
      </c>
      <c r="S139" s="17">
        <f t="shared" si="76"/>
        <v>1.3638051019073736</v>
      </c>
      <c r="T139" s="17" t="str">
        <f t="shared" si="67"/>
        <v>1+0.0000101799432413863i</v>
      </c>
      <c r="U139" s="17">
        <f t="shared" si="77"/>
        <v>1.0000000000518157</v>
      </c>
      <c r="V139" s="17">
        <f t="shared" si="78"/>
        <v>1.0179943241034646E-5</v>
      </c>
      <c r="W139" s="31" t="str">
        <f t="shared" si="68"/>
        <v>1-0.016508016067113i</v>
      </c>
      <c r="X139" s="17">
        <f t="shared" si="79"/>
        <v>1.0001362480154752</v>
      </c>
      <c r="Y139" s="17">
        <f t="shared" si="80"/>
        <v>-1.6506516753821528E-2</v>
      </c>
      <c r="Z139" s="31" t="str">
        <f t="shared" si="69"/>
        <v>0.999989478928032+0.100508587833307i</v>
      </c>
      <c r="AA139" s="17">
        <f t="shared" si="81"/>
        <v>1.0050278275724522</v>
      </c>
      <c r="AB139" s="17">
        <f t="shared" si="82"/>
        <v>0.10017322629700433</v>
      </c>
      <c r="AC139" s="66" t="str">
        <f t="shared" si="83"/>
        <v>94.4528047507413-1042.89286038914i</v>
      </c>
      <c r="AD139" s="64">
        <f t="shared" si="84"/>
        <v>60.400271918839692</v>
      </c>
      <c r="AE139" s="61">
        <f t="shared" si="85"/>
        <v>-84.824949981401474</v>
      </c>
      <c r="AF139" s="31" t="str">
        <f t="shared" si="70"/>
        <v>-1.39902068552014E-06</v>
      </c>
      <c r="AG139" s="31" t="str">
        <f t="shared" si="71"/>
        <v>0.0000336967330436601i</v>
      </c>
      <c r="AH139" s="31">
        <f t="shared" si="86"/>
        <v>3.3696733043660099E-5</v>
      </c>
      <c r="AI139" s="31">
        <f t="shared" si="87"/>
        <v>1.5707963267948966</v>
      </c>
      <c r="AJ139" s="31" t="str">
        <f t="shared" si="72"/>
        <v>1+0.00243409461446816i</v>
      </c>
      <c r="AK139" s="31">
        <f t="shared" si="88"/>
        <v>1.0000029624039082</v>
      </c>
      <c r="AL139" s="31">
        <f t="shared" si="89"/>
        <v>2.4340898072971961E-3</v>
      </c>
      <c r="AM139" s="31" t="str">
        <f t="shared" si="73"/>
        <v>1+1.18368589281225i</v>
      </c>
      <c r="AN139" s="31">
        <f t="shared" si="90"/>
        <v>1.5495522878698651</v>
      </c>
      <c r="AO139" s="31">
        <f t="shared" si="91"/>
        <v>0.86931796439726938</v>
      </c>
      <c r="AP139" s="58" t="str">
        <f t="shared" si="92"/>
        <v>-0.049042911877449+0.0416373668676967i</v>
      </c>
      <c r="AQ139" s="49">
        <f t="shared" si="93"/>
        <v>-23.83117424761997</v>
      </c>
      <c r="AR139" s="61">
        <f t="shared" si="94"/>
        <v>139.66878734195356</v>
      </c>
      <c r="AS139" s="58" t="str">
        <f t="shared" si="95"/>
        <v>38.7910720517557+55.0792687327748i</v>
      </c>
      <c r="AT139" s="64">
        <f t="shared" si="96"/>
        <v>36.569097671219716</v>
      </c>
      <c r="AU139" s="61">
        <f t="shared" si="97"/>
        <v>54.843837360552108</v>
      </c>
    </row>
    <row r="140" spans="14:47" x14ac:dyDescent="0.4">
      <c r="N140" s="10">
        <v>22</v>
      </c>
      <c r="O140" s="50">
        <f t="shared" si="98"/>
        <v>165.95869074375622</v>
      </c>
      <c r="P140" s="48" t="str">
        <f t="shared" si="65"/>
        <v>5120.19230769231</v>
      </c>
      <c r="Q140" s="17" t="str">
        <f t="shared" si="66"/>
        <v>1+4.8728472570966i</v>
      </c>
      <c r="R140" s="17">
        <f t="shared" si="75"/>
        <v>4.9743984953955849</v>
      </c>
      <c r="S140" s="17">
        <f t="shared" si="76"/>
        <v>1.3683877369316371</v>
      </c>
      <c r="T140" s="17" t="str">
        <f t="shared" si="67"/>
        <v>1+0.0000104170645807265i</v>
      </c>
      <c r="U140" s="17">
        <f t="shared" si="77"/>
        <v>1.0000000000542575</v>
      </c>
      <c r="V140" s="17">
        <f t="shared" si="78"/>
        <v>1.0417064580349698E-5</v>
      </c>
      <c r="W140" s="31" t="str">
        <f t="shared" si="68"/>
        <v>1-0.0168925371579349i</v>
      </c>
      <c r="X140" s="17">
        <f t="shared" si="79"/>
        <v>1.000142668728633</v>
      </c>
      <c r="Y140" s="17">
        <f t="shared" si="80"/>
        <v>-1.6890930627175491E-2</v>
      </c>
      <c r="Z140" s="31" t="str">
        <f t="shared" si="69"/>
        <v>0.999988983085187+0.102849733593858i</v>
      </c>
      <c r="AA140" s="17">
        <f t="shared" si="81"/>
        <v>1.0052641612989464</v>
      </c>
      <c r="AB140" s="17">
        <f t="shared" si="82"/>
        <v>0.10249048878646651</v>
      </c>
      <c r="AC140" s="66" t="str">
        <f t="shared" si="83"/>
        <v>84.9381836711911-1020.5362815553i</v>
      </c>
      <c r="AD140" s="64">
        <f t="shared" si="84"/>
        <v>60.206549110667204</v>
      </c>
      <c r="AE140" s="61">
        <f t="shared" si="85"/>
        <v>-85.242296694488246</v>
      </c>
      <c r="AF140" s="31" t="str">
        <f t="shared" si="70"/>
        <v>-1.39902068552014E-06</v>
      </c>
      <c r="AG140" s="31" t="str">
        <f t="shared" si="71"/>
        <v>0.0000344816307863327i</v>
      </c>
      <c r="AH140" s="31">
        <f t="shared" si="86"/>
        <v>3.4481630786332697E-5</v>
      </c>
      <c r="AI140" s="31">
        <f t="shared" si="87"/>
        <v>1.5707963267948966</v>
      </c>
      <c r="AJ140" s="31" t="str">
        <f t="shared" si="72"/>
        <v>1+0.0024907919615336i</v>
      </c>
      <c r="AK140" s="31">
        <f t="shared" si="88"/>
        <v>1.0000031020174867</v>
      </c>
      <c r="AL140" s="31">
        <f t="shared" si="89"/>
        <v>2.4907868105579715E-3</v>
      </c>
      <c r="AM140" s="31" t="str">
        <f t="shared" si="73"/>
        <v>1+1.21125747917637i</v>
      </c>
      <c r="AN140" s="31">
        <f t="shared" si="90"/>
        <v>1.5707147038404823</v>
      </c>
      <c r="AO140" s="31">
        <f t="shared" si="91"/>
        <v>0.88064633631145406</v>
      </c>
      <c r="AP140" s="58" t="str">
        <f t="shared" si="92"/>
        <v>-0.0490428981833798+0.0406950825633365i</v>
      </c>
      <c r="AQ140" s="49">
        <f t="shared" si="93"/>
        <v>-23.913353986302276</v>
      </c>
      <c r="AR140" s="61">
        <f t="shared" si="94"/>
        <v>140.31460674239293</v>
      </c>
      <c r="AS140" s="58" t="str">
        <f t="shared" si="95"/>
        <v>37.3651935431059+53.5066233460406i</v>
      </c>
      <c r="AT140" s="64">
        <f t="shared" si="96"/>
        <v>36.293195124364928</v>
      </c>
      <c r="AU140" s="61">
        <f t="shared" si="97"/>
        <v>55.072310047904729</v>
      </c>
    </row>
    <row r="141" spans="14:47" x14ac:dyDescent="0.4">
      <c r="N141" s="10">
        <v>23</v>
      </c>
      <c r="O141" s="50">
        <f t="shared" si="98"/>
        <v>169.82436524617444</v>
      </c>
      <c r="P141" s="48" t="str">
        <f t="shared" si="65"/>
        <v>5120.19230769231</v>
      </c>
      <c r="Q141" s="17" t="str">
        <f t="shared" si="66"/>
        <v>1+4.98635045064143i</v>
      </c>
      <c r="R141" s="17">
        <f t="shared" si="75"/>
        <v>5.0856357337713431</v>
      </c>
      <c r="S141" s="17">
        <f t="shared" si="76"/>
        <v>1.3728744026652435</v>
      </c>
      <c r="T141" s="17" t="str">
        <f t="shared" si="67"/>
        <v>1+0.0000106597091855935i</v>
      </c>
      <c r="U141" s="17">
        <f t="shared" si="77"/>
        <v>1.0000000000568146</v>
      </c>
      <c r="V141" s="17">
        <f t="shared" si="78"/>
        <v>1.0659709185189748E-5</v>
      </c>
      <c r="W141" s="31" t="str">
        <f t="shared" si="68"/>
        <v>1-0.0172860148955569i</v>
      </c>
      <c r="X141" s="17">
        <f t="shared" si="79"/>
        <v>1.0001493919965003</v>
      </c>
      <c r="Y141" s="17">
        <f t="shared" si="80"/>
        <v>-1.7284293480720695E-2</v>
      </c>
      <c r="Z141" s="31" t="str">
        <f t="shared" si="69"/>
        <v>0.999988463873988+0.105245411644537i</v>
      </c>
      <c r="AA141" s="17">
        <f t="shared" si="81"/>
        <v>1.0055115735551163</v>
      </c>
      <c r="AB141" s="17">
        <f t="shared" si="82"/>
        <v>0.10486058776405903</v>
      </c>
      <c r="AC141" s="66" t="str">
        <f t="shared" si="83"/>
        <v>75.8231352985756-998.551304824059i</v>
      </c>
      <c r="AD141" s="64">
        <f t="shared" si="84"/>
        <v>60.012376488080996</v>
      </c>
      <c r="AE141" s="61">
        <f t="shared" si="85"/>
        <v>-85.657684502367772</v>
      </c>
      <c r="AF141" s="31" t="str">
        <f t="shared" si="70"/>
        <v>-1.39902068552014E-06</v>
      </c>
      <c r="AG141" s="31" t="str">
        <f t="shared" si="71"/>
        <v>0.0000352848111460666i</v>
      </c>
      <c r="AH141" s="31">
        <f t="shared" si="86"/>
        <v>3.5284811146066598E-5</v>
      </c>
      <c r="AI141" s="31">
        <f t="shared" si="87"/>
        <v>1.5707963267948966</v>
      </c>
      <c r="AJ141" s="31" t="str">
        <f t="shared" si="72"/>
        <v>1+0.00254880995946655i</v>
      </c>
      <c r="AK141" s="31">
        <f t="shared" si="88"/>
        <v>1.0000032482108294</v>
      </c>
      <c r="AL141" s="31">
        <f t="shared" si="89"/>
        <v>2.5488044400976914E-3</v>
      </c>
      <c r="AM141" s="31" t="str">
        <f t="shared" si="73"/>
        <v>1+1.23947129028882i</v>
      </c>
      <c r="AN141" s="31">
        <f t="shared" si="90"/>
        <v>1.5925731001904537</v>
      </c>
      <c r="AO141" s="31">
        <f t="shared" si="91"/>
        <v>0.89192543191146212</v>
      </c>
      <c r="AP141" s="58" t="str">
        <f t="shared" si="92"/>
        <v>-0.0490428838439366+0.0397743753271984i</v>
      </c>
      <c r="AQ141" s="49">
        <f t="shared" si="93"/>
        <v>-23.993313924412526</v>
      </c>
      <c r="AR141" s="61">
        <f t="shared" si="94"/>
        <v>140.95752715168814</v>
      </c>
      <c r="AS141" s="58" t="str">
        <f t="shared" si="95"/>
        <v>35.9981691644047+51.9876534965481i</v>
      </c>
      <c r="AT141" s="64">
        <f t="shared" si="96"/>
        <v>36.019062563668463</v>
      </c>
      <c r="AU141" s="61">
        <f t="shared" si="97"/>
        <v>55.299842649320318</v>
      </c>
    </row>
    <row r="142" spans="14:47" x14ac:dyDescent="0.4">
      <c r="N142" s="10">
        <v>24</v>
      </c>
      <c r="O142" s="50">
        <f t="shared" si="98"/>
        <v>173.78008287493768</v>
      </c>
      <c r="P142" s="48" t="str">
        <f t="shared" si="65"/>
        <v>5120.19230769231</v>
      </c>
      <c r="Q142" s="17" t="str">
        <f t="shared" si="66"/>
        <v>1+5.10249747319737i</v>
      </c>
      <c r="R142" s="17">
        <f t="shared" si="75"/>
        <v>5.199565411069039</v>
      </c>
      <c r="S142" s="17">
        <f t="shared" si="76"/>
        <v>1.3772667551167093</v>
      </c>
      <c r="T142" s="17" t="str">
        <f t="shared" si="67"/>
        <v>1+0.0000109080057093686i</v>
      </c>
      <c r="U142" s="17">
        <f t="shared" si="77"/>
        <v>1.0000000000594924</v>
      </c>
      <c r="V142" s="17">
        <f t="shared" si="78"/>
        <v>1.0908005708935972E-5</v>
      </c>
      <c r="W142" s="31" t="str">
        <f t="shared" si="68"/>
        <v>1-0.0176886579070842i</v>
      </c>
      <c r="X142" s="17">
        <f t="shared" si="79"/>
        <v>1.0001564320737801</v>
      </c>
      <c r="Y142" s="17">
        <f t="shared" si="80"/>
        <v>-1.7686813393436009E-2</v>
      </c>
      <c r="Z142" s="31" t="str">
        <f t="shared" si="69"/>
        <v>0.999987920193118+0.107696892205558i</v>
      </c>
      <c r="AA142" s="17">
        <f t="shared" si="81"/>
        <v>1.005770580760291</v>
      </c>
      <c r="AB142" s="17">
        <f t="shared" si="82"/>
        <v>0.10728467365622031</v>
      </c>
      <c r="AC142" s="66" t="str">
        <f t="shared" si="83"/>
        <v>67.092755055218-976.936795406035i</v>
      </c>
      <c r="AD142" s="64">
        <f t="shared" si="84"/>
        <v>59.817764618047335</v>
      </c>
      <c r="AE142" s="61">
        <f t="shared" si="85"/>
        <v>-86.071286116594422</v>
      </c>
      <c r="AF142" s="31" t="str">
        <f t="shared" si="70"/>
        <v>-1.39902068552014E-06</v>
      </c>
      <c r="AG142" s="31" t="str">
        <f t="shared" si="71"/>
        <v>0.0000361066999797198i</v>
      </c>
      <c r="AH142" s="31">
        <f t="shared" si="86"/>
        <v>3.61066999797198E-5</v>
      </c>
      <c r="AI142" s="31">
        <f t="shared" si="87"/>
        <v>1.5707963267948966</v>
      </c>
      <c r="AJ142" s="31" t="str">
        <f t="shared" si="72"/>
        <v>1+0.00260817937017753i</v>
      </c>
      <c r="AK142" s="31">
        <f t="shared" si="88"/>
        <v>1.0000034012940291</v>
      </c>
      <c r="AL142" s="31">
        <f t="shared" si="89"/>
        <v>2.6081734560683321E-3</v>
      </c>
      <c r="AM142" s="31" t="str">
        <f t="shared" si="73"/>
        <v>1+1.26834228548574i</v>
      </c>
      <c r="AN142" s="31">
        <f t="shared" si="90"/>
        <v>1.6151446229830906</v>
      </c>
      <c r="AO142" s="31">
        <f t="shared" si="91"/>
        <v>0.90314975299986655</v>
      </c>
      <c r="AP142" s="58" t="str">
        <f t="shared" si="92"/>
        <v>-0.0490428688287059+0.0388747569878893i</v>
      </c>
      <c r="AQ142" s="49">
        <f t="shared" si="93"/>
        <v>-24.07107445312349</v>
      </c>
      <c r="AR142" s="61">
        <f t="shared" si="94"/>
        <v>141.59723178390436</v>
      </c>
      <c r="AS142" s="58" t="str">
        <f t="shared" si="95"/>
        <v>34.6877593284074+50.519997659454i</v>
      </c>
      <c r="AT142" s="64">
        <f t="shared" si="96"/>
        <v>35.746690164923841</v>
      </c>
      <c r="AU142" s="61">
        <f t="shared" si="97"/>
        <v>55.525945667309884</v>
      </c>
    </row>
    <row r="143" spans="14:47" x14ac:dyDescent="0.4">
      <c r="N143" s="10">
        <v>25</v>
      </c>
      <c r="O143" s="50">
        <f t="shared" si="98"/>
        <v>177.82794100389242</v>
      </c>
      <c r="P143" s="48" t="str">
        <f t="shared" si="65"/>
        <v>5120.19230769231</v>
      </c>
      <c r="Q143" s="17" t="str">
        <f t="shared" si="66"/>
        <v>1+5.22134990745314i</v>
      </c>
      <c r="R143" s="17">
        <f t="shared" si="75"/>
        <v>5.3162481936099368</v>
      </c>
      <c r="S143" s="17">
        <f t="shared" si="76"/>
        <v>1.3815664449206075</v>
      </c>
      <c r="T143" s="17" t="str">
        <f t="shared" si="67"/>
        <v>1+0.0000111620858021554i</v>
      </c>
      <c r="U143" s="17">
        <f t="shared" si="77"/>
        <v>1.0000000000622959</v>
      </c>
      <c r="V143" s="17">
        <f t="shared" si="78"/>
        <v>1.1162085801691831E-5</v>
      </c>
      <c r="W143" s="31" t="str">
        <f t="shared" si="68"/>
        <v>1-0.0181006796791709i</v>
      </c>
      <c r="X143" s="17">
        <f t="shared" si="79"/>
        <v>1.0001638038865674</v>
      </c>
      <c r="Y143" s="17">
        <f t="shared" si="80"/>
        <v>-1.8098703264670037E-2</v>
      </c>
      <c r="Z143" s="31" t="str">
        <f t="shared" si="69"/>
        <v>0.999987350889359+0.110205475084364i</v>
      </c>
      <c r="AA143" s="17">
        <f t="shared" si="81"/>
        <v>1.0060417231294576</v>
      </c>
      <c r="AB143" s="17">
        <f t="shared" si="82"/>
        <v>0.10976391808835667</v>
      </c>
      <c r="AC143" s="66" t="str">
        <f t="shared" si="83"/>
        <v>58.7325919647815-955.691207119424i</v>
      </c>
      <c r="AD143" s="64">
        <f t="shared" si="84"/>
        <v>59.622723311673631</v>
      </c>
      <c r="AE143" s="61">
        <f t="shared" si="85"/>
        <v>-86.483275431444866</v>
      </c>
      <c r="AF143" s="31" t="str">
        <f t="shared" si="70"/>
        <v>-1.39902068552014E-06</v>
      </c>
      <c r="AG143" s="31" t="str">
        <f t="shared" si="71"/>
        <v>0.0000369477330636309i</v>
      </c>
      <c r="AH143" s="31">
        <f t="shared" si="86"/>
        <v>3.6947733063630899E-5</v>
      </c>
      <c r="AI143" s="31">
        <f t="shared" si="87"/>
        <v>1.5707963267948966</v>
      </c>
      <c r="AJ143" s="31" t="str">
        <f t="shared" si="72"/>
        <v>1+0.00266893167211391i</v>
      </c>
      <c r="AK143" s="31">
        <f t="shared" si="88"/>
        <v>1.0000035615917928</v>
      </c>
      <c r="AL143" s="31">
        <f t="shared" si="89"/>
        <v>2.6689253350329497E-3</v>
      </c>
      <c r="AM143" s="31" t="str">
        <f t="shared" si="73"/>
        <v>1+1.29788577255092i</v>
      </c>
      <c r="AN143" s="31">
        <f t="shared" si="90"/>
        <v>1.6384466663856039</v>
      </c>
      <c r="AO143" s="31">
        <f t="shared" si="91"/>
        <v>0.91431393868553656</v>
      </c>
      <c r="AP143" s="58" t="str">
        <f t="shared" si="92"/>
        <v>-0.0490428531058389+0.0379957505556109i</v>
      </c>
      <c r="AQ143" s="49">
        <f t="shared" si="93"/>
        <v>-24.14665798221727</v>
      </c>
      <c r="AR143" s="61">
        <f t="shared" si="94"/>
        <v>142.23341167913145</v>
      </c>
      <c r="AS143" s="58" t="str">
        <f t="shared" si="95"/>
        <v>33.4317908336464+49.1014123990781i</v>
      </c>
      <c r="AT143" s="64">
        <f t="shared" si="96"/>
        <v>35.476065329456368</v>
      </c>
      <c r="AU143" s="61">
        <f t="shared" si="97"/>
        <v>55.750136247686555</v>
      </c>
    </row>
    <row r="144" spans="14:47" x14ac:dyDescent="0.4">
      <c r="N144" s="10">
        <v>26</v>
      </c>
      <c r="O144" s="50">
        <f t="shared" si="98"/>
        <v>181.9700858609983</v>
      </c>
      <c r="P144" s="48" t="str">
        <f t="shared" si="65"/>
        <v>5120.19230769231</v>
      </c>
      <c r="Q144" s="17" t="str">
        <f t="shared" si="66"/>
        <v>1+5.34297077054253i</v>
      </c>
      <c r="R144" s="17">
        <f t="shared" si="75"/>
        <v>5.4357461911748448</v>
      </c>
      <c r="S144" s="17">
        <f t="shared" si="76"/>
        <v>1.385775115604521</v>
      </c>
      <c r="T144" s="17" t="str">
        <f t="shared" si="67"/>
        <v>1+0.000011422084180582i</v>
      </c>
      <c r="U144" s="17">
        <f t="shared" si="77"/>
        <v>1.000000000065232</v>
      </c>
      <c r="V144" s="17">
        <f t="shared" si="78"/>
        <v>1.1422084180085276E-5</v>
      </c>
      <c r="W144" s="31" t="str">
        <f t="shared" si="68"/>
        <v>1-0.0185222986712141i</v>
      </c>
      <c r="X144" s="17">
        <f t="shared" si="79"/>
        <v>1.0001715230639521</v>
      </c>
      <c r="Y144" s="17">
        <f t="shared" si="80"/>
        <v>-1.8520180924535921E-2</v>
      </c>
      <c r="Z144" s="31" t="str">
        <f t="shared" si="69"/>
        <v>0.999986754755141+0.1127724903648i</v>
      </c>
      <c r="AA144" s="17">
        <f t="shared" si="81"/>
        <v>1.0063255657434116</v>
      </c>
      <c r="AB144" s="17">
        <f t="shared" si="82"/>
        <v>0.11229951399556559</v>
      </c>
      <c r="AC144" s="66" t="str">
        <f t="shared" si="83"/>
        <v>50.7286462204436-934.812613609379i</v>
      </c>
      <c r="AD144" s="64">
        <f t="shared" si="84"/>
        <v>59.427261633080768</v>
      </c>
      <c r="AE144" s="61">
        <f t="shared" si="85"/>
        <v>-86.893827437286859</v>
      </c>
      <c r="AF144" s="31" t="str">
        <f t="shared" si="70"/>
        <v>-1.39902068552014E-06</v>
      </c>
      <c r="AG144" s="31" t="str">
        <f t="shared" si="71"/>
        <v>0.0000378083563246734i</v>
      </c>
      <c r="AH144" s="31">
        <f t="shared" si="86"/>
        <v>3.7808356324673402E-5</v>
      </c>
      <c r="AI144" s="31">
        <f t="shared" si="87"/>
        <v>1.5707963267948966</v>
      </c>
      <c r="AJ144" s="31" t="str">
        <f t="shared" si="72"/>
        <v>1+0.0027310990769503i</v>
      </c>
      <c r="AK144" s="31">
        <f t="shared" si="88"/>
        <v>1.0000037294441297</v>
      </c>
      <c r="AL144" s="31">
        <f t="shared" si="89"/>
        <v>2.7310922866470803E-3</v>
      </c>
      <c r="AM144" s="31" t="str">
        <f t="shared" si="73"/>
        <v>1+1.32811741583224i</v>
      </c>
      <c r="AN144" s="31">
        <f t="shared" si="90"/>
        <v>1.6624968782638079</v>
      </c>
      <c r="AO144" s="31">
        <f t="shared" si="91"/>
        <v>0.92541277696375035</v>
      </c>
      <c r="AP144" s="58" t="str">
        <f t="shared" si="92"/>
        <v>-0.0490428366419863+0.0371368899692541i</v>
      </c>
      <c r="AQ144" s="49">
        <f t="shared" si="93"/>
        <v>-24.220088852208793</v>
      </c>
      <c r="AR144" s="61">
        <f t="shared" si="94"/>
        <v>142.86576636601862</v>
      </c>
      <c r="AS144" s="58" t="str">
        <f t="shared" si="95"/>
        <v>32.228156463824+47.7297664530909i</v>
      </c>
      <c r="AT144" s="64">
        <f t="shared" si="96"/>
        <v>35.207172780871979</v>
      </c>
      <c r="AU144" s="61">
        <f t="shared" si="97"/>
        <v>55.971938928731795</v>
      </c>
    </row>
    <row r="145" spans="14:47" x14ac:dyDescent="0.4">
      <c r="N145" s="10">
        <v>27</v>
      </c>
      <c r="O145" s="50">
        <f t="shared" si="98"/>
        <v>186.20871366628685</v>
      </c>
      <c r="P145" s="48" t="str">
        <f t="shared" si="65"/>
        <v>5120.19230769231</v>
      </c>
      <c r="Q145" s="17" t="str">
        <f t="shared" si="66"/>
        <v>1+5.46742454745707i</v>
      </c>
      <c r="R145" s="17">
        <f t="shared" si="75"/>
        <v>5.5581229909148417</v>
      </c>
      <c r="S145" s="17">
        <f t="shared" si="76"/>
        <v>1.3898944019891932</v>
      </c>
      <c r="T145" s="17" t="str">
        <f t="shared" si="67"/>
        <v>1+0.0000116881386992304i</v>
      </c>
      <c r="U145" s="17">
        <f t="shared" si="77"/>
        <v>1.0000000000683062</v>
      </c>
      <c r="V145" s="17">
        <f t="shared" si="78"/>
        <v>1.1688138698698152E-5</v>
      </c>
      <c r="W145" s="31" t="str">
        <f t="shared" si="68"/>
        <v>1-0.0189537384311845i</v>
      </c>
      <c r="X145" s="17">
        <f t="shared" si="79"/>
        <v>1.0001796059711066</v>
      </c>
      <c r="Y145" s="17">
        <f t="shared" si="80"/>
        <v>-1.8951469246742722E-2</v>
      </c>
      <c r="Z145" s="31" t="str">
        <f t="shared" si="69"/>
        <v>0.999986130525982+0.115399299112349i</v>
      </c>
      <c r="AA145" s="17">
        <f t="shared" si="81"/>
        <v>1.0066226996645504</v>
      </c>
      <c r="AB145" s="17">
        <f t="shared" si="82"/>
        <v>0.11489267571060113</v>
      </c>
      <c r="AC145" s="66" t="str">
        <f t="shared" si="83"/>
        <v>43.0673656321714-914.29873810961i</v>
      </c>
      <c r="AD145" s="64">
        <f t="shared" si="84"/>
        <v>59.23138790784904</v>
      </c>
      <c r="AE145" s="61">
        <f t="shared" si="85"/>
        <v>-87.303118140415421</v>
      </c>
      <c r="AF145" s="31" t="str">
        <f t="shared" si="70"/>
        <v>-1.39902068552014E-06</v>
      </c>
      <c r="AG145" s="31" t="str">
        <f t="shared" si="71"/>
        <v>0.000038689026076692i</v>
      </c>
      <c r="AH145" s="31">
        <f t="shared" si="86"/>
        <v>3.8689026076692002E-5</v>
      </c>
      <c r="AI145" s="31">
        <f t="shared" si="87"/>
        <v>1.5707963267948966</v>
      </c>
      <c r="AJ145" s="31" t="str">
        <f t="shared" si="72"/>
        <v>1+0.00279471454666767i</v>
      </c>
      <c r="AK145" s="31">
        <f t="shared" si="88"/>
        <v>1.0000039052070735</v>
      </c>
      <c r="AL145" s="31">
        <f t="shared" si="89"/>
        <v>2.7947072707282163E-3</v>
      </c>
      <c r="AM145" s="31" t="str">
        <f t="shared" si="73"/>
        <v>1+1.35905324454716i</v>
      </c>
      <c r="AN145" s="31">
        <f t="shared" si="90"/>
        <v>1.6873131664021834</v>
      </c>
      <c r="AO145" s="31">
        <f t="shared" si="91"/>
        <v>0.9364412154269024</v>
      </c>
      <c r="AP145" s="58" t="str">
        <f t="shared" si="92"/>
        <v>-0.0490428194022288+0.0362977198492845i</v>
      </c>
      <c r="AQ145" s="49">
        <f t="shared" si="93"/>
        <v>-24.291393240466146</v>
      </c>
      <c r="AR145" s="61">
        <f t="shared" si="94"/>
        <v>143.49400447447542</v>
      </c>
      <c r="AS145" s="58" t="str">
        <f t="shared" si="95"/>
        <v>31.0748144196286+46.4030350651585i</v>
      </c>
      <c r="AT145" s="64">
        <f t="shared" si="96"/>
        <v>34.939994667382884</v>
      </c>
      <c r="AU145" s="61">
        <f t="shared" si="97"/>
        <v>56.190886334059989</v>
      </c>
    </row>
    <row r="146" spans="14:47" x14ac:dyDescent="0.4">
      <c r="N146" s="10">
        <v>28</v>
      </c>
      <c r="O146" s="50">
        <f t="shared" si="98"/>
        <v>190.54607179632498</v>
      </c>
      <c r="P146" s="48" t="str">
        <f t="shared" si="65"/>
        <v>5120.19230769231</v>
      </c>
      <c r="Q146" s="17" t="str">
        <f t="shared" si="66"/>
        <v>1+5.59477722523663i</v>
      </c>
      <c r="R146" s="17">
        <f t="shared" si="75"/>
        <v>5.6834436919904894</v>
      </c>
      <c r="S146" s="17">
        <f t="shared" si="76"/>
        <v>1.3939259287154624</v>
      </c>
      <c r="T146" s="17" t="str">
        <f t="shared" si="67"/>
        <v>1+0.0000119603904237281i</v>
      </c>
      <c r="U146" s="17">
        <f t="shared" si="77"/>
        <v>1.0000000000715255</v>
      </c>
      <c r="V146" s="17">
        <f t="shared" si="78"/>
        <v>1.1960390423157785E-5</v>
      </c>
      <c r="W146" s="31" t="str">
        <f t="shared" si="68"/>
        <v>1-0.0193952277141537i</v>
      </c>
      <c r="X146" s="17">
        <f t="shared" si="79"/>
        <v>1.0001880697439276</v>
      </c>
      <c r="Y146" s="17">
        <f t="shared" si="80"/>
        <v>-1.9392796263909422E-2</v>
      </c>
      <c r="Z146" s="31" t="str">
        <f t="shared" si="69"/>
        <v>0.999985476877809+0.118087294095778i</v>
      </c>
      <c r="AA146" s="17">
        <f t="shared" si="81"/>
        <v>1.0069337431000125</v>
      </c>
      <c r="AB146" s="17">
        <f t="shared" si="82"/>
        <v>0.11754463902695193</v>
      </c>
      <c r="AC146" s="66" t="str">
        <f t="shared" si="83"/>
        <v>35.735641078819-894.146981769035i</v>
      </c>
      <c r="AD146" s="64">
        <f t="shared" si="84"/>
        <v>59.035109730991394</v>
      </c>
      <c r="AE146" s="61">
        <f t="shared" si="85"/>
        <v>-87.711324488869238</v>
      </c>
      <c r="AF146" s="31" t="str">
        <f t="shared" si="70"/>
        <v>-1.39902068552014E-06</v>
      </c>
      <c r="AG146" s="31" t="str">
        <f t="shared" si="71"/>
        <v>0.0000395902092624463i</v>
      </c>
      <c r="AH146" s="31">
        <f t="shared" si="86"/>
        <v>3.9590209262446298E-5</v>
      </c>
      <c r="AI146" s="31">
        <f t="shared" si="87"/>
        <v>1.5707963267948966</v>
      </c>
      <c r="AJ146" s="31" t="str">
        <f t="shared" si="72"/>
        <v>1+0.00285981181103014i</v>
      </c>
      <c r="AK146" s="31">
        <f t="shared" si="88"/>
        <v>1.0000040892534363</v>
      </c>
      <c r="AL146" s="31">
        <f t="shared" si="89"/>
        <v>2.8598040147222734E-3</v>
      </c>
      <c r="AM146" s="31" t="str">
        <f t="shared" si="73"/>
        <v>1+1.39070966128154i</v>
      </c>
      <c r="AN146" s="31">
        <f t="shared" si="90"/>
        <v>1.7129137053517365</v>
      </c>
      <c r="AO146" s="31">
        <f t="shared" si="91"/>
        <v>0.9473943710624384</v>
      </c>
      <c r="AP146" s="58" t="str">
        <f t="shared" si="92"/>
        <v>-0.0490428013499994+0.0354777952562936i</v>
      </c>
      <c r="AQ146" s="49">
        <f t="shared" si="93"/>
        <v>-24.360599062068719</v>
      </c>
      <c r="AR146" s="61">
        <f t="shared" si="94"/>
        <v>144.11784429605061</v>
      </c>
      <c r="AS146" s="58" t="str">
        <f t="shared" si="95"/>
        <v>29.9697876016913+45.1192945621471i</v>
      </c>
      <c r="AT146" s="64">
        <f t="shared" si="96"/>
        <v>34.674510668922679</v>
      </c>
      <c r="AU146" s="61">
        <f t="shared" si="97"/>
        <v>56.406519807181411</v>
      </c>
    </row>
    <row r="147" spans="14:47" x14ac:dyDescent="0.4">
      <c r="N147" s="10">
        <v>29</v>
      </c>
      <c r="O147" s="50">
        <f t="shared" si="98"/>
        <v>194.98445997580458</v>
      </c>
      <c r="P147" s="48" t="str">
        <f t="shared" ref="P147:P210" si="99">COMPLEX(Adc,0)</f>
        <v>5120.19230769231</v>
      </c>
      <c r="Q147" s="17" t="str">
        <f t="shared" ref="Q147:Q210" si="100">IMSUM(COMPLEX(1,0),IMDIV(COMPLEX(0,2*PI()*O147),COMPLEX(wp_lf,0)))</f>
        <v>1+5.72509632795658i</v>
      </c>
      <c r="R147" s="17">
        <f t="shared" si="75"/>
        <v>5.811774940960972</v>
      </c>
      <c r="S147" s="17">
        <f t="shared" si="76"/>
        <v>1.3978713088917087</v>
      </c>
      <c r="T147" s="17" t="str">
        <f t="shared" ref="T147:T210" si="101">IMSUM(COMPLEX(1,0),IMDIV(COMPLEX(0,2*PI()*O147),COMPLEX(wz_esr,0)))</f>
        <v>1+0.0000122389837055427i</v>
      </c>
      <c r="U147" s="17">
        <f t="shared" si="77"/>
        <v>1.0000000000748963</v>
      </c>
      <c r="V147" s="17">
        <f t="shared" si="78"/>
        <v>1.2238983704931596E-5</v>
      </c>
      <c r="W147" s="31" t="str">
        <f t="shared" ref="W147:W210" si="102">IMSUB(COMPLEX(1,0),IMDIV(COMPLEX(0,2*PI()*O147),COMPLEX(wz_rhp,0)))</f>
        <v>1-0.0198470006035828i</v>
      </c>
      <c r="X147" s="17">
        <f t="shared" si="79"/>
        <v>1.0001969323253088</v>
      </c>
      <c r="Y147" s="17">
        <f t="shared" si="80"/>
        <v>-1.9844395285410786E-2</v>
      </c>
      <c r="Z147" s="31" t="str">
        <f t="shared" ref="Z147:Z210" si="103">IMSUM(COMPLEX(1,0),IMDIV(COMPLEX(0,2*PI()*O147),COMPLEX(Q*(wsl/2),0)),IMDIV(IMPOWER(COMPLEX(0,2*PI()*O147),2),IMPOWER(COMPLEX(wsl/2,0),2)))</f>
        <v>0.999984792424147+0.120837900525605i</v>
      </c>
      <c r="AA147" s="17">
        <f t="shared" si="81"/>
        <v>1.0072593426139071</v>
      </c>
      <c r="AB147" s="17">
        <f t="shared" si="82"/>
        <v>0.1202566612348237</v>
      </c>
      <c r="AC147" s="66" t="str">
        <f t="shared" si="83"/>
        <v>28.7208010821122-874.354450571391i</v>
      </c>
      <c r="AD147" s="64">
        <f t="shared" si="84"/>
        <v>58.838433974410059</v>
      </c>
      <c r="AE147" s="61">
        <f t="shared" si="85"/>
        <v>-88.118624303744554</v>
      </c>
      <c r="AF147" s="31" t="str">
        <f t="shared" ref="AF147:AF210" si="104">COMPLEX(Adc_ea,0)</f>
        <v>-1.39902068552014E-06</v>
      </c>
      <c r="AG147" s="31" t="str">
        <f t="shared" ref="AG147:AG210" si="105">COMPLEX(0,2*PI()*O147*wp0_ea)</f>
        <v>0.0000405123837011899i</v>
      </c>
      <c r="AH147" s="31">
        <f t="shared" si="86"/>
        <v>4.0512383701189902E-5</v>
      </c>
      <c r="AI147" s="31">
        <f t="shared" si="87"/>
        <v>1.5707963267948966</v>
      </c>
      <c r="AJ147" s="31" t="str">
        <f t="shared" ref="AJ147:AJ210" si="106">IMSUM(COMPLEX(1,0),IMDIV(COMPLEX(0,2*PI()*O147),COMPLEX(wp1_ea,0)))</f>
        <v>1+0.00292642538546885i</v>
      </c>
      <c r="AK147" s="31">
        <f t="shared" si="88"/>
        <v>1.0000042819736008</v>
      </c>
      <c r="AL147" s="31">
        <f t="shared" si="89"/>
        <v>2.9264170315763931E-3</v>
      </c>
      <c r="AM147" s="31" t="str">
        <f t="shared" ref="AM147:AM210" si="107">IMSUM(COMPLEX(1,0),IMDIV(COMPLEX(0,2*PI()*O147),COMPLEX(wz_ea,0)))</f>
        <v>1+1.42310345068653i</v>
      </c>
      <c r="AN147" s="31">
        <f t="shared" si="90"/>
        <v>1.7393169439052529</v>
      </c>
      <c r="AO147" s="31">
        <f t="shared" si="91"/>
        <v>0.9582675391040627</v>
      </c>
      <c r="AP147" s="58" t="str">
        <f t="shared" si="92"/>
        <v>-0.0490427824470084+0.0346766814550844i</v>
      </c>
      <c r="AQ147" s="49">
        <f t="shared" si="93"/>
        <v>-24.427735866164145</v>
      </c>
      <c r="AR147" s="61">
        <f t="shared" si="94"/>
        <v>144.73701429004586</v>
      </c>
      <c r="AS147" s="58" t="str">
        <f t="shared" si="95"/>
        <v>28.9111627621256+43.8767171712055i</v>
      </c>
      <c r="AT147" s="64">
        <f t="shared" si="96"/>
        <v>34.410698108245903</v>
      </c>
      <c r="AU147" s="61">
        <f t="shared" si="97"/>
        <v>56.618389986301324</v>
      </c>
    </row>
    <row r="148" spans="14:47" x14ac:dyDescent="0.4">
      <c r="N148" s="10">
        <v>30</v>
      </c>
      <c r="O148" s="50">
        <f t="shared" si="98"/>
        <v>199.52623149688802</v>
      </c>
      <c r="P148" s="48" t="str">
        <f t="shared" si="99"/>
        <v>5120.19230769231</v>
      </c>
      <c r="Q148" s="17" t="str">
        <f t="shared" si="100"/>
        <v>1+5.85845095253025i</v>
      </c>
      <c r="R148" s="17">
        <f t="shared" ref="R148:R211" si="108">IMABS(Q148)</f>
        <v>5.9431849679445952</v>
      </c>
      <c r="S148" s="17">
        <f t="shared" ref="S148:S211" si="109">IMARGUMENT(Q148)</f>
        <v>1.4017321428556566</v>
      </c>
      <c r="T148" s="17" t="str">
        <f t="shared" si="101"/>
        <v>1+0.0000125240662585202i</v>
      </c>
      <c r="U148" s="17">
        <f t="shared" ref="U148:U211" si="110">IMABS(T148)</f>
        <v>1.0000000000784262</v>
      </c>
      <c r="V148" s="17">
        <f t="shared" ref="V148:V211" si="111">IMARGUMENT(T148)</f>
        <v>1.2524066257865391E-5</v>
      </c>
      <c r="W148" s="31" t="str">
        <f t="shared" si="102"/>
        <v>1-0.0203092966354382i</v>
      </c>
      <c r="X148" s="17">
        <f t="shared" ref="X148:X211" si="112">IMABS(W148)</f>
        <v>1.0002062125031148</v>
      </c>
      <c r="Y148" s="17">
        <f t="shared" ref="Y148:Y211" si="113">IMARGUMENT(W148)</f>
        <v>-2.0306505017804708E-2</v>
      </c>
      <c r="Z148" s="31" t="str">
        <f t="shared" si="103"/>
        <v>0.999984075713178+0.123652576809771i</v>
      </c>
      <c r="AA148" s="17">
        <f t="shared" ref="AA148:AA211" si="114">IMABS(Z148)</f>
        <v>1.007600174390435</v>
      </c>
      <c r="AB148" s="17">
        <f t="shared" ref="AB148:AB211" si="115">IMARGUMENT(Z148)</f>
        <v>0.12303002112764018</v>
      </c>
      <c r="AC148" s="66" t="str">
        <f t="shared" ref="AC148:AC211" si="116">(IMDIV(IMPRODUCT(P148,T148,W148),IMPRODUCT(Q148,Z148)))</f>
        <v>22.0106056113522-854.91798088044i</v>
      </c>
      <c r="AD148" s="64">
        <f t="shared" ref="AD148:AD211" si="117">20*LOG(IMABS(AC148))</f>
        <v>58.641366793798831</v>
      </c>
      <c r="AE148" s="61">
        <f t="shared" ref="AE148:AE211" si="118">(180/PI())*IMARGUMENT(AC148)</f>
        <v>-88.525196215519756</v>
      </c>
      <c r="AF148" s="31" t="str">
        <f t="shared" si="104"/>
        <v>-1.39902068552014E-06</v>
      </c>
      <c r="AG148" s="31" t="str">
        <f t="shared" si="105"/>
        <v>0.0000414560383420167i</v>
      </c>
      <c r="AH148" s="31">
        <f t="shared" ref="AH148:AH211" si="119">IMABS(AG148)</f>
        <v>4.14560383420167E-5</v>
      </c>
      <c r="AI148" s="31">
        <f t="shared" ref="AI148:AI211" si="120">IMARGUMENT(AG148)</f>
        <v>1.5707963267948966</v>
      </c>
      <c r="AJ148" s="31" t="str">
        <f t="shared" si="106"/>
        <v>1+0.00299459058938279i</v>
      </c>
      <c r="AK148" s="31">
        <f t="shared" ref="AK148:AK211" si="121">IMABS(AJ148)</f>
        <v>1.0000044837763469</v>
      </c>
      <c r="AL148" s="31">
        <f t="shared" ref="AL148:AL211" si="122">IMARGUMENT(AJ148)</f>
        <v>2.9945816380279162E-3</v>
      </c>
      <c r="AM148" s="31" t="str">
        <f t="shared" si="107"/>
        <v>1+1.45625178837809i</v>
      </c>
      <c r="AN148" s="31">
        <f t="shared" ref="AN148:AN211" si="123">IMABS(AM148)</f>
        <v>1.7665416131963565</v>
      </c>
      <c r="AO148" s="31">
        <f t="shared" ref="AO148:AO211" si="124">IMARGUMENT(AM148)</f>
        <v>0.96905620091145661</v>
      </c>
      <c r="AP148" s="58" t="str">
        <f t="shared" ref="AP148:AP211" si="125">IMPRODUCT(AF148,IMDIV(AM148,IMPRODUCT(AG148,AJ148)))</f>
        <v>-0.0490427626531629+0.0338939536841673i</v>
      </c>
      <c r="AQ148" s="49">
        <f t="shared" ref="AQ148:AQ211" si="126">20*LOG(IMABS(AP148))</f>
        <v>-24.492834728598588</v>
      </c>
      <c r="AR148" s="61">
        <f t="shared" ref="AR148:AR211" si="127">(180/PI())*IMARGUMENT(AP148)</f>
        <v>145.35125353394167</v>
      </c>
      <c r="AS148" s="58" t="str">
        <f t="shared" ref="AS148:AS211" si="128">IMPRODUCT(AC148,AP148)</f>
        <v>27.8970895408735+42.6735660713923i</v>
      </c>
      <c r="AT148" s="64">
        <f t="shared" ref="AT148:AT211" si="129">20*LOG(IMABS(AS148))</f>
        <v>34.148532065200243</v>
      </c>
      <c r="AU148" s="61">
        <f t="shared" ref="AU148:AU211" si="130">(180/PI())*IMARGUMENT(AS148)</f>
        <v>56.82605731842196</v>
      </c>
    </row>
    <row r="149" spans="14:47" x14ac:dyDescent="0.4">
      <c r="N149" s="10">
        <v>31</v>
      </c>
      <c r="O149" s="50">
        <f t="shared" si="98"/>
        <v>204.17379446695315</v>
      </c>
      <c r="P149" s="48" t="str">
        <f t="shared" si="99"/>
        <v>5120.19230769231</v>
      </c>
      <c r="Q149" s="17" t="str">
        <f t="shared" si="100"/>
        <v>1+5.9949118053447i</v>
      </c>
      <c r="R149" s="17">
        <f t="shared" si="108"/>
        <v>6.0777436235712718</v>
      </c>
      <c r="S149" s="17">
        <f t="shared" si="109"/>
        <v>1.4055100170444896</v>
      </c>
      <c r="T149" s="17" t="str">
        <f t="shared" si="101"/>
        <v>1+0.0000128157892372036i</v>
      </c>
      <c r="U149" s="17">
        <f t="shared" si="110"/>
        <v>1.0000000000821223</v>
      </c>
      <c r="V149" s="17">
        <f t="shared" si="111"/>
        <v>1.2815789236501958E-5</v>
      </c>
      <c r="W149" s="31" t="str">
        <f t="shared" si="102"/>
        <v>1-0.0207823609251949i</v>
      </c>
      <c r="X149" s="17">
        <f t="shared" si="112"/>
        <v>1.0002159299499409</v>
      </c>
      <c r="Y149" s="17">
        <f t="shared" si="113"/>
        <v>-2.0779369687883766E-2</v>
      </c>
      <c r="Z149" s="31" t="str">
        <f t="shared" si="103"/>
        <v>0.999983325224661+0.126532815326896i</v>
      </c>
      <c r="AA149" s="17">
        <f t="shared" si="114"/>
        <v>1.0079569455497197</v>
      </c>
      <c r="AB149" s="17">
        <f t="shared" si="115"/>
        <v>0.12586601897651858</v>
      </c>
      <c r="AC149" s="66" t="str">
        <f t="shared" si="116"/>
        <v>15.5932392196813-835.834163647218i</v>
      </c>
      <c r="AD149" s="64">
        <f t="shared" si="117"/>
        <v>58.443913634958911</v>
      </c>
      <c r="AE149" s="61">
        <f t="shared" si="118"/>
        <v>-88.931219604901145</v>
      </c>
      <c r="AF149" s="31" t="str">
        <f t="shared" si="104"/>
        <v>-1.39902068552014E-06</v>
      </c>
      <c r="AG149" s="31" t="str">
        <f t="shared" si="105"/>
        <v>0.0000424216735231079i</v>
      </c>
      <c r="AH149" s="31">
        <f t="shared" si="119"/>
        <v>4.2421673523107897E-5</v>
      </c>
      <c r="AI149" s="31">
        <f t="shared" si="120"/>
        <v>1.5707963267948966</v>
      </c>
      <c r="AJ149" s="31" t="str">
        <f t="shared" si="106"/>
        <v>1+0.00306434356486529i</v>
      </c>
      <c r="AK149" s="31">
        <f t="shared" si="121"/>
        <v>1.0000046950897199</v>
      </c>
      <c r="AL149" s="31">
        <f t="shared" si="122"/>
        <v>3.0643339733181672E-3</v>
      </c>
      <c r="AM149" s="31" t="str">
        <f t="shared" si="107"/>
        <v>1+1.49017225004361i</v>
      </c>
      <c r="AN149" s="31">
        <f t="shared" si="123"/>
        <v>1.7946067354158781</v>
      </c>
      <c r="AO149" s="31">
        <f t="shared" si="124"/>
        <v>0.97975603086289753</v>
      </c>
      <c r="AP149" s="58" t="str">
        <f t="shared" si="125"/>
        <v>-0.0490427419264791+0.0331291969305447i</v>
      </c>
      <c r="AQ149" s="49">
        <f t="shared" si="126"/>
        <v>-24.555928141596716</v>
      </c>
      <c r="AR149" s="61">
        <f t="shared" si="127"/>
        <v>145.96031211724357</v>
      </c>
      <c r="AS149" s="58" t="str">
        <f t="shared" si="128"/>
        <v>26.9257794018971+41.5081906739789i</v>
      </c>
      <c r="AT149" s="64">
        <f t="shared" si="129"/>
        <v>33.887985493362187</v>
      </c>
      <c r="AU149" s="61">
        <f t="shared" si="130"/>
        <v>57.029092512342459</v>
      </c>
    </row>
    <row r="150" spans="14:47" x14ac:dyDescent="0.4">
      <c r="N150" s="10">
        <v>32</v>
      </c>
      <c r="O150" s="50">
        <f t="shared" si="98"/>
        <v>208.92961308540396</v>
      </c>
      <c r="P150" s="48" t="str">
        <f t="shared" si="99"/>
        <v>5120.19230769231</v>
      </c>
      <c r="Q150" s="17" t="str">
        <f t="shared" si="100"/>
        <v>1+6.13455123975043i</v>
      </c>
      <c r="R150" s="17">
        <f t="shared" si="108"/>
        <v>6.2155224167501437</v>
      </c>
      <c r="S150" s="17">
        <f t="shared" si="109"/>
        <v>1.409206502967467</v>
      </c>
      <c r="T150" s="17" t="str">
        <f t="shared" si="101"/>
        <v>1+0.0000131143073169776i</v>
      </c>
      <c r="U150" s="17">
        <f t="shared" si="110"/>
        <v>1.0000000000859925</v>
      </c>
      <c r="V150" s="17">
        <f t="shared" si="111"/>
        <v>1.3114307316225778E-5</v>
      </c>
      <c r="W150" s="31" t="str">
        <f t="shared" si="102"/>
        <v>1-0.0212664442978015i</v>
      </c>
      <c r="X150" s="17">
        <f t="shared" si="112"/>
        <v>1.0002261052647403</v>
      </c>
      <c r="Y150" s="17">
        <f t="shared" si="113"/>
        <v>-2.1263239168406469E-2</v>
      </c>
      <c r="Z150" s="31" t="str">
        <f t="shared" si="103"/>
        <v>0.99998253936671+0.129480143217568i</v>
      </c>
      <c r="AA150" s="17">
        <f t="shared" si="114"/>
        <v>1.0083303955182228</v>
      </c>
      <c r="AB150" s="17">
        <f t="shared" si="115"/>
        <v>0.1287659764700809</v>
      </c>
      <c r="AC150" s="66" t="str">
        <f t="shared" si="116"/>
        <v>9.4573036049086-817.099367318609i</v>
      </c>
      <c r="AD150" s="64">
        <f t="shared" si="117"/>
        <v>58.246079239497213</v>
      </c>
      <c r="AE150" s="61">
        <f t="shared" si="118"/>
        <v>-89.336874547708774</v>
      </c>
      <c r="AF150" s="31" t="str">
        <f t="shared" si="104"/>
        <v>-1.39902068552014E-06</v>
      </c>
      <c r="AG150" s="31" t="str">
        <f t="shared" si="105"/>
        <v>0.0000434098012370183i</v>
      </c>
      <c r="AH150" s="31">
        <f t="shared" si="119"/>
        <v>4.3409801237018299E-5</v>
      </c>
      <c r="AI150" s="31">
        <f t="shared" si="120"/>
        <v>1.5707963267948966</v>
      </c>
      <c r="AJ150" s="31" t="str">
        <f t="shared" si="106"/>
        <v>1+0.00313572129586729i</v>
      </c>
      <c r="AK150" s="31">
        <f t="shared" si="121"/>
        <v>1.0000049163619373</v>
      </c>
      <c r="AL150" s="31">
        <f t="shared" si="122"/>
        <v>3.1357110183421093E-3</v>
      </c>
      <c r="AM150" s="31" t="str">
        <f t="shared" si="107"/>
        <v>1+1.52488282076088i</v>
      </c>
      <c r="AN150" s="31">
        <f t="shared" si="123"/>
        <v>1.8235316331370997</v>
      </c>
      <c r="AO150" s="31">
        <f t="shared" si="124"/>
        <v>0.99036290225435342</v>
      </c>
      <c r="AP150" s="58" t="str">
        <f t="shared" si="125"/>
        <v>-0.0490427202229959+0.0323820057096632i</v>
      </c>
      <c r="AQ150" s="49">
        <f t="shared" si="126"/>
        <v>-24.617049901259975</v>
      </c>
      <c r="AR150" s="61">
        <f t="shared" si="127"/>
        <v>146.56395147837804</v>
      </c>
      <c r="AS150" s="58" t="str">
        <f t="shared" si="128"/>
        <v>25.9955044831139+40.3790221251257i</v>
      </c>
      <c r="AT150" s="64">
        <f t="shared" si="129"/>
        <v>33.629029338237245</v>
      </c>
      <c r="AU150" s="61">
        <f t="shared" si="130"/>
        <v>57.227076930669305</v>
      </c>
    </row>
    <row r="151" spans="14:47" x14ac:dyDescent="0.4">
      <c r="N151" s="10">
        <v>33</v>
      </c>
      <c r="O151" s="50">
        <f t="shared" si="98"/>
        <v>213.79620895022339</v>
      </c>
      <c r="P151" s="48" t="str">
        <f t="shared" si="99"/>
        <v>5120.19230769231</v>
      </c>
      <c r="Q151" s="17" t="str">
        <f t="shared" si="100"/>
        <v>1+6.27744329442381i</v>
      </c>
      <c r="R151" s="17">
        <f t="shared" si="108"/>
        <v>6.3565945532735109</v>
      </c>
      <c r="S151" s="17">
        <f t="shared" si="109"/>
        <v>1.4128231562753306</v>
      </c>
      <c r="T151" s="17" t="str">
        <f t="shared" si="101"/>
        <v>1+0.0000134197787760793i</v>
      </c>
      <c r="U151" s="17">
        <f t="shared" si="110"/>
        <v>1.0000000000900453</v>
      </c>
      <c r="V151" s="17">
        <f t="shared" si="111"/>
        <v>1.341977877527371E-5</v>
      </c>
      <c r="W151" s="31" t="str">
        <f t="shared" si="102"/>
        <v>1-0.0217618034206692i</v>
      </c>
      <c r="X151" s="17">
        <f t="shared" si="112"/>
        <v>1.0002367600164073</v>
      </c>
      <c r="Y151" s="17">
        <f t="shared" si="113"/>
        <v>-2.1758369106550362E-2</v>
      </c>
      <c r="Z151" s="31" t="str">
        <f t="shared" si="103"/>
        <v>0.999981716472415+0.132496123194046i</v>
      </c>
      <c r="AA151" s="17">
        <f t="shared" si="114"/>
        <v>1.0087212974556299</v>
      </c>
      <c r="AB151" s="17">
        <f t="shared" si="115"/>
        <v>0.13173123661672997</v>
      </c>
      <c r="AC151" s="66" t="str">
        <f t="shared" si="116"/>
        <v>3.59180968064022-798.709759489232i</v>
      </c>
      <c r="AD151" s="64">
        <f t="shared" si="117"/>
        <v>58.047867649883678</v>
      </c>
      <c r="AE151" s="61">
        <f t="shared" si="118"/>
        <v>-89.742341763313561</v>
      </c>
      <c r="AF151" s="31" t="str">
        <f t="shared" si="104"/>
        <v>-1.39902068552014E-06</v>
      </c>
      <c r="AG151" s="31" t="str">
        <f t="shared" si="105"/>
        <v>0.0000444209454021413i</v>
      </c>
      <c r="AH151" s="31">
        <f t="shared" si="119"/>
        <v>4.4420945402141302E-5</v>
      </c>
      <c r="AI151" s="31">
        <f t="shared" si="120"/>
        <v>1.5707963267948966</v>
      </c>
      <c r="AJ151" s="31" t="str">
        <f t="shared" si="106"/>
        <v>1+0.00320876162780652i</v>
      </c>
      <c r="AK151" s="31">
        <f t="shared" si="121"/>
        <v>1.0000051480623409</v>
      </c>
      <c r="AL151" s="31">
        <f t="shared" si="122"/>
        <v>3.208750615242941E-3</v>
      </c>
      <c r="AM151" s="31" t="str">
        <f t="shared" si="107"/>
        <v>1+1.56040190453391i</v>
      </c>
      <c r="AN151" s="31">
        <f t="shared" si="123"/>
        <v>1.8533359392385</v>
      </c>
      <c r="AO151" s="31">
        <f t="shared" si="124"/>
        <v>1.0008728922069663</v>
      </c>
      <c r="AP151" s="58" t="str">
        <f t="shared" si="125"/>
        <v>-0.0490426974966791+0.031651983850419i</v>
      </c>
      <c r="AQ151" s="49">
        <f t="shared" si="126"/>
        <v>-24.676234993639202</v>
      </c>
      <c r="AR151" s="61">
        <f t="shared" si="127"/>
        <v>147.16194468474794</v>
      </c>
      <c r="AS151" s="58" t="str">
        <f t="shared" si="128"/>
        <v>25.1045963728919+39.2845690242811i</v>
      </c>
      <c r="AT151" s="64">
        <f t="shared" si="129"/>
        <v>33.371632656244465</v>
      </c>
      <c r="AU151" s="61">
        <f t="shared" si="130"/>
        <v>57.419602921434397</v>
      </c>
    </row>
    <row r="152" spans="14:47" x14ac:dyDescent="0.4">
      <c r="N152" s="10">
        <v>34</v>
      </c>
      <c r="O152" s="50">
        <f t="shared" si="98"/>
        <v>218.77616239495524</v>
      </c>
      <c r="P152" s="48" t="str">
        <f t="shared" si="99"/>
        <v>5120.19230769231</v>
      </c>
      <c r="Q152" s="17" t="str">
        <f t="shared" si="100"/>
        <v>1+6.4236637326237i</v>
      </c>
      <c r="R152" s="17">
        <f t="shared" si="108"/>
        <v>6.501034975280862</v>
      </c>
      <c r="S152" s="17">
        <f t="shared" si="109"/>
        <v>1.4163615159210456</v>
      </c>
      <c r="T152" s="17" t="str">
        <f t="shared" si="101"/>
        <v>1+0.00001373236557952i</v>
      </c>
      <c r="U152" s="17">
        <f t="shared" si="110"/>
        <v>1.000000000094289</v>
      </c>
      <c r="V152" s="17">
        <f t="shared" si="111"/>
        <v>1.3732365578656794E-5</v>
      </c>
      <c r="W152" s="31" t="str">
        <f t="shared" si="102"/>
        <v>1-0.0222687009397621i</v>
      </c>
      <c r="X152" s="17">
        <f t="shared" si="112"/>
        <v>1.0002479167894049</v>
      </c>
      <c r="Y152" s="17">
        <f t="shared" si="113"/>
        <v>-2.2265021055142765E-2</v>
      </c>
      <c r="Z152" s="31" t="str">
        <f t="shared" si="103"/>
        <v>0.999980854796307+0.135582354368835i</v>
      </c>
      <c r="AA152" s="17">
        <f t="shared" si="114"/>
        <v>1.0091304597401414</v>
      </c>
      <c r="AB152" s="17">
        <f t="shared" si="115"/>
        <v>0.13476316360641868</v>
      </c>
      <c r="AC152" s="66" t="str">
        <f t="shared" si="116"/>
        <v>-2.01383076371122-780.661327340276i</v>
      </c>
      <c r="AD152" s="64">
        <f t="shared" si="117"/>
        <v>57.849282213844724</v>
      </c>
      <c r="AE152" s="61">
        <f t="shared" si="118"/>
        <v>-90.147802566145288</v>
      </c>
      <c r="AF152" s="31" t="str">
        <f t="shared" si="104"/>
        <v>-1.39902068552014E-06</v>
      </c>
      <c r="AG152" s="31" t="str">
        <f t="shared" si="105"/>
        <v>0.0000454556421404971i</v>
      </c>
      <c r="AH152" s="31">
        <f t="shared" si="119"/>
        <v>4.5455642140497098E-5</v>
      </c>
      <c r="AI152" s="31">
        <f t="shared" si="120"/>
        <v>1.5707963267948966</v>
      </c>
      <c r="AJ152" s="31" t="str">
        <f t="shared" si="106"/>
        <v>1+0.0032835032876338i</v>
      </c>
      <c r="AK152" s="31">
        <f t="shared" si="121"/>
        <v>1.0000053906823902</v>
      </c>
      <c r="AL152" s="31">
        <f t="shared" si="122"/>
        <v>3.2834914874627606E-3</v>
      </c>
      <c r="AM152" s="31" t="str">
        <f t="shared" si="107"/>
        <v>1+1.59674833405109i</v>
      </c>
      <c r="AN152" s="31">
        <f t="shared" si="123"/>
        <v>1.8840396074114076</v>
      </c>
      <c r="AO152" s="31">
        <f t="shared" si="124"/>
        <v>1.0112822855932793</v>
      </c>
      <c r="AP152" s="58" t="str">
        <f t="shared" si="125"/>
        <v>-0.0490426736993269+0.0309387442851007i</v>
      </c>
      <c r="AQ152" s="49">
        <f t="shared" si="126"/>
        <v>-24.73351948011285</v>
      </c>
      <c r="AR152" s="61">
        <f t="shared" si="127"/>
        <v>147.75407665653975</v>
      </c>
      <c r="AS152" s="58" t="str">
        <f t="shared" si="128"/>
        <v>24.2514448248784+38.2234133514007i</v>
      </c>
      <c r="AT152" s="64">
        <f t="shared" si="129"/>
        <v>33.11576273373187</v>
      </c>
      <c r="AU152" s="61">
        <f t="shared" si="130"/>
        <v>57.60627409039455</v>
      </c>
    </row>
    <row r="153" spans="14:47" x14ac:dyDescent="0.4">
      <c r="N153" s="10">
        <v>35</v>
      </c>
      <c r="O153" s="50">
        <f t="shared" si="98"/>
        <v>223.87211385683412</v>
      </c>
      <c r="P153" s="48" t="str">
        <f t="shared" si="99"/>
        <v>5120.19230769231</v>
      </c>
      <c r="Q153" s="17" t="str">
        <f t="shared" si="100"/>
        <v>1+6.57329008236188i</v>
      </c>
      <c r="R153" s="17">
        <f t="shared" si="108"/>
        <v>6.6489204016048395</v>
      </c>
      <c r="S153" s="17">
        <f t="shared" si="109"/>
        <v>1.4198231034065421</v>
      </c>
      <c r="T153" s="17" t="str">
        <f t="shared" si="101"/>
        <v>1+0.0000140522334649603i</v>
      </c>
      <c r="U153" s="17">
        <f t="shared" si="110"/>
        <v>1.0000000000987326</v>
      </c>
      <c r="V153" s="17">
        <f t="shared" si="111"/>
        <v>1.4052233464035356E-5</v>
      </c>
      <c r="W153" s="31" t="str">
        <f t="shared" si="102"/>
        <v>1-0.0227874056188545i</v>
      </c>
      <c r="X153" s="17">
        <f t="shared" si="112"/>
        <v>1.0002595992315386</v>
      </c>
      <c r="Y153" s="17">
        <f t="shared" si="113"/>
        <v>-2.2783462606711817E-2</v>
      </c>
      <c r="Z153" s="31" t="str">
        <f t="shared" si="103"/>
        <v>0.999979952510655+0.138740473102555i</v>
      </c>
      <c r="AA153" s="17">
        <f t="shared" si="114"/>
        <v>1.0095587275141216</v>
      </c>
      <c r="AB153" s="17">
        <f t="shared" si="115"/>
        <v>0.13786314262872584</v>
      </c>
      <c r="AC153" s="66" t="str">
        <f t="shared" si="116"/>
        <v>-7.36981374207511-762.949896910529i</v>
      </c>
      <c r="AD153" s="64">
        <f t="shared" si="117"/>
        <v>57.650325588076711</v>
      </c>
      <c r="AE153" s="61">
        <f t="shared" si="118"/>
        <v>-90.553438819786095</v>
      </c>
      <c r="AF153" s="31" t="str">
        <f t="shared" si="104"/>
        <v>-1.39902068552014E-06</v>
      </c>
      <c r="AG153" s="31" t="str">
        <f t="shared" si="105"/>
        <v>0.0000465144400619925i</v>
      </c>
      <c r="AH153" s="31">
        <f t="shared" si="119"/>
        <v>4.6514440061992497E-5</v>
      </c>
      <c r="AI153" s="31">
        <f t="shared" si="120"/>
        <v>1.5707963267948966</v>
      </c>
      <c r="AJ153" s="31" t="str">
        <f t="shared" si="106"/>
        <v>1+0.00335998590436649i</v>
      </c>
      <c r="AK153" s="31">
        <f t="shared" si="121"/>
        <v>1.0000056447367072</v>
      </c>
      <c r="AL153" s="31">
        <f t="shared" si="122"/>
        <v>3.3599732602592708E-3</v>
      </c>
      <c r="AM153" s="31" t="str">
        <f t="shared" si="107"/>
        <v>1+1.63394138067046i</v>
      </c>
      <c r="AN153" s="31">
        <f t="shared" si="123"/>
        <v>1.9156629232376161</v>
      </c>
      <c r="AO153" s="31">
        <f t="shared" si="124"/>
        <v>1.0215875779999237</v>
      </c>
      <c r="AP153" s="58" t="str">
        <f t="shared" si="125"/>
        <v>-0.0490426487804652+0.030241908844158i</v>
      </c>
      <c r="AQ153" s="49">
        <f t="shared" si="126"/>
        <v>-24.788940382775483</v>
      </c>
      <c r="AR153" s="61">
        <f t="shared" si="127"/>
        <v>148.34014433529782</v>
      </c>
      <c r="AS153" s="58" t="str">
        <f t="shared" si="128"/>
        <v>23.434496421958+37.194206595889i</v>
      </c>
      <c r="AT153" s="64">
        <f t="shared" si="129"/>
        <v>32.861385205301232</v>
      </c>
      <c r="AU153" s="61">
        <f t="shared" si="130"/>
        <v>57.786705515511748</v>
      </c>
    </row>
    <row r="154" spans="14:47" x14ac:dyDescent="0.4">
      <c r="N154" s="10">
        <v>36</v>
      </c>
      <c r="O154" s="50">
        <f t="shared" si="98"/>
        <v>229.08676527677744</v>
      </c>
      <c r="P154" s="48" t="str">
        <f t="shared" si="99"/>
        <v>5120.19230769231</v>
      </c>
      <c r="Q154" s="17" t="str">
        <f t="shared" si="100"/>
        <v>1+6.72640167750949i</v>
      </c>
      <c r="R154" s="17">
        <f t="shared" si="108"/>
        <v>6.8003293690234212</v>
      </c>
      <c r="S154" s="17">
        <f t="shared" si="109"/>
        <v>1.4232094221103733</v>
      </c>
      <c r="T154" s="17" t="str">
        <f t="shared" si="101"/>
        <v>1+0.000014379552030587i</v>
      </c>
      <c r="U154" s="17">
        <f t="shared" si="110"/>
        <v>1.0000000001033857</v>
      </c>
      <c r="V154" s="17">
        <f t="shared" si="111"/>
        <v>1.4379552029595906E-5</v>
      </c>
      <c r="W154" s="31" t="str">
        <f t="shared" si="102"/>
        <v>1-0.0233181924820329i</v>
      </c>
      <c r="X154" s="17">
        <f t="shared" si="112"/>
        <v>1.0002718321039683</v>
      </c>
      <c r="Y154" s="17">
        <f t="shared" si="113"/>
        <v>-2.331396753041081E-2</v>
      </c>
      <c r="Z154" s="31" t="str">
        <f t="shared" si="103"/>
        <v>0.99997900770159+0.14197215387156i</v>
      </c>
      <c r="AA154" s="17">
        <f t="shared" si="114"/>
        <v>1.0100069842920822</v>
      </c>
      <c r="AB154" s="17">
        <f t="shared" si="115"/>
        <v>0.14103257964390012</v>
      </c>
      <c r="AC154" s="66" t="str">
        <f t="shared" si="116"/>
        <v>-12.4859520244905-745.571151245575i</v>
      </c>
      <c r="AD154" s="64">
        <f t="shared" si="117"/>
        <v>57.450999741264113</v>
      </c>
      <c r="AE154" s="61">
        <f t="shared" si="118"/>
        <v>-90.959432893170359</v>
      </c>
      <c r="AF154" s="31" t="str">
        <f t="shared" si="104"/>
        <v>-1.39902068552014E-06</v>
      </c>
      <c r="AG154" s="31" t="str">
        <f t="shared" si="105"/>
        <v>0.0000475979005553001i</v>
      </c>
      <c r="AH154" s="31">
        <f t="shared" si="119"/>
        <v>4.7597900555300103E-5</v>
      </c>
      <c r="AI154" s="31">
        <f t="shared" si="120"/>
        <v>1.5707963267948966</v>
      </c>
      <c r="AJ154" s="31" t="str">
        <f t="shared" si="106"/>
        <v>1+0.00343825003010034i</v>
      </c>
      <c r="AK154" s="31">
        <f t="shared" si="121"/>
        <v>1.0000059107641661</v>
      </c>
      <c r="AL154" s="31">
        <f t="shared" si="122"/>
        <v>3.4382364816996822E-3</v>
      </c>
      <c r="AM154" s="31" t="str">
        <f t="shared" si="107"/>
        <v>1+1.67200076463762i</v>
      </c>
      <c r="AN154" s="31">
        <f t="shared" si="123"/>
        <v>1.9482265158211931</v>
      </c>
      <c r="AO154" s="31">
        <f t="shared" si="124"/>
        <v>1.0317854777516786</v>
      </c>
      <c r="AP154" s="58" t="str">
        <f t="shared" si="125"/>
        <v>-0.0490426226872403+0.0295611080556896i</v>
      </c>
      <c r="AQ154" s="49">
        <f t="shared" si="126"/>
        <v>-24.842535570503259</v>
      </c>
      <c r="AR154" s="61">
        <f t="shared" si="127"/>
        <v>148.9199567986912</v>
      </c>
      <c r="AS154" s="58" t="str">
        <f t="shared" si="128"/>
        <v>22.6522531992034+36.195666080054i</v>
      </c>
      <c r="AT154" s="64">
        <f t="shared" si="129"/>
        <v>32.608464170760854</v>
      </c>
      <c r="AU154" s="61">
        <f t="shared" si="130"/>
        <v>57.960523905520851</v>
      </c>
    </row>
    <row r="155" spans="14:47" x14ac:dyDescent="0.4">
      <c r="N155" s="10">
        <v>37</v>
      </c>
      <c r="O155" s="50">
        <f t="shared" si="98"/>
        <v>234.42288153199232</v>
      </c>
      <c r="P155" s="48" t="str">
        <f t="shared" si="99"/>
        <v>5120.19230769231</v>
      </c>
      <c r="Q155" s="17" t="str">
        <f t="shared" si="100"/>
        <v>1+6.88307969986093i</v>
      </c>
      <c r="R155" s="17">
        <f t="shared" si="108"/>
        <v>6.9553422744418274</v>
      </c>
      <c r="S155" s="17">
        <f t="shared" si="109"/>
        <v>1.4265219566913814</v>
      </c>
      <c r="T155" s="17" t="str">
        <f t="shared" si="101"/>
        <v>1+0.000014714494825036i</v>
      </c>
      <c r="U155" s="17">
        <f t="shared" si="110"/>
        <v>1.0000000001082583</v>
      </c>
      <c r="V155" s="17">
        <f t="shared" si="111"/>
        <v>1.4714494823974023E-5</v>
      </c>
      <c r="W155" s="31" t="str">
        <f t="shared" si="102"/>
        <v>1-0.0238613429595179i</v>
      </c>
      <c r="X155" s="17">
        <f t="shared" si="112"/>
        <v>1.0002846413335715</v>
      </c>
      <c r="Y155" s="17">
        <f t="shared" si="113"/>
        <v>-2.3856815911864542E-2</v>
      </c>
      <c r="Z155" s="31" t="str">
        <f t="shared" si="103"/>
        <v>0.999978018365046+0.145279110155772i</v>
      </c>
      <c r="AA155" s="17">
        <f t="shared" si="114"/>
        <v>1.0104761536329974</v>
      </c>
      <c r="AB155" s="17">
        <f t="shared" si="115"/>
        <v>0.14427290110334998</v>
      </c>
      <c r="AC155" s="66" t="str">
        <f t="shared" si="116"/>
        <v>-17.3716843039182-728.520647471831i</v>
      </c>
      <c r="AD155" s="64">
        <f t="shared" si="117"/>
        <v>57.251305956392471</v>
      </c>
      <c r="AE155" s="61">
        <f t="shared" si="118"/>
        <v>-91.365967618409741</v>
      </c>
      <c r="AF155" s="31" t="str">
        <f t="shared" si="104"/>
        <v>-1.39902068552014E-06</v>
      </c>
      <c r="AG155" s="31" t="str">
        <f t="shared" si="105"/>
        <v>0.0000487065980855148i</v>
      </c>
      <c r="AH155" s="31">
        <f t="shared" si="119"/>
        <v>4.87065980855148E-5</v>
      </c>
      <c r="AI155" s="31">
        <f t="shared" si="120"/>
        <v>1.5707963267948966</v>
      </c>
      <c r="AJ155" s="31" t="str">
        <f t="shared" si="106"/>
        <v>1+0.00351833716151075i</v>
      </c>
      <c r="AK155" s="31">
        <f t="shared" si="121"/>
        <v>1.0000061893290373</v>
      </c>
      <c r="AL155" s="31">
        <f t="shared" si="122"/>
        <v>3.5183226441427426E-3</v>
      </c>
      <c r="AM155" s="31" t="str">
        <f t="shared" si="107"/>
        <v>1+1.71094666554173i</v>
      </c>
      <c r="AN155" s="31">
        <f t="shared" si="123"/>
        <v>1.981751369957484</v>
      </c>
      <c r="AO155" s="31">
        <f t="shared" si="124"/>
        <v>1.041872907028077</v>
      </c>
      <c r="AP155" s="58" t="str">
        <f t="shared" si="125"/>
        <v>-0.0490425953643092+0.0288959809495414i</v>
      </c>
      <c r="AQ155" s="49">
        <f t="shared" si="126"/>
        <v>-24.894343646324103</v>
      </c>
      <c r="AR155" s="61">
        <f t="shared" si="127"/>
        <v>149.49333532326014</v>
      </c>
      <c r="AS155" s="58" t="str">
        <f t="shared" si="128"/>
        <v>21.9032712348072+35.2265714697981i</v>
      </c>
      <c r="AT155" s="64">
        <f t="shared" si="129"/>
        <v>32.356962310068376</v>
      </c>
      <c r="AU155" s="61">
        <f t="shared" si="130"/>
        <v>58.1273677048504</v>
      </c>
    </row>
    <row r="156" spans="14:47" x14ac:dyDescent="0.4">
      <c r="N156" s="10">
        <v>38</v>
      </c>
      <c r="O156" s="50">
        <f t="shared" si="98"/>
        <v>239.88329190194912</v>
      </c>
      <c r="P156" s="48" t="str">
        <f t="shared" si="99"/>
        <v>5120.19230769231</v>
      </c>
      <c r="Q156" s="17" t="str">
        <f t="shared" si="100"/>
        <v>1+7.04340722217763i</v>
      </c>
      <c r="R156" s="17">
        <f t="shared" si="108"/>
        <v>7.1140414180284335</v>
      </c>
      <c r="S156" s="17">
        <f t="shared" si="109"/>
        <v>1.429762172563664</v>
      </c>
      <c r="T156" s="17" t="str">
        <f t="shared" si="101"/>
        <v>1+0.0000150572394394109i</v>
      </c>
      <c r="U156" s="17">
        <f t="shared" si="110"/>
        <v>1.0000000001133602</v>
      </c>
      <c r="V156" s="17">
        <f t="shared" si="111"/>
        <v>1.5057239438272972E-5</v>
      </c>
      <c r="W156" s="31" t="str">
        <f t="shared" si="102"/>
        <v>1-0.0244171450368824i</v>
      </c>
      <c r="X156" s="17">
        <f t="shared" si="112"/>
        <v>1.0002980540677624</v>
      </c>
      <c r="Y156" s="17">
        <f t="shared" si="113"/>
        <v>-2.441229429598582E-2</v>
      </c>
      <c r="Z156" s="31" t="str">
        <f t="shared" si="103"/>
        <v>0.999976982402507+0.148663095347186i</v>
      </c>
      <c r="AA156" s="17">
        <f t="shared" si="114"/>
        <v>1.0109672008789554</v>
      </c>
      <c r="AB156" s="17">
        <f t="shared" si="115"/>
        <v>0.14758555361585299</v>
      </c>
      <c r="AC156" s="66" t="str">
        <f t="shared" si="116"/>
        <v>-22.0360845231759-711.793832842233i</v>
      </c>
      <c r="AD156" s="64">
        <f t="shared" si="117"/>
        <v>57.051244832348608</v>
      </c>
      <c r="AE156" s="61">
        <f t="shared" si="118"/>
        <v>-91.773226249763709</v>
      </c>
      <c r="AF156" s="31" t="str">
        <f t="shared" si="104"/>
        <v>-1.39902068552014E-06</v>
      </c>
      <c r="AG156" s="31" t="str">
        <f t="shared" si="105"/>
        <v>0.0000498411204987425i</v>
      </c>
      <c r="AH156" s="31">
        <f t="shared" si="119"/>
        <v>4.9841120498742501E-5</v>
      </c>
      <c r="AI156" s="31">
        <f t="shared" si="120"/>
        <v>1.5707963267948966</v>
      </c>
      <c r="AJ156" s="31" t="str">
        <f t="shared" si="106"/>
        <v>1+0.00360028976185492i</v>
      </c>
      <c r="AK156" s="31">
        <f t="shared" si="121"/>
        <v>1.0000064810221829</v>
      </c>
      <c r="AL156" s="31">
        <f t="shared" si="122"/>
        <v>3.600274206220284E-3</v>
      </c>
      <c r="AM156" s="31" t="str">
        <f t="shared" si="107"/>
        <v>1+1.75079973301498i</v>
      </c>
      <c r="AN156" s="31">
        <f t="shared" si="123"/>
        <v>2.0162588388213765</v>
      </c>
      <c r="AO156" s="31">
        <f t="shared" si="124"/>
        <v>1.0518470021092883</v>
      </c>
      <c r="AP156" s="58" t="str">
        <f t="shared" si="125"/>
        <v>-0.0490425667537212+0.0282461748659129i</v>
      </c>
      <c r="AQ156" s="49">
        <f t="shared" si="126"/>
        <v>-24.944403836675775</v>
      </c>
      <c r="AR156" s="61">
        <f t="shared" si="127"/>
        <v>150.06011339724424</v>
      </c>
      <c r="AS156" s="58" t="str">
        <f t="shared" si="128"/>
        <v>21.1861592171586+34.2857614652506i</v>
      </c>
      <c r="AT156" s="64">
        <f t="shared" si="129"/>
        <v>32.106840995672826</v>
      </c>
      <c r="AU156" s="61">
        <f t="shared" si="130"/>
        <v>58.286887147480492</v>
      </c>
    </row>
    <row r="157" spans="14:47" x14ac:dyDescent="0.4">
      <c r="N157" s="10">
        <v>39</v>
      </c>
      <c r="O157" s="50">
        <f t="shared" si="98"/>
        <v>245.4708915685033</v>
      </c>
      <c r="P157" s="48" t="str">
        <f t="shared" si="99"/>
        <v>5120.19230769231</v>
      </c>
      <c r="Q157" s="17" t="str">
        <f t="shared" si="100"/>
        <v>1+7.207469252234i</v>
      </c>
      <c r="R157" s="17">
        <f t="shared" si="108"/>
        <v>7.2765110473288317</v>
      </c>
      <c r="S157" s="17">
        <f t="shared" si="109"/>
        <v>1.4329315154383278</v>
      </c>
      <c r="T157" s="17" t="str">
        <f t="shared" si="101"/>
        <v>1+0.0000154079676014425i</v>
      </c>
      <c r="U157" s="17">
        <f t="shared" si="110"/>
        <v>1.0000000001187028</v>
      </c>
      <c r="V157" s="17">
        <f t="shared" si="111"/>
        <v>1.5407967600223188E-5</v>
      </c>
      <c r="W157" s="31" t="str">
        <f t="shared" si="102"/>
        <v>1-0.0249858934077445i</v>
      </c>
      <c r="X157" s="17">
        <f t="shared" si="112"/>
        <v>1.0003120987318823</v>
      </c>
      <c r="Y157" s="17">
        <f t="shared" si="113"/>
        <v>-2.498069583281012E-2</v>
      </c>
      <c r="Z157" s="31" t="str">
        <f t="shared" si="103"/>
        <v>0.999975897616557+0.15212590367954i</v>
      </c>
      <c r="AA157" s="17">
        <f t="shared" si="114"/>
        <v>1.011481134962168</v>
      </c>
      <c r="AB157" s="17">
        <f t="shared" si="115"/>
        <v>0.15097200355559243</v>
      </c>
      <c r="AC157" s="66" t="str">
        <f t="shared" si="116"/>
        <v>-26.4878713133962-695.386059800349i</v>
      </c>
      <c r="AD157" s="64">
        <f t="shared" si="117"/>
        <v>56.850816284804665</v>
      </c>
      <c r="AE157" s="61">
        <f t="shared" si="118"/>
        <v>-92.181392423276534</v>
      </c>
      <c r="AF157" s="31" t="str">
        <f t="shared" si="104"/>
        <v>-1.39902068552014E-06</v>
      </c>
      <c r="AG157" s="31" t="str">
        <f t="shared" si="105"/>
        <v>0.0000510020693337838i</v>
      </c>
      <c r="AH157" s="31">
        <f t="shared" si="119"/>
        <v>5.1002069333783802E-5</v>
      </c>
      <c r="AI157" s="31">
        <f t="shared" si="120"/>
        <v>1.5707963267948966</v>
      </c>
      <c r="AJ157" s="31" t="str">
        <f t="shared" si="106"/>
        <v>1+0.00368415128348628i</v>
      </c>
      <c r="AK157" s="31">
        <f t="shared" si="121"/>
        <v>1.0000067864623117</v>
      </c>
      <c r="AL157" s="31">
        <f t="shared" si="122"/>
        <v>3.684134615329572E-3</v>
      </c>
      <c r="AM157" s="31" t="str">
        <f t="shared" si="107"/>
        <v>1+1.79158109768124i</v>
      </c>
      <c r="AN157" s="31">
        <f t="shared" si="123"/>
        <v>2.0517706571565735</v>
      </c>
      <c r="AO157" s="31">
        <f t="shared" si="124"/>
        <v>1.0617051127929285</v>
      </c>
      <c r="AP157" s="58" t="str">
        <f t="shared" si="125"/>
        <v>-0.0490425367947931+0.0276113452683691i</v>
      </c>
      <c r="AQ157" s="49">
        <f t="shared" si="126"/>
        <v>-24.992755883086364</v>
      </c>
      <c r="AR157" s="61">
        <f t="shared" si="127"/>
        <v>150.62013668587937</v>
      </c>
      <c r="AS157" s="58" t="str">
        <f t="shared" si="128"/>
        <v>20.4995769954612+33.3721306640865i</v>
      </c>
      <c r="AT157" s="64">
        <f t="shared" si="129"/>
        <v>31.858060401718298</v>
      </c>
      <c r="AU157" s="61">
        <f t="shared" si="130"/>
        <v>58.438744262602789</v>
      </c>
    </row>
    <row r="158" spans="14:47" x14ac:dyDescent="0.4">
      <c r="N158" s="10">
        <v>40</v>
      </c>
      <c r="O158" s="50">
        <f t="shared" si="98"/>
        <v>251.18864315095806</v>
      </c>
      <c r="P158" s="48" t="str">
        <f t="shared" si="99"/>
        <v>5120.19230769231</v>
      </c>
      <c r="Q158" s="17" t="str">
        <f t="shared" si="100"/>
        <v>1+7.37535277789009i</v>
      </c>
      <c r="R158" s="17">
        <f t="shared" si="108"/>
        <v>7.4428374023843267</v>
      </c>
      <c r="S158" s="17">
        <f t="shared" si="109"/>
        <v>1.4360314109277497</v>
      </c>
      <c r="T158" s="17" t="str">
        <f t="shared" si="101"/>
        <v>1+0.0000157668652718451i</v>
      </c>
      <c r="U158" s="17">
        <f t="shared" si="110"/>
        <v>1.000000000124297</v>
      </c>
      <c r="V158" s="17">
        <f t="shared" si="111"/>
        <v>1.5766865270538584E-5</v>
      </c>
      <c r="W158" s="31" t="str">
        <f t="shared" si="102"/>
        <v>1-0.025567889630019i</v>
      </c>
      <c r="X158" s="17">
        <f t="shared" si="112"/>
        <v>1.0003268050892833</v>
      </c>
      <c r="Y158" s="17">
        <f t="shared" si="113"/>
        <v>-2.556232042639987E-2</v>
      </c>
      <c r="Z158" s="31" t="str">
        <f t="shared" si="103"/>
        <v>0.999974761706221+0.155669371179651i</v>
      </c>
      <c r="AA158" s="17">
        <f t="shared" si="114"/>
        <v>1.0120190102823572</v>
      </c>
      <c r="AB158" s="17">
        <f t="shared" si="115"/>
        <v>0.15443373660793203</v>
      </c>
      <c r="AC158" s="66" t="str">
        <f t="shared" si="116"/>
        <v>-30.7354175004015-679.292600109203i</v>
      </c>
      <c r="AD158" s="64">
        <f t="shared" si="117"/>
        <v>56.650019546384165</v>
      </c>
      <c r="AE158" s="61">
        <f t="shared" si="118"/>
        <v>-92.590650116603967</v>
      </c>
      <c r="AF158" s="31" t="str">
        <f t="shared" si="104"/>
        <v>-1.39902068552014E-06</v>
      </c>
      <c r="AG158" s="31" t="str">
        <f t="shared" si="105"/>
        <v>0.0000521900601410781i</v>
      </c>
      <c r="AH158" s="31">
        <f t="shared" si="119"/>
        <v>5.2190060141078099E-5</v>
      </c>
      <c r="AI158" s="31">
        <f t="shared" si="120"/>
        <v>1.5707963267948966</v>
      </c>
      <c r="AJ158" s="31" t="str">
        <f t="shared" si="106"/>
        <v>1+0.00376996619089367i</v>
      </c>
      <c r="AK158" s="31">
        <f t="shared" si="121"/>
        <v>1.0000071062972904</v>
      </c>
      <c r="AL158" s="31">
        <f t="shared" si="122"/>
        <v>3.769948330648829E-3</v>
      </c>
      <c r="AM158" s="31" t="str">
        <f t="shared" si="107"/>
        <v>1+1.83331238235988i</v>
      </c>
      <c r="AN158" s="31">
        <f t="shared" si="123"/>
        <v>2.0883089549475335</v>
      </c>
      <c r="AO158" s="31">
        <f t="shared" si="124"/>
        <v>1.0714448010275868</v>
      </c>
      <c r="AP158" s="58" t="str">
        <f t="shared" si="125"/>
        <v>-0.0490425054239838+0.0269911555611598i</v>
      </c>
      <c r="AQ158" s="49">
        <f t="shared" si="126"/>
        <v>-25.039439936760147</v>
      </c>
      <c r="AR158" s="61">
        <f t="shared" si="127"/>
        <v>151.17326295178643</v>
      </c>
      <c r="AS158" s="58" t="str">
        <f t="shared" si="128"/>
        <v>19.8422341205641+32.4846265903371i</v>
      </c>
      <c r="AT158" s="64">
        <f t="shared" si="129"/>
        <v>31.610579609624018</v>
      </c>
      <c r="AU158" s="61">
        <f t="shared" si="130"/>
        <v>58.582612835182402</v>
      </c>
    </row>
    <row r="159" spans="14:47" x14ac:dyDescent="0.4">
      <c r="N159" s="10">
        <v>41</v>
      </c>
      <c r="O159" s="50">
        <f t="shared" si="98"/>
        <v>257.03957827688663</v>
      </c>
      <c r="P159" s="48" t="str">
        <f t="shared" si="99"/>
        <v>5120.19230769231</v>
      </c>
      <c r="Q159" s="17" t="str">
        <f t="shared" si="100"/>
        <v>1+7.54714681321331i</v>
      </c>
      <c r="R159" s="17">
        <f t="shared" si="108"/>
        <v>7.613108761878804</v>
      </c>
      <c r="S159" s="17">
        <f t="shared" si="109"/>
        <v>1.4390632642082053</v>
      </c>
      <c r="T159" s="17" t="str">
        <f t="shared" si="101"/>
        <v>1+0.0000161341227429138i</v>
      </c>
      <c r="U159" s="17">
        <f t="shared" si="110"/>
        <v>1.000000000130155</v>
      </c>
      <c r="V159" s="17">
        <f t="shared" si="111"/>
        <v>1.6134122741513844E-5</v>
      </c>
      <c r="W159" s="31" t="str">
        <f t="shared" si="102"/>
        <v>1-0.0261634422858061i</v>
      </c>
      <c r="X159" s="17">
        <f t="shared" si="112"/>
        <v>1.0003422043042285</v>
      </c>
      <c r="Y159" s="17">
        <f t="shared" si="113"/>
        <v>-2.6157474886862098E-2</v>
      </c>
      <c r="Z159" s="31" t="str">
        <f t="shared" si="103"/>
        <v>0.99997357226208+0.159295376640888i</v>
      </c>
      <c r="AA159" s="17">
        <f t="shared" si="114"/>
        <v>1.012581928656515</v>
      </c>
      <c r="AB159" s="17">
        <f t="shared" si="115"/>
        <v>0.15797225724860181</v>
      </c>
      <c r="AC159" s="66" t="str">
        <f t="shared" si="116"/>
        <v>-34.786759639982-663.508658090764i</v>
      </c>
      <c r="AD159" s="64">
        <f t="shared" si="117"/>
        <v>56.448853166114361</v>
      </c>
      <c r="AE159" s="61">
        <f t="shared" si="118"/>
        <v>-93.00118360854708</v>
      </c>
      <c r="AF159" s="31" t="str">
        <f t="shared" si="104"/>
        <v>-1.39902068552014E-06</v>
      </c>
      <c r="AG159" s="31" t="str">
        <f t="shared" si="105"/>
        <v>0.0000534057228090764i</v>
      </c>
      <c r="AH159" s="31">
        <f t="shared" si="119"/>
        <v>5.3405722809076401E-5</v>
      </c>
      <c r="AI159" s="31">
        <f t="shared" si="120"/>
        <v>1.5707963267948966</v>
      </c>
      <c r="AJ159" s="31" t="str">
        <f t="shared" si="106"/>
        <v>1+0.00385777998427685i</v>
      </c>
      <c r="AK159" s="31">
        <f t="shared" si="121"/>
        <v>1.0000074412055178</v>
      </c>
      <c r="AL159" s="31">
        <f t="shared" si="122"/>
        <v>3.8577608466873977E-3</v>
      </c>
      <c r="AM159" s="31" t="str">
        <f t="shared" si="107"/>
        <v>1+1.87601571353039i</v>
      </c>
      <c r="AN159" s="31">
        <f t="shared" si="123"/>
        <v>2.1258962715553498</v>
      </c>
      <c r="AO159" s="31">
        <f t="shared" si="124"/>
        <v>1.0810638388120912</v>
      </c>
      <c r="AP159" s="58" t="str">
        <f t="shared" si="125"/>
        <v>-0.0490424725747563+0.026385276910749i</v>
      </c>
      <c r="AQ159" s="49">
        <f t="shared" si="126"/>
        <v>-25.084496456502499</v>
      </c>
      <c r="AR159" s="61">
        <f t="shared" si="127"/>
        <v>151.71936193325789</v>
      </c>
      <c r="AS159" s="58" t="str">
        <f t="shared" si="128"/>
        <v>19.2128883820127+31.6222468816011i</v>
      </c>
      <c r="AT159" s="64">
        <f t="shared" si="129"/>
        <v>31.364356709611869</v>
      </c>
      <c r="AU159" s="61">
        <f t="shared" si="130"/>
        <v>58.718178324710912</v>
      </c>
    </row>
    <row r="160" spans="14:47" x14ac:dyDescent="0.4">
      <c r="N160" s="10">
        <v>42</v>
      </c>
      <c r="O160" s="50">
        <f t="shared" si="98"/>
        <v>263.02679918953817</v>
      </c>
      <c r="P160" s="48" t="str">
        <f t="shared" si="99"/>
        <v>5120.19230769231</v>
      </c>
      <c r="Q160" s="17" t="str">
        <f t="shared" si="100"/>
        <v>1+7.72294244567519i</v>
      </c>
      <c r="R160" s="17">
        <f t="shared" si="108"/>
        <v>7.7874154903415471</v>
      </c>
      <c r="S160" s="17">
        <f t="shared" si="109"/>
        <v>1.4420284597369846</v>
      </c>
      <c r="T160" s="17" t="str">
        <f t="shared" si="101"/>
        <v>1+0.0000165099347394212i</v>
      </c>
      <c r="U160" s="17">
        <f t="shared" si="110"/>
        <v>1.000000000136289</v>
      </c>
      <c r="V160" s="17">
        <f t="shared" si="111"/>
        <v>1.650993473792112E-5</v>
      </c>
      <c r="W160" s="31" t="str">
        <f t="shared" si="102"/>
        <v>1-0.0267728671450073i</v>
      </c>
      <c r="X160" s="17">
        <f t="shared" si="112"/>
        <v>1.0003583290077431</v>
      </c>
      <c r="Y160" s="17">
        <f t="shared" si="113"/>
        <v>-2.676647308553225E-2</v>
      </c>
      <c r="Z160" s="31" t="str">
        <f t="shared" si="103"/>
        <v>0.999972326761163+0.163005842619344i</v>
      </c>
      <c r="AA160" s="17">
        <f t="shared" si="114"/>
        <v>1.0131710413430581</v>
      </c>
      <c r="AB160" s="17">
        <f t="shared" si="115"/>
        <v>0.1615890881518442</v>
      </c>
      <c r="AC160" s="66" t="str">
        <f t="shared" si="116"/>
        <v>-38.6496075474993-648.029383021i</v>
      </c>
      <c r="AD160" s="64">
        <f t="shared" si="117"/>
        <v>56.247315008168982</v>
      </c>
      <c r="AE160" s="61">
        <f t="shared" si="118"/>
        <v>-93.413177437819044</v>
      </c>
      <c r="AF160" s="31" t="str">
        <f t="shared" si="104"/>
        <v>-1.39902068552014E-06</v>
      </c>
      <c r="AG160" s="31" t="str">
        <f t="shared" si="105"/>
        <v>0.0000546497018982162i</v>
      </c>
      <c r="AH160" s="31">
        <f t="shared" si="119"/>
        <v>5.4649701898216203E-5</v>
      </c>
      <c r="AI160" s="31">
        <f t="shared" si="120"/>
        <v>1.5707963267948966</v>
      </c>
      <c r="AJ160" s="31" t="str">
        <f t="shared" si="106"/>
        <v>1+0.00394763922367145i</v>
      </c>
      <c r="AK160" s="31">
        <f t="shared" si="121"/>
        <v>1.0000077918973633</v>
      </c>
      <c r="AL160" s="31">
        <f t="shared" si="122"/>
        <v>3.9476187173835258E-3</v>
      </c>
      <c r="AM160" s="31" t="str">
        <f t="shared" si="107"/>
        <v>1+1.91971373306423i</v>
      </c>
      <c r="AN160" s="31">
        <f t="shared" si="123"/>
        <v>2.1645555702996866</v>
      </c>
      <c r="AO160" s="31">
        <f t="shared" si="124"/>
        <v>1.0905602054122978</v>
      </c>
      <c r="AP160" s="58" t="str">
        <f t="shared" si="125"/>
        <v>-0.0490424381774401+0.025793388071459i</v>
      </c>
      <c r="AQ160" s="49">
        <f t="shared" si="126"/>
        <v>-25.127966110360845</v>
      </c>
      <c r="AR160" s="61">
        <f t="shared" si="127"/>
        <v>152.25831518341181</v>
      </c>
      <c r="AS160" s="58" t="str">
        <f t="shared" si="128"/>
        <v>18.6103443466994+30.7840366276898i</v>
      </c>
      <c r="AT160" s="64">
        <f t="shared" si="129"/>
        <v>31.119348897808138</v>
      </c>
      <c r="AU160" s="61">
        <f t="shared" si="130"/>
        <v>58.845137745592716</v>
      </c>
    </row>
    <row r="161" spans="14:47" x14ac:dyDescent="0.4">
      <c r="N161" s="10">
        <v>43</v>
      </c>
      <c r="O161" s="50">
        <f t="shared" si="98"/>
        <v>269.15348039269179</v>
      </c>
      <c r="P161" s="48" t="str">
        <f t="shared" si="99"/>
        <v>5120.19230769231</v>
      </c>
      <c r="Q161" s="17" t="str">
        <f t="shared" si="100"/>
        <v>1+7.90283288444703i</v>
      </c>
      <c r="R161" s="17">
        <f t="shared" si="108"/>
        <v>7.9658500864312893</v>
      </c>
      <c r="S161" s="17">
        <f t="shared" si="109"/>
        <v>1.4449283610202455</v>
      </c>
      <c r="T161" s="17" t="str">
        <f t="shared" si="101"/>
        <v>1+0.0000168945005218623i</v>
      </c>
      <c r="U161" s="17">
        <f t="shared" si="110"/>
        <v>1.0000000001427121</v>
      </c>
      <c r="V161" s="17">
        <f t="shared" si="111"/>
        <v>1.6894500520254933E-5</v>
      </c>
      <c r="W161" s="31" t="str">
        <f t="shared" si="102"/>
        <v>1-0.0273964873327497i</v>
      </c>
      <c r="X161" s="17">
        <f t="shared" si="112"/>
        <v>1.0003752133665516</v>
      </c>
      <c r="Y161" s="17">
        <f t="shared" si="113"/>
        <v>-2.738963611336544E-2</v>
      </c>
      <c r="Z161" s="31" t="str">
        <f t="shared" si="103"/>
        <v>0.999971022561597+0.166802736453195i</v>
      </c>
      <c r="AA161" s="17">
        <f t="shared" si="114"/>
        <v>1.0137875511423289</v>
      </c>
      <c r="AB161" s="17">
        <f t="shared" si="115"/>
        <v>0.16528576952278656</v>
      </c>
      <c r="AC161" s="66" t="str">
        <f t="shared" si="116"/>
        <v>-42.3313537911915-632.849880724732i</v>
      </c>
      <c r="AD161" s="64">
        <f t="shared" si="117"/>
        <v>56.045402249911902</v>
      </c>
      <c r="AE161" s="61">
        <f t="shared" si="118"/>
        <v>-93.826816360561267</v>
      </c>
      <c r="AF161" s="31" t="str">
        <f t="shared" si="104"/>
        <v>-1.39902068552014E-06</v>
      </c>
      <c r="AG161" s="31" t="str">
        <f t="shared" si="105"/>
        <v>0.0000559226569826769i</v>
      </c>
      <c r="AH161" s="31">
        <f t="shared" si="119"/>
        <v>5.5922656982676897E-5</v>
      </c>
      <c r="AI161" s="31">
        <f t="shared" si="120"/>
        <v>1.5707963267948966</v>
      </c>
      <c r="AJ161" s="31" t="str">
        <f t="shared" si="106"/>
        <v>1+0.00403959155363564i</v>
      </c>
      <c r="AK161" s="31">
        <f t="shared" si="121"/>
        <v>1.0000081591166745</v>
      </c>
      <c r="AL161" s="31">
        <f t="shared" si="122"/>
        <v>4.0395695807619331E-3</v>
      </c>
      <c r="AM161" s="31" t="str">
        <f t="shared" si="107"/>
        <v>1+1.96442961022976i</v>
      </c>
      <c r="AN161" s="31">
        <f t="shared" si="123"/>
        <v>2.204310253468746</v>
      </c>
      <c r="AO161" s="31">
        <f t="shared" si="124"/>
        <v>1.0999320839489193</v>
      </c>
      <c r="AP161" s="58" t="str">
        <f t="shared" si="125"/>
        <v>-0.0490424021590801+0.025215175215138i</v>
      </c>
      <c r="AQ161" s="49">
        <f t="shared" si="126"/>
        <v>-25.169889681309385</v>
      </c>
      <c r="AR161" s="61">
        <f t="shared" si="127"/>
        <v>152.79001587327542</v>
      </c>
      <c r="AS161" s="58" t="str">
        <f t="shared" si="128"/>
        <v>18.0334519039192+29.9690858538893i</v>
      </c>
      <c r="AT161" s="64">
        <f t="shared" si="129"/>
        <v>30.87551256860252</v>
      </c>
      <c r="AU161" s="61">
        <f t="shared" si="130"/>
        <v>58.963199512714191</v>
      </c>
    </row>
    <row r="162" spans="14:47" x14ac:dyDescent="0.4">
      <c r="N162" s="10">
        <v>44</v>
      </c>
      <c r="O162" s="50">
        <f t="shared" si="98"/>
        <v>275.42287033381683</v>
      </c>
      <c r="P162" s="48" t="str">
        <f t="shared" si="99"/>
        <v>5120.19230769231</v>
      </c>
      <c r="Q162" s="17" t="str">
        <f t="shared" si="100"/>
        <v>1+8.08691350982056i</v>
      </c>
      <c r="R162" s="17">
        <f t="shared" si="108"/>
        <v>8.1485072323290169</v>
      </c>
      <c r="S162" s="17">
        <f t="shared" si="109"/>
        <v>1.4477643104280868</v>
      </c>
      <c r="T162" s="17" t="str">
        <f t="shared" si="101"/>
        <v>1+0.0000172880239921053i</v>
      </c>
      <c r="U162" s="17">
        <f t="shared" si="110"/>
        <v>1.0000000001494378</v>
      </c>
      <c r="V162" s="17">
        <f t="shared" si="111"/>
        <v>1.7288023990382978E-5</v>
      </c>
      <c r="W162" s="31" t="str">
        <f t="shared" si="102"/>
        <v>1-0.0280346335007113i</v>
      </c>
      <c r="X162" s="17">
        <f t="shared" si="112"/>
        <v>1.0003928931552439</v>
      </c>
      <c r="Y162" s="17">
        <f t="shared" si="113"/>
        <v>-2.802729244258503E-2</v>
      </c>
      <c r="Z162" s="31" t="str">
        <f t="shared" si="103"/>
        <v>0.999969656896999+0.170688071305808i</v>
      </c>
      <c r="AA162" s="17">
        <f t="shared" si="114"/>
        <v>1.014432714575392</v>
      </c>
      <c r="AB162" s="17">
        <f t="shared" si="115"/>
        <v>0.16906385834916707</v>
      </c>
      <c r="AC162" s="66" t="str">
        <f t="shared" si="116"/>
        <v>-45.8390831223813-617.965224413309i</v>
      </c>
      <c r="AD162" s="64">
        <f t="shared" si="117"/>
        <v>55.843111379253976</v>
      </c>
      <c r="AE162" s="61">
        <f t="shared" si="118"/>
        <v>-94.242285306130455</v>
      </c>
      <c r="AF162" s="31" t="str">
        <f t="shared" si="104"/>
        <v>-1.39902068552014E-06</v>
      </c>
      <c r="AG162" s="31" t="str">
        <f t="shared" si="105"/>
        <v>0.0000572252630000937i</v>
      </c>
      <c r="AH162" s="31">
        <f t="shared" si="119"/>
        <v>5.7225263000093697E-5</v>
      </c>
      <c r="AI162" s="31">
        <f t="shared" si="120"/>
        <v>1.5707963267948966</v>
      </c>
      <c r="AJ162" s="31" t="str">
        <f t="shared" si="106"/>
        <v>1+0.00413368572851189i</v>
      </c>
      <c r="AK162" s="31">
        <f t="shared" si="121"/>
        <v>1.0000085436423543</v>
      </c>
      <c r="AL162" s="31">
        <f t="shared" si="122"/>
        <v>4.1336621841643858E-3</v>
      </c>
      <c r="AM162" s="31" t="str">
        <f t="shared" si="107"/>
        <v>1+2.01018705397693i</v>
      </c>
      <c r="AN162" s="31">
        <f t="shared" si="123"/>
        <v>2.245184177740537</v>
      </c>
      <c r="AO162" s="31">
        <f t="shared" si="124"/>
        <v>1.1091778574112694</v>
      </c>
      <c r="AP162" s="58" t="str">
        <f t="shared" si="125"/>
        <v>-0.0490423644432835+0.0246503317647608i</v>
      </c>
      <c r="AQ162" s="49">
        <f t="shared" si="126"/>
        <v>-25.210307977249546</v>
      </c>
      <c r="AR162" s="61">
        <f t="shared" si="127"/>
        <v>153.31436856194367</v>
      </c>
      <c r="AS162" s="58" t="str">
        <f t="shared" si="128"/>
        <v>17.4811048211067+29.1765271421938i</v>
      </c>
      <c r="AT162" s="64">
        <f t="shared" si="129"/>
        <v>30.632803402004427</v>
      </c>
      <c r="AU162" s="61">
        <f t="shared" si="130"/>
        <v>59.072083255813219</v>
      </c>
    </row>
    <row r="163" spans="14:47" x14ac:dyDescent="0.4">
      <c r="N163" s="10">
        <v>45</v>
      </c>
      <c r="O163" s="50">
        <f t="shared" si="98"/>
        <v>281.83829312644554</v>
      </c>
      <c r="P163" s="48" t="str">
        <f t="shared" si="99"/>
        <v>5120.19230769231</v>
      </c>
      <c r="Q163" s="17" t="str">
        <f t="shared" si="100"/>
        <v>1+8.27528192377993i</v>
      </c>
      <c r="R163" s="17">
        <f t="shared" si="108"/>
        <v>8.3354838442671628</v>
      </c>
      <c r="S163" s="17">
        <f t="shared" si="109"/>
        <v>1.4505376290534797</v>
      </c>
      <c r="T163" s="17" t="str">
        <f t="shared" si="101"/>
        <v>1+0.0000176907138015029i</v>
      </c>
      <c r="U163" s="17">
        <f t="shared" si="110"/>
        <v>1.0000000001564806</v>
      </c>
      <c r="V163" s="17">
        <f t="shared" si="111"/>
        <v>1.7690713799657397E-5</v>
      </c>
      <c r="W163" s="31" t="str">
        <f t="shared" si="102"/>
        <v>1-0.0286876440024371i</v>
      </c>
      <c r="X163" s="17">
        <f t="shared" si="112"/>
        <v>1.0004114058318261</v>
      </c>
      <c r="Y163" s="17">
        <f t="shared" si="113"/>
        <v>-2.867977809163258E-2</v>
      </c>
      <c r="Z163" s="31" t="str">
        <f t="shared" si="103"/>
        <v>0.999968226870611+0.174663907233151i</v>
      </c>
      <c r="AA163" s="17">
        <f t="shared" si="114"/>
        <v>1.0151078441430272</v>
      </c>
      <c r="AB163" s="17">
        <f t="shared" si="115"/>
        <v>0.17292492756731651</v>
      </c>
      <c r="AC163" s="66" t="str">
        <f t="shared" si="116"/>
        <v>-49.1795818192507-603.370464806961i</v>
      </c>
      <c r="AD163" s="64">
        <f t="shared" si="117"/>
        <v>55.640438191338419</v>
      </c>
      <c r="AE163" s="61">
        <f t="shared" si="118"/>
        <v>-94.659769330675076</v>
      </c>
      <c r="AF163" s="31" t="str">
        <f t="shared" si="104"/>
        <v>-1.39902068552014E-06</v>
      </c>
      <c r="AG163" s="31" t="str">
        <f t="shared" si="105"/>
        <v>0.000058558210609419i</v>
      </c>
      <c r="AH163" s="31">
        <f t="shared" si="119"/>
        <v>5.8558210609419001E-5</v>
      </c>
      <c r="AI163" s="31">
        <f t="shared" si="120"/>
        <v>1.5707963267948966</v>
      </c>
      <c r="AJ163" s="31" t="str">
        <f t="shared" si="106"/>
        <v>1+0.00422997163827718i</v>
      </c>
      <c r="AK163" s="31">
        <f t="shared" si="121"/>
        <v>1.0000089462900124</v>
      </c>
      <c r="AL163" s="31">
        <f t="shared" si="122"/>
        <v>4.2299464100664895E-3</v>
      </c>
      <c r="AM163" s="31" t="str">
        <f t="shared" si="107"/>
        <v>1+2.05701032550808i</v>
      </c>
      <c r="AN163" s="31">
        <f t="shared" si="123"/>
        <v>2.2872016699991407</v>
      </c>
      <c r="AO163" s="31">
        <f t="shared" si="124"/>
        <v>1.1182961041522708</v>
      </c>
      <c r="AP163" s="58" t="str">
        <f t="shared" si="125"/>
        <v>-0.0490423249500583+0.0240985582318721i</v>
      </c>
      <c r="AQ163" s="49">
        <f t="shared" si="126"/>
        <v>-25.249261745549681</v>
      </c>
      <c r="AR163" s="61">
        <f t="shared" si="127"/>
        <v>153.83128893698412</v>
      </c>
      <c r="AS163" s="58" t="str">
        <f t="shared" si="128"/>
        <v>16.95223931403+28.4055333840404i</v>
      </c>
      <c r="AT163" s="64">
        <f t="shared" si="129"/>
        <v>30.391176445788748</v>
      </c>
      <c r="AU163" s="61">
        <f t="shared" si="130"/>
        <v>59.171519606309019</v>
      </c>
    </row>
    <row r="164" spans="14:47" x14ac:dyDescent="0.4">
      <c r="N164" s="10">
        <v>46</v>
      </c>
      <c r="O164" s="50">
        <f t="shared" si="98"/>
        <v>288.40315031266073</v>
      </c>
      <c r="P164" s="48" t="str">
        <f t="shared" si="99"/>
        <v>5120.19230769231</v>
      </c>
      <c r="Q164" s="17" t="str">
        <f t="shared" si="100"/>
        <v>1+8.46803800175161i</v>
      </c>
      <c r="R164" s="17">
        <f t="shared" si="108"/>
        <v>8.5268791242229653</v>
      </c>
      <c r="S164" s="17">
        <f t="shared" si="109"/>
        <v>1.4532496166118825</v>
      </c>
      <c r="T164" s="17" t="str">
        <f t="shared" si="101"/>
        <v>1+0.0000181027834615223i</v>
      </c>
      <c r="U164" s="17">
        <f t="shared" si="110"/>
        <v>1.0000000001638554</v>
      </c>
      <c r="V164" s="17">
        <f t="shared" si="111"/>
        <v>1.8102783459544806E-5</v>
      </c>
      <c r="W164" s="31" t="str">
        <f t="shared" si="102"/>
        <v>1-0.0293558650727389i</v>
      </c>
      <c r="X164" s="17">
        <f t="shared" si="112"/>
        <v>1.0004307906168066</v>
      </c>
      <c r="Y164" s="17">
        <f t="shared" si="113"/>
        <v>-2.9347436793463081E-2</v>
      </c>
      <c r="Z164" s="31" t="str">
        <f t="shared" si="103"/>
        <v>0.999966729449156+0.178732352276059i</v>
      </c>
      <c r="AA164" s="17">
        <f t="shared" si="114"/>
        <v>1.0158143106667552</v>
      </c>
      <c r="AB164" s="17">
        <f t="shared" si="115"/>
        <v>0.17687056513709518</v>
      </c>
      <c r="AC164" s="66" t="str">
        <f t="shared" si="116"/>
        <v>-52.3593469240824-589.060639582516i</v>
      </c>
      <c r="AD164" s="64">
        <f t="shared" si="117"/>
        <v>55.43737778457519</v>
      </c>
      <c r="AE164" s="61">
        <f t="shared" si="118"/>
        <v>-95.079453568017811</v>
      </c>
      <c r="AF164" s="31" t="str">
        <f t="shared" si="104"/>
        <v>-1.39902068552014E-06</v>
      </c>
      <c r="AG164" s="31" t="str">
        <f t="shared" si="105"/>
        <v>0.000059922206557119i</v>
      </c>
      <c r="AH164" s="31">
        <f t="shared" si="119"/>
        <v>5.9922206557118997E-5</v>
      </c>
      <c r="AI164" s="31">
        <f t="shared" si="120"/>
        <v>1.5707963267948966</v>
      </c>
      <c r="AJ164" s="31" t="str">
        <f t="shared" si="106"/>
        <v>1+0.00432850033499538i</v>
      </c>
      <c r="AK164" s="31">
        <f t="shared" si="121"/>
        <v>1.0000093679136961</v>
      </c>
      <c r="AL164" s="31">
        <f t="shared" si="122"/>
        <v>4.328473302494266E-3</v>
      </c>
      <c r="AM164" s="31" t="str">
        <f t="shared" si="107"/>
        <v>1+2.10492425114157i</v>
      </c>
      <c r="AN164" s="31">
        <f t="shared" si="123"/>
        <v>2.3303875435308816</v>
      </c>
      <c r="AO164" s="31">
        <f t="shared" si="124"/>
        <v>1.127285592920088</v>
      </c>
      <c r="AP164" s="58" t="str">
        <f t="shared" si="125"/>
        <v>-0.0490422835956428+0.02355956205779i</v>
      </c>
      <c r="AQ164" s="49">
        <f t="shared" si="126"/>
        <v>-25.28679159229705</v>
      </c>
      <c r="AR164" s="61">
        <f t="shared" si="127"/>
        <v>154.34070352825563</v>
      </c>
      <c r="AS164" s="58" t="str">
        <f t="shared" si="128"/>
        <v>16.4458326347793+27.6553156582732i</v>
      </c>
      <c r="AT164" s="64">
        <f t="shared" si="129"/>
        <v>30.150586192278148</v>
      </c>
      <c r="AU164" s="61">
        <f t="shared" si="130"/>
        <v>59.261249960237748</v>
      </c>
    </row>
    <row r="165" spans="14:47" x14ac:dyDescent="0.4">
      <c r="N165" s="10">
        <v>47</v>
      </c>
      <c r="O165" s="50">
        <f t="shared" si="98"/>
        <v>295.12092266663871</v>
      </c>
      <c r="P165" s="48" t="str">
        <f t="shared" si="99"/>
        <v>5120.19230769231</v>
      </c>
      <c r="Q165" s="17" t="str">
        <f t="shared" si="100"/>
        <v>1+8.66528394555953i</v>
      </c>
      <c r="R165" s="17">
        <f t="shared" si="108"/>
        <v>8.7227946128045311</v>
      </c>
      <c r="S165" s="17">
        <f t="shared" si="109"/>
        <v>1.4559015513785258</v>
      </c>
      <c r="T165" s="17" t="str">
        <f t="shared" si="101"/>
        <v>1+0.0000185244514569517i</v>
      </c>
      <c r="U165" s="17">
        <f t="shared" si="110"/>
        <v>1.0000000001715776</v>
      </c>
      <c r="V165" s="17">
        <f t="shared" si="111"/>
        <v>1.852445145483278E-5</v>
      </c>
      <c r="W165" s="31" t="str">
        <f t="shared" si="102"/>
        <v>1-0.030039651011273i</v>
      </c>
      <c r="X165" s="17">
        <f t="shared" si="112"/>
        <v>1.0004510885759879</v>
      </c>
      <c r="Y165" s="17">
        <f t="shared" si="113"/>
        <v>-3.003062016722723E-2</v>
      </c>
      <c r="Z165" s="31" t="str">
        <f t="shared" si="103"/>
        <v>0.999965161456402+0.182895563577946i</v>
      </c>
      <c r="AA165" s="17">
        <f t="shared" si="114"/>
        <v>1.0165535457136641</v>
      </c>
      <c r="AB165" s="17">
        <f t="shared" si="115"/>
        <v>0.18090237302031426</v>
      </c>
      <c r="AC165" s="66" t="str">
        <f t="shared" si="116"/>
        <v>-55.384595356862-575.030782185739i</v>
      </c>
      <c r="AD165" s="64">
        <f t="shared" si="117"/>
        <v>55.233924556047455</v>
      </c>
      <c r="AE165" s="61">
        <f t="shared" si="118"/>
        <v>-95.501523177360227</v>
      </c>
      <c r="AF165" s="31" t="str">
        <f t="shared" si="104"/>
        <v>-1.39902068552014E-06</v>
      </c>
      <c r="AG165" s="31" t="str">
        <f t="shared" si="105"/>
        <v>0.0000613179740518997i</v>
      </c>
      <c r="AH165" s="31">
        <f t="shared" si="119"/>
        <v>6.1317974051899694E-5</v>
      </c>
      <c r="AI165" s="31">
        <f t="shared" si="120"/>
        <v>1.5707963267948966</v>
      </c>
      <c r="AJ165" s="31" t="str">
        <f t="shared" si="106"/>
        <v>1+0.00442932405988566i</v>
      </c>
      <c r="AK165" s="31">
        <f t="shared" si="121"/>
        <v>1.0000098094077015</v>
      </c>
      <c r="AL165" s="31">
        <f t="shared" si="122"/>
        <v>4.4292950940541921E-3</v>
      </c>
      <c r="AM165" s="31" t="str">
        <f t="shared" si="107"/>
        <v>1+2.15395423547498i</v>
      </c>
      <c r="AN165" s="31">
        <f t="shared" si="123"/>
        <v>2.3747671145863136</v>
      </c>
      <c r="AO165" s="31">
        <f t="shared" si="124"/>
        <v>1.136145277481174</v>
      </c>
      <c r="AP165" s="58" t="str">
        <f t="shared" si="125"/>
        <v>-0.0490422402923287+0.0230330574584823i</v>
      </c>
      <c r="AQ165" s="49">
        <f t="shared" si="126"/>
        <v>-25.322937906388205</v>
      </c>
      <c r="AR165" s="61">
        <f t="shared" si="127"/>
        <v>154.84254939828369</v>
      </c>
      <c r="AS165" s="58" t="str">
        <f t="shared" si="128"/>
        <v>15.9609016804648+26.9251212282693i</v>
      </c>
      <c r="AT165" s="64">
        <f t="shared" si="129"/>
        <v>29.910986649659247</v>
      </c>
      <c r="AU165" s="61">
        <f t="shared" si="130"/>
        <v>59.341026220923396</v>
      </c>
    </row>
    <row r="166" spans="14:47" x14ac:dyDescent="0.4">
      <c r="N166" s="10">
        <v>48</v>
      </c>
      <c r="O166" s="50">
        <f t="shared" si="98"/>
        <v>301.99517204020168</v>
      </c>
      <c r="P166" s="48" t="str">
        <f t="shared" si="99"/>
        <v>5120.19230769231</v>
      </c>
      <c r="Q166" s="17" t="str">
        <f t="shared" si="100"/>
        <v>1+8.86712433761399i</v>
      </c>
      <c r="R166" s="17">
        <f t="shared" si="108"/>
        <v>8.9233342433591698</v>
      </c>
      <c r="S166" s="17">
        <f t="shared" si="109"/>
        <v>1.458494690160536</v>
      </c>
      <c r="T166" s="17" t="str">
        <f t="shared" si="101"/>
        <v>1+0.0000189559413617437i</v>
      </c>
      <c r="U166" s="17">
        <f t="shared" si="110"/>
        <v>1.0000000001796638</v>
      </c>
      <c r="V166" s="17">
        <f t="shared" si="111"/>
        <v>1.8955941359473235E-5</v>
      </c>
      <c r="W166" s="31" t="str">
        <f t="shared" si="102"/>
        <v>1-0.0307393643703952i</v>
      </c>
      <c r="X166" s="17">
        <f t="shared" si="112"/>
        <v>1.0004723427071316</v>
      </c>
      <c r="Y166" s="17">
        <f t="shared" si="113"/>
        <v>-3.0729687893383987E-2</v>
      </c>
      <c r="Z166" s="31" t="str">
        <f t="shared" si="103"/>
        <v>0.999963519566426+0.187155748528551i</v>
      </c>
      <c r="AA166" s="17">
        <f t="shared" si="114"/>
        <v>1.0173270441067397</v>
      </c>
      <c r="AB166" s="17">
        <f t="shared" si="115"/>
        <v>0.18502196605696855</v>
      </c>
      <c r="AC166" s="66" t="str">
        <f t="shared" si="116"/>
        <v>-58.2612728909067-561.275930046191i</v>
      </c>
      <c r="AD166" s="64">
        <f t="shared" si="117"/>
        <v>55.030072196316986</v>
      </c>
      <c r="AE166" s="61">
        <f t="shared" si="118"/>
        <v>-95.926163287325025</v>
      </c>
      <c r="AF166" s="31" t="str">
        <f t="shared" si="104"/>
        <v>-1.39902068552014E-06</v>
      </c>
      <c r="AG166" s="31" t="str">
        <f t="shared" si="105"/>
        <v>0.000062746253148162i</v>
      </c>
      <c r="AH166" s="31">
        <f t="shared" si="119"/>
        <v>6.2746253148162004E-5</v>
      </c>
      <c r="AI166" s="31">
        <f t="shared" si="120"/>
        <v>1.5707963267948966</v>
      </c>
      <c r="AJ166" s="31" t="str">
        <f t="shared" si="106"/>
        <v>1+0.00453249627102154i</v>
      </c>
      <c r="AK166" s="31">
        <f t="shared" si="121"/>
        <v>1.0000102717084693</v>
      </c>
      <c r="AL166" s="31">
        <f t="shared" si="122"/>
        <v>4.5324652335911484E-3</v>
      </c>
      <c r="AM166" s="31" t="str">
        <f t="shared" si="107"/>
        <v>1+2.204126274855i</v>
      </c>
      <c r="AN166" s="31">
        <f t="shared" si="123"/>
        <v>2.4203662192953734</v>
      </c>
      <c r="AO166" s="31">
        <f t="shared" si="124"/>
        <v>1.1448742908885059</v>
      </c>
      <c r="AP166" s="58" t="str">
        <f t="shared" si="125"/>
        <v>-0.0490421949482745+0.0225187652730343i</v>
      </c>
      <c r="AQ166" s="49">
        <f t="shared" si="126"/>
        <v>-25.357740788540095</v>
      </c>
      <c r="AR166" s="61">
        <f t="shared" si="127"/>
        <v>155.33677381226971</v>
      </c>
      <c r="AS166" s="58" t="str">
        <f t="shared" si="128"/>
        <v>15.4965016251647+26.2142316523609i</v>
      </c>
      <c r="AT166" s="64">
        <f t="shared" si="129"/>
        <v>29.672331407776909</v>
      </c>
      <c r="AU166" s="61">
        <f t="shared" si="130"/>
        <v>59.410610524944673</v>
      </c>
    </row>
    <row r="167" spans="14:47" x14ac:dyDescent="0.4">
      <c r="N167" s="10">
        <v>49</v>
      </c>
      <c r="O167" s="50">
        <f t="shared" si="98"/>
        <v>309.02954325135937</v>
      </c>
      <c r="P167" s="48" t="str">
        <f t="shared" si="99"/>
        <v>5120.19230769231</v>
      </c>
      <c r="Q167" s="17" t="str">
        <f t="shared" si="100"/>
        <v>1+9.07366619636251i</v>
      </c>
      <c r="R167" s="17">
        <f t="shared" si="108"/>
        <v>9.1286043973332358</v>
      </c>
      <c r="S167" s="17">
        <f t="shared" si="109"/>
        <v>1.4610302683012011</v>
      </c>
      <c r="T167" s="17" t="str">
        <f t="shared" si="101"/>
        <v>1+0.0000193974819575572i</v>
      </c>
      <c r="U167" s="17">
        <f t="shared" si="110"/>
        <v>1.0000000001881313</v>
      </c>
      <c r="V167" s="17">
        <f t="shared" si="111"/>
        <v>1.9397481955124353E-5</v>
      </c>
      <c r="W167" s="31" t="str">
        <f t="shared" si="102"/>
        <v>1-0.03145537614739i</v>
      </c>
      <c r="X167" s="17">
        <f t="shared" si="112"/>
        <v>1.000494598030681</v>
      </c>
      <c r="Y167" s="17">
        <f t="shared" si="113"/>
        <v>-3.1445007892280205E-2</v>
      </c>
      <c r="Z167" s="31" t="str">
        <f t="shared" si="103"/>
        <v>0.999961800296559+0.191515165934326i</v>
      </c>
      <c r="AA167" s="17">
        <f t="shared" si="114"/>
        <v>1.0181363665222787</v>
      </c>
      <c r="AB167" s="17">
        <f t="shared" si="115"/>
        <v>0.18923097073344308</v>
      </c>
      <c r="AC167" s="66" t="str">
        <f t="shared" si="116"/>
        <v>-60.9950629787228-547.79113223107i</v>
      </c>
      <c r="AD167" s="64">
        <f t="shared" si="117"/>
        <v>54.825813683660158</v>
      </c>
      <c r="AE167" s="61">
        <f t="shared" si="118"/>
        <v>-96.353558935849023</v>
      </c>
      <c r="AF167" s="31" t="str">
        <f t="shared" si="104"/>
        <v>-1.39902068552014E-06</v>
      </c>
      <c r="AG167" s="31" t="str">
        <f t="shared" si="105"/>
        <v>0.0000642078011383885i</v>
      </c>
      <c r="AH167" s="31">
        <f t="shared" si="119"/>
        <v>6.4207801138388502E-5</v>
      </c>
      <c r="AI167" s="31">
        <f t="shared" si="120"/>
        <v>1.5707963267948966</v>
      </c>
      <c r="AJ167" s="31" t="str">
        <f t="shared" si="106"/>
        <v>1+0.00463807167167498i</v>
      </c>
      <c r="AK167" s="31">
        <f t="shared" si="121"/>
        <v>1.0000107557965723</v>
      </c>
      <c r="AL167" s="31">
        <f t="shared" si="122"/>
        <v>4.6380384144884502E-3</v>
      </c>
      <c r="AM167" s="31" t="str">
        <f t="shared" si="107"/>
        <v>1+2.25546697116101i</v>
      </c>
      <c r="AN167" s="31">
        <f t="shared" si="123"/>
        <v>2.4672112309241423</v>
      </c>
      <c r="AO167" s="31">
        <f t="shared" si="124"/>
        <v>1.1534719394472728</v>
      </c>
      <c r="AP167" s="58" t="str">
        <f t="shared" si="125"/>
        <v>-0.0490421474673104+0.0220164128156283i</v>
      </c>
      <c r="AQ167" s="49">
        <f t="shared" si="126"/>
        <v>-25.391239985262324</v>
      </c>
      <c r="AR167" s="61">
        <f t="shared" si="127"/>
        <v>155.82333389072875</v>
      </c>
      <c r="AS167" s="58" t="str">
        <f t="shared" si="128"/>
        <v>15.0517245773201+25.5219610019063i</v>
      </c>
      <c r="AT167" s="64">
        <f t="shared" si="129"/>
        <v>29.434573698397848</v>
      </c>
      <c r="AU167" s="61">
        <f t="shared" si="130"/>
        <v>59.469774954879703</v>
      </c>
    </row>
    <row r="168" spans="14:47" x14ac:dyDescent="0.4">
      <c r="N168" s="10">
        <v>50</v>
      </c>
      <c r="O168" s="50">
        <f t="shared" si="98"/>
        <v>316.22776601683825</v>
      </c>
      <c r="P168" s="48" t="str">
        <f t="shared" si="99"/>
        <v>5120.19230769231</v>
      </c>
      <c r="Q168" s="17" t="str">
        <f t="shared" si="100"/>
        <v>1+9.28501903303251i</v>
      </c>
      <c r="R168" s="17">
        <f t="shared" si="108"/>
        <v>9.3387139609143155</v>
      </c>
      <c r="S168" s="17">
        <f t="shared" si="109"/>
        <v>1.4635094997138571</v>
      </c>
      <c r="T168" s="17" t="str">
        <f t="shared" si="101"/>
        <v>1+0.0000198493073550606i</v>
      </c>
      <c r="U168" s="17">
        <f t="shared" si="110"/>
        <v>1.0000000001969975</v>
      </c>
      <c r="V168" s="17">
        <f t="shared" si="111"/>
        <v>1.9849307352453759E-5</v>
      </c>
      <c r="W168" s="31" t="str">
        <f t="shared" si="102"/>
        <v>1-0.0321880659811794i</v>
      </c>
      <c r="X168" s="17">
        <f t="shared" si="112"/>
        <v>1.0005179016847268</v>
      </c>
      <c r="Y168" s="17">
        <f t="shared" si="113"/>
        <v>-3.217695650623828E-2</v>
      </c>
      <c r="Z168" s="31" t="str">
        <f t="shared" si="103"/>
        <v>0.99996+0.195976127216081i</v>
      </c>
      <c r="AA168" s="17">
        <f t="shared" si="114"/>
        <v>1.0189831421758722</v>
      </c>
      <c r="AB168" s="17">
        <f t="shared" si="115"/>
        <v>0.19353102383668147</v>
      </c>
      <c r="AC168" s="66" t="str">
        <f t="shared" si="116"/>
        <v>-63.5913954186565-534.571456573024i</v>
      </c>
      <c r="AD168" s="64">
        <f t="shared" si="117"/>
        <v>54.621141277769915</v>
      </c>
      <c r="AE168" s="61">
        <f t="shared" si="118"/>
        <v>-96.783895005440058</v>
      </c>
      <c r="AF168" s="31" t="str">
        <f t="shared" si="104"/>
        <v>-1.39902068552014E-06</v>
      </c>
      <c r="AG168" s="31" t="str">
        <f t="shared" si="105"/>
        <v>0.0000657033929546692i</v>
      </c>
      <c r="AH168" s="31">
        <f t="shared" si="119"/>
        <v>6.5703392954669202E-5</v>
      </c>
      <c r="AI168" s="31">
        <f t="shared" si="120"/>
        <v>1.5707963267948966</v>
      </c>
      <c r="AJ168" s="31" t="str">
        <f t="shared" si="106"/>
        <v>1+0.00474610623932089i</v>
      </c>
      <c r="AK168" s="31">
        <f t="shared" si="121"/>
        <v>1.0000112626987931</v>
      </c>
      <c r="AL168" s="31">
        <f t="shared" si="122"/>
        <v>4.7460706036251618E-3</v>
      </c>
      <c r="AM168" s="31" t="str">
        <f t="shared" si="107"/>
        <v>1+2.30800354590975i</v>
      </c>
      <c r="AN168" s="31">
        <f t="shared" si="123"/>
        <v>2.5153290774632215</v>
      </c>
      <c r="AO168" s="31">
        <f t="shared" si="124"/>
        <v>1.1619376964284784</v>
      </c>
      <c r="AP168" s="58" t="str">
        <f t="shared" si="125"/>
        <v>-0.0490420977487358+0.0215257337309568i</v>
      </c>
      <c r="AQ168" s="49">
        <f t="shared" si="126"/>
        <v>-25.423474827792578</v>
      </c>
      <c r="AR168" s="61">
        <f t="shared" si="127"/>
        <v>156.30219624764601</v>
      </c>
      <c r="AS168" s="58" t="str">
        <f t="shared" si="128"/>
        <v>14.6256982644609+24.8476541815763i</v>
      </c>
      <c r="AT168" s="64">
        <f t="shared" si="129"/>
        <v>29.197666449977326</v>
      </c>
      <c r="AU168" s="61">
        <f t="shared" si="130"/>
        <v>59.518301242205943</v>
      </c>
    </row>
    <row r="169" spans="14:47" x14ac:dyDescent="0.4">
      <c r="N169" s="10">
        <v>51</v>
      </c>
      <c r="O169" s="50">
        <f t="shared" si="98"/>
        <v>323.59365692962825</v>
      </c>
      <c r="P169" s="48" t="str">
        <f t="shared" si="99"/>
        <v>5120.19230769231</v>
      </c>
      <c r="Q169" s="17" t="str">
        <f t="shared" si="100"/>
        <v>1+9.50129490969559i</v>
      </c>
      <c r="R169" s="17">
        <f t="shared" si="108"/>
        <v>9.5537743829864077</v>
      </c>
      <c r="S169" s="17">
        <f t="shared" si="109"/>
        <v>1.465933576943008</v>
      </c>
      <c r="T169" s="17" t="str">
        <f t="shared" si="101"/>
        <v>1+0.0000203116571180604i</v>
      </c>
      <c r="U169" s="17">
        <f t="shared" si="110"/>
        <v>1.0000000002062817</v>
      </c>
      <c r="V169" s="17">
        <f t="shared" si="111"/>
        <v>2.031165711526712E-5</v>
      </c>
      <c r="W169" s="31" t="str">
        <f t="shared" si="102"/>
        <v>1-0.0329378223536113i</v>
      </c>
      <c r="X169" s="17">
        <f t="shared" si="112"/>
        <v>1.0005423030244138</v>
      </c>
      <c r="Y169" s="17">
        <f t="shared" si="113"/>
        <v>-3.292591868518311E-2</v>
      </c>
      <c r="Z169" s="31" t="str">
        <f t="shared" si="103"/>
        <v>0.999958114858078+0.200540997634537i</v>
      </c>
      <c r="AA169" s="17">
        <f t="shared" si="114"/>
        <v>1.019869071598299</v>
      </c>
      <c r="AB169" s="17">
        <f t="shared" si="115"/>
        <v>0.19792377098818029</v>
      </c>
      <c r="AC169" s="66" t="str">
        <f t="shared" si="116"/>
        <v>-66.0554548550674-521.61199630541i</v>
      </c>
      <c r="AD169" s="64">
        <f t="shared" si="117"/>
        <v>54.416046512963597</v>
      </c>
      <c r="AE169" s="61">
        <f t="shared" si="118"/>
        <v>-97.21735615331157</v>
      </c>
      <c r="AF169" s="31" t="str">
        <f t="shared" si="104"/>
        <v>-1.39902068552014E-06</v>
      </c>
      <c r="AG169" s="31" t="str">
        <f t="shared" si="105"/>
        <v>0.0000672338215795816i</v>
      </c>
      <c r="AH169" s="31">
        <f t="shared" si="119"/>
        <v>6.72338215795816E-5</v>
      </c>
      <c r="AI169" s="31">
        <f t="shared" si="120"/>
        <v>1.5707963267948966</v>
      </c>
      <c r="AJ169" s="31" t="str">
        <f t="shared" si="106"/>
        <v>1+0.00485665725531702i</v>
      </c>
      <c r="AK169" s="31">
        <f t="shared" si="121"/>
        <v>1.0000117934903046</v>
      </c>
      <c r="AL169" s="31">
        <f t="shared" si="122"/>
        <v>4.856619071005412E-3</v>
      </c>
      <c r="AM169" s="31" t="str">
        <f t="shared" si="107"/>
        <v>1+2.36176385468858i</v>
      </c>
      <c r="AN169" s="31">
        <f t="shared" si="123"/>
        <v>2.5647472595391267</v>
      </c>
      <c r="AO169" s="31">
        <f t="shared" si="124"/>
        <v>1.1702711955787655</v>
      </c>
      <c r="AP169" s="58" t="str">
        <f t="shared" si="125"/>
        <v>-0.0490420456871053+0.021046467852989i</v>
      </c>
      <c r="AQ169" s="49">
        <f t="shared" si="126"/>
        <v>-25.454484175963678</v>
      </c>
      <c r="AR169" s="61">
        <f t="shared" si="127"/>
        <v>156.77333661692072</v>
      </c>
      <c r="AS169" s="58" t="str">
        <f t="shared" si="128"/>
        <v>14.21758474686+24.1906853466304i</v>
      </c>
      <c r="AT169" s="64">
        <f t="shared" si="129"/>
        <v>28.96156233699994</v>
      </c>
      <c r="AU169" s="61">
        <f t="shared" si="130"/>
        <v>59.555980463609117</v>
      </c>
    </row>
    <row r="170" spans="14:47" x14ac:dyDescent="0.4">
      <c r="N170" s="10">
        <v>52</v>
      </c>
      <c r="O170" s="50">
        <f t="shared" si="98"/>
        <v>331.13112148259137</v>
      </c>
      <c r="P170" s="48" t="str">
        <f t="shared" si="99"/>
        <v>5120.19230769231</v>
      </c>
      <c r="Q170" s="17" t="str">
        <f t="shared" si="100"/>
        <v>1+9.72260849868433i</v>
      </c>
      <c r="R170" s="17">
        <f t="shared" si="108"/>
        <v>9.7738997344298948</v>
      </c>
      <c r="S170" s="17">
        <f t="shared" si="109"/>
        <v>1.4683036712504318</v>
      </c>
      <c r="T170" s="17" t="str">
        <f t="shared" si="101"/>
        <v>1+0.0000207847763905207i</v>
      </c>
      <c r="U170" s="17">
        <f t="shared" si="110"/>
        <v>1.0000000002160034</v>
      </c>
      <c r="V170" s="17">
        <f t="shared" si="111"/>
        <v>2.0784776387527645E-5</v>
      </c>
      <c r="W170" s="31" t="str">
        <f t="shared" si="102"/>
        <v>1-0.033705042795439i</v>
      </c>
      <c r="X170" s="17">
        <f t="shared" si="112"/>
        <v>1.0005678537259941</v>
      </c>
      <c r="Y170" s="17">
        <f t="shared" si="113"/>
        <v>-3.3692288175845818E-2</v>
      </c>
      <c r="Z170" s="31" t="str">
        <f t="shared" si="103"/>
        <v>0.999956140872154+0.205212197544414i</v>
      </c>
      <c r="AA170" s="17">
        <f t="shared" si="114"/>
        <v>1.0207959295025324</v>
      </c>
      <c r="AB170" s="17">
        <f t="shared" si="115"/>
        <v>0.20241086505150077</v>
      </c>
      <c r="AC170" s="66" t="str">
        <f t="shared" si="116"/>
        <v>-68.3921891067232-508.907876236982i</v>
      </c>
      <c r="AD170" s="64">
        <f t="shared" si="117"/>
        <v>54.210520190941374</v>
      </c>
      <c r="AE170" s="61">
        <f t="shared" si="118"/>
        <v>-97.654126735906459</v>
      </c>
      <c r="AF170" s="31" t="str">
        <f t="shared" si="104"/>
        <v>-1.39902068552014E-06</v>
      </c>
      <c r="AG170" s="31" t="str">
        <f t="shared" si="105"/>
        <v>0.0000687998984666404i</v>
      </c>
      <c r="AH170" s="31">
        <f t="shared" si="119"/>
        <v>6.8799898466640405E-5</v>
      </c>
      <c r="AI170" s="31">
        <f t="shared" si="120"/>
        <v>1.5707963267948966</v>
      </c>
      <c r="AJ170" s="31" t="str">
        <f t="shared" si="106"/>
        <v>1+0.00496978333527541i</v>
      </c>
      <c r="AK170" s="31">
        <f t="shared" si="121"/>
        <v>1.0000123492969473</v>
      </c>
      <c r="AL170" s="31">
        <f t="shared" si="122"/>
        <v>4.9697424200756549E-3</v>
      </c>
      <c r="AM170" s="31" t="str">
        <f t="shared" si="107"/>
        <v>1+2.41677640192481i</v>
      </c>
      <c r="AN170" s="31">
        <f t="shared" si="123"/>
        <v>2.6154938686413756</v>
      </c>
      <c r="AO170" s="31">
        <f t="shared" si="124"/>
        <v>1.1784722244723407</v>
      </c>
      <c r="AP170" s="58" t="str">
        <f t="shared" si="125"/>
        <v>-0.0490419911720043+0.0205783610670214i</v>
      </c>
      <c r="AQ170" s="49">
        <f t="shared" si="126"/>
        <v>-25.484306366937574</v>
      </c>
      <c r="AR170" s="61">
        <f t="shared" si="127"/>
        <v>157.23673946972144</v>
      </c>
      <c r="AS170" s="58" t="str">
        <f t="shared" si="128"/>
        <v>13.8265791614616+23.5504564121754i</v>
      </c>
      <c r="AT170" s="64">
        <f t="shared" si="129"/>
        <v>28.7262138240038</v>
      </c>
      <c r="AU170" s="61">
        <f t="shared" si="130"/>
        <v>59.582612733815061</v>
      </c>
    </row>
    <row r="171" spans="14:47" x14ac:dyDescent="0.4">
      <c r="N171" s="10">
        <v>53</v>
      </c>
      <c r="O171" s="50">
        <f t="shared" si="98"/>
        <v>338.84415613920277</v>
      </c>
      <c r="P171" s="48" t="str">
        <f t="shared" si="99"/>
        <v>5120.19230769231</v>
      </c>
      <c r="Q171" s="17" t="str">
        <f t="shared" si="100"/>
        <v>1+9.94907714339294i</v>
      </c>
      <c r="R171" s="17">
        <f t="shared" si="108"/>
        <v>9.9992067687984036</v>
      </c>
      <c r="S171" s="17">
        <f t="shared" si="109"/>
        <v>1.4706209327241682</v>
      </c>
      <c r="T171" s="17" t="str">
        <f t="shared" si="101"/>
        <v>1+0.0000212689160265422i</v>
      </c>
      <c r="U171" s="17">
        <f t="shared" si="110"/>
        <v>1.0000000002261835</v>
      </c>
      <c r="V171" s="17">
        <f t="shared" si="111"/>
        <v>2.1268916023335083E-5</v>
      </c>
      <c r="W171" s="31" t="str">
        <f t="shared" si="102"/>
        <v>1-0.0344901340970955i</v>
      </c>
      <c r="X171" s="17">
        <f t="shared" si="112"/>
        <v>1.0005946078957431</v>
      </c>
      <c r="Y171" s="17">
        <f t="shared" si="113"/>
        <v>-3.4476467714569227E-2</v>
      </c>
      <c r="Z171" s="31" t="str">
        <f t="shared" si="103"/>
        <v>0.99995407385514+0.209992203677732i</v>
      </c>
      <c r="AA171" s="17">
        <f t="shared" si="114"/>
        <v>1.0217655677428756</v>
      </c>
      <c r="AB171" s="17">
        <f t="shared" si="115"/>
        <v>0.20699396440691867</v>
      </c>
      <c r="AC171" s="66" t="str">
        <f t="shared" si="116"/>
        <v>-70.606317319965-496.454258496475i</v>
      </c>
      <c r="AD171" s="64">
        <f t="shared" si="117"/>
        <v>54.004552373145088</v>
      </c>
      <c r="AE171" s="61">
        <f t="shared" si="118"/>
        <v>-98.094390727325916</v>
      </c>
      <c r="AF171" s="31" t="str">
        <f t="shared" si="104"/>
        <v>-1.39902068552014E-06</v>
      </c>
      <c r="AG171" s="31" t="str">
        <f t="shared" si="105"/>
        <v>0.0000704024539705405i</v>
      </c>
      <c r="AH171" s="31">
        <f t="shared" si="119"/>
        <v>7.0402453970540502E-5</v>
      </c>
      <c r="AI171" s="31">
        <f t="shared" si="120"/>
        <v>1.5707963267948966</v>
      </c>
      <c r="AJ171" s="31" t="str">
        <f t="shared" si="106"/>
        <v>1+0.00508554446014098i</v>
      </c>
      <c r="AK171" s="31">
        <f t="shared" si="121"/>
        <v>1.0000129312976189</v>
      </c>
      <c r="AL171" s="31">
        <f t="shared" si="122"/>
        <v>5.0855006187451833E-3</v>
      </c>
      <c r="AM171" s="31" t="str">
        <f t="shared" si="107"/>
        <v>1+2.47307035599915i</v>
      </c>
      <c r="AN171" s="31">
        <f t="shared" si="123"/>
        <v>2.6675976056597746</v>
      </c>
      <c r="AO171" s="31">
        <f t="shared" si="124"/>
        <v>1.18654071774834</v>
      </c>
      <c r="AP171" s="58" t="str">
        <f t="shared" si="125"/>
        <v>-0.0490419340878153+0.0201211651749354i</v>
      </c>
      <c r="AQ171" s="49">
        <f t="shared" si="126"/>
        <v>-25.512979168714395</v>
      </c>
      <c r="AR171" s="61">
        <f t="shared" si="127"/>
        <v>157.69239762523804</v>
      </c>
      <c r="AS171" s="58" t="str">
        <f t="shared" si="128"/>
        <v>13.4519084971967+22.9263956496104i</v>
      </c>
      <c r="AT171" s="64">
        <f t="shared" si="129"/>
        <v>28.491573204430676</v>
      </c>
      <c r="AU171" s="61">
        <f t="shared" si="130"/>
        <v>59.598006897912185</v>
      </c>
    </row>
    <row r="172" spans="14:47" x14ac:dyDescent="0.4">
      <c r="N172" s="10">
        <v>54</v>
      </c>
      <c r="O172" s="50">
        <f t="shared" si="98"/>
        <v>346.73685045253183</v>
      </c>
      <c r="P172" s="48" t="str">
        <f t="shared" si="99"/>
        <v>5120.19230769231</v>
      </c>
      <c r="Q172" s="17" t="str">
        <f t="shared" si="100"/>
        <v>1+10.1808209204946i</v>
      </c>
      <c r="R172" s="17">
        <f t="shared" si="108"/>
        <v>10.229814984406145</v>
      </c>
      <c r="S172" s="17">
        <f t="shared" si="109"/>
        <v>1.4728864904084054</v>
      </c>
      <c r="T172" s="17" t="str">
        <f t="shared" si="101"/>
        <v>1+0.0000217643327233685i</v>
      </c>
      <c r="U172" s="17">
        <f t="shared" si="110"/>
        <v>1.000000000236843</v>
      </c>
      <c r="V172" s="17">
        <f t="shared" si="111"/>
        <v>2.1764332719932013E-5</v>
      </c>
      <c r="W172" s="31" t="str">
        <f t="shared" si="102"/>
        <v>1-0.0352935125243813i</v>
      </c>
      <c r="X172" s="17">
        <f t="shared" si="112"/>
        <v>1.0006226221839623</v>
      </c>
      <c r="Y172" s="17">
        <f t="shared" si="113"/>
        <v>-3.5278869223749093E-2</v>
      </c>
      <c r="Z172" s="31" t="str">
        <f t="shared" si="103"/>
        <v>0.999951909422615+0.214883550457016i</v>
      </c>
      <c r="AA172" s="17">
        <f t="shared" si="114"/>
        <v>1.0227799183670683</v>
      </c>
      <c r="AB172" s="17">
        <f t="shared" si="115"/>
        <v>0.21167473108674401</v>
      </c>
      <c r="AC172" s="66" t="str">
        <f t="shared" si="116"/>
        <v>-72.7023379448561-484.246347875974i</v>
      </c>
      <c r="AD172" s="64">
        <f t="shared" si="117"/>
        <v>53.798132372772059</v>
      </c>
      <c r="AE172" s="61">
        <f t="shared" si="118"/>
        <v>-98.538331631180739</v>
      </c>
      <c r="AF172" s="31" t="str">
        <f t="shared" si="104"/>
        <v>-1.39902068552014E-06</v>
      </c>
      <c r="AG172" s="31" t="str">
        <f t="shared" si="105"/>
        <v>0.0000720423377874225i</v>
      </c>
      <c r="AH172" s="31">
        <f t="shared" si="119"/>
        <v>7.2042337787422503E-5</v>
      </c>
      <c r="AI172" s="31">
        <f t="shared" si="120"/>
        <v>1.5707963267948966</v>
      </c>
      <c r="AJ172" s="31" t="str">
        <f t="shared" si="106"/>
        <v>1+0.00520400200799448i</v>
      </c>
      <c r="AK172" s="31">
        <f t="shared" si="121"/>
        <v>1.0000135407267741</v>
      </c>
      <c r="AL172" s="31">
        <f t="shared" si="122"/>
        <v>5.2039550311268699E-3</v>
      </c>
      <c r="AM172" s="31" t="str">
        <f t="shared" si="107"/>
        <v>1+2.5306755647112i</v>
      </c>
      <c r="AN172" s="31">
        <f t="shared" si="123"/>
        <v>2.7210877997275928</v>
      </c>
      <c r="AO172" s="31">
        <f t="shared" si="124"/>
        <v>1.1944767502741733</v>
      </c>
      <c r="AP172" s="58" t="str">
        <f t="shared" si="125"/>
        <v>-0.0490418743134741+0.0196746377635905i</v>
      </c>
      <c r="AQ172" s="49">
        <f t="shared" si="126"/>
        <v>-25.540539738299834</v>
      </c>
      <c r="AR172" s="61">
        <f t="shared" si="127"/>
        <v>158.14031185715277</v>
      </c>
      <c r="AS172" s="58" t="str">
        <f t="shared" si="128"/>
        <v>13.0928304025888+22.3179563656612i</v>
      </c>
      <c r="AT172" s="64">
        <f t="shared" si="129"/>
        <v>28.257592634472232</v>
      </c>
      <c r="AU172" s="61">
        <f t="shared" si="130"/>
        <v>59.601980225972</v>
      </c>
    </row>
    <row r="173" spans="14:47" x14ac:dyDescent="0.4">
      <c r="N173" s="10">
        <v>55</v>
      </c>
      <c r="O173" s="50">
        <f t="shared" si="98"/>
        <v>354.81338923357566</v>
      </c>
      <c r="P173" s="48" t="str">
        <f t="shared" si="99"/>
        <v>5120.19230769231</v>
      </c>
      <c r="Q173" s="17" t="str">
        <f t="shared" si="100"/>
        <v>1+10.4179627036074i</v>
      </c>
      <c r="R173" s="17">
        <f t="shared" si="108"/>
        <v>10.465846687858312</v>
      </c>
      <c r="S173" s="17">
        <f t="shared" si="109"/>
        <v>1.4751014524524015</v>
      </c>
      <c r="T173" s="17" t="str">
        <f t="shared" si="101"/>
        <v>1+0.0000222712891574897i</v>
      </c>
      <c r="U173" s="17">
        <f t="shared" si="110"/>
        <v>1.0000000002480052</v>
      </c>
      <c r="V173" s="17">
        <f t="shared" si="111"/>
        <v>2.2271289153807439E-5</v>
      </c>
      <c r="W173" s="31" t="str">
        <f t="shared" si="102"/>
        <v>1-0.0361156040391724i</v>
      </c>
      <c r="X173" s="17">
        <f t="shared" si="112"/>
        <v>1.0006519559043066</v>
      </c>
      <c r="Y173" s="17">
        <f t="shared" si="113"/>
        <v>-3.6099914011927352E-2</v>
      </c>
      <c r="Z173" s="31" t="str">
        <f t="shared" si="103"/>
        <v>0.999949642983528+0.219888831339072i</v>
      </c>
      <c r="AA173" s="17">
        <f t="shared" si="114"/>
        <v>1.0238409967619719</v>
      </c>
      <c r="AB173" s="17">
        <f t="shared" si="115"/>
        <v>0.2164548287647492</v>
      </c>
      <c r="AC173" s="66" t="str">
        <f t="shared" si="116"/>
        <v>-74.6845365340358-472.279396800509i</v>
      </c>
      <c r="AD173" s="64">
        <f t="shared" si="117"/>
        <v>53.591248746504611</v>
      </c>
      <c r="AE173" s="61">
        <f t="shared" si="118"/>
        <v>-98.986132385383115</v>
      </c>
      <c r="AF173" s="31" t="str">
        <f t="shared" si="104"/>
        <v>-1.39902068552014E-06</v>
      </c>
      <c r="AG173" s="31" t="str">
        <f t="shared" si="105"/>
        <v>0.0000737204194053924i</v>
      </c>
      <c r="AH173" s="31">
        <f t="shared" si="119"/>
        <v>7.3720419405392406E-5</v>
      </c>
      <c r="AI173" s="31">
        <f t="shared" si="120"/>
        <v>1.5707963267948966</v>
      </c>
      <c r="AJ173" s="31" t="str">
        <f t="shared" si="106"/>
        <v>1+0.00532521878659572i</v>
      </c>
      <c r="AK173" s="31">
        <f t="shared" si="121"/>
        <v>1.0000141788770422</v>
      </c>
      <c r="AL173" s="31">
        <f t="shared" si="122"/>
        <v>5.3251684500137215E-3</v>
      </c>
      <c r="AM173" s="31" t="str">
        <f t="shared" si="107"/>
        <v>1+2.58962257110511i</v>
      </c>
      <c r="AN173" s="31">
        <f t="shared" si="123"/>
        <v>2.775994427367793</v>
      </c>
      <c r="AO173" s="31">
        <f t="shared" si="124"/>
        <v>1.202280530272547</v>
      </c>
      <c r="AP173" s="58" t="str">
        <f t="shared" si="125"/>
        <v>-0.049041811722211+0.0192385420762854i</v>
      </c>
      <c r="AQ173" s="49">
        <f t="shared" si="126"/>
        <v>-25.56702458439355</v>
      </c>
      <c r="AR173" s="61">
        <f t="shared" si="127"/>
        <v>158.58049049798561</v>
      </c>
      <c r="AS173" s="58" t="str">
        <f t="shared" si="128"/>
        <v>12.7486320263721+21.724615659612i</v>
      </c>
      <c r="AT173" s="64">
        <f t="shared" si="129"/>
        <v>28.024224162111064</v>
      </c>
      <c r="AU173" s="61">
        <f t="shared" si="130"/>
        <v>59.5943581126024</v>
      </c>
    </row>
    <row r="174" spans="14:47" x14ac:dyDescent="0.4">
      <c r="N174" s="10">
        <v>56</v>
      </c>
      <c r="O174" s="50">
        <f t="shared" si="98"/>
        <v>363.07805477010152</v>
      </c>
      <c r="P174" s="48" t="str">
        <f t="shared" si="99"/>
        <v>5120.19230769231</v>
      </c>
      <c r="Q174" s="17" t="str">
        <f t="shared" si="100"/>
        <v>1+10.6606282284438i</v>
      </c>
      <c r="R174" s="17">
        <f t="shared" si="108"/>
        <v>10.707427059060116</v>
      </c>
      <c r="S174" s="17">
        <f t="shared" si="109"/>
        <v>1.4772669062767043</v>
      </c>
      <c r="T174" s="17" t="str">
        <f t="shared" si="101"/>
        <v>1+0.0000227900541239176i</v>
      </c>
      <c r="U174" s="17">
        <f t="shared" si="110"/>
        <v>1.0000000002596932</v>
      </c>
      <c r="V174" s="17">
        <f t="shared" si="111"/>
        <v>2.2790054119971986E-5</v>
      </c>
      <c r="W174" s="31" t="str">
        <f t="shared" si="102"/>
        <v>1-0.0369568445252718i</v>
      </c>
      <c r="X174" s="17">
        <f t="shared" si="112"/>
        <v>1.0006826711586772</v>
      </c>
      <c r="Y174" s="17">
        <f t="shared" si="113"/>
        <v>-3.6940032977564007E-2</v>
      </c>
      <c r="Z174" s="31" t="str">
        <f t="shared" si="103"/>
        <v>0.999947269730458+0.225010700190078i</v>
      </c>
      <c r="AA174" s="17">
        <f t="shared" si="114"/>
        <v>1.0249509048932182</v>
      </c>
      <c r="AB174" s="17">
        <f t="shared" si="115"/>
        <v>0.22133592059318363</v>
      </c>
      <c r="AC174" s="66" t="str">
        <f t="shared" si="116"/>
        <v>-76.5569933654463-460.548709949735i</v>
      </c>
      <c r="AD174" s="64">
        <f t="shared" si="117"/>
        <v>53.383889286021564</v>
      </c>
      <c r="AE174" s="61">
        <f t="shared" si="118"/>
        <v>-99.437975259407963</v>
      </c>
      <c r="AF174" s="31" t="str">
        <f t="shared" si="104"/>
        <v>-1.39902068552014E-06</v>
      </c>
      <c r="AG174" s="31" t="str">
        <f t="shared" si="105"/>
        <v>0.0000754375885655361i</v>
      </c>
      <c r="AH174" s="31">
        <f t="shared" si="119"/>
        <v>7.5437588565536101E-5</v>
      </c>
      <c r="AI174" s="31">
        <f t="shared" si="120"/>
        <v>1.5707963267948966</v>
      </c>
      <c r="AJ174" s="31" t="str">
        <f t="shared" si="106"/>
        <v>1+0.00544925906668524i</v>
      </c>
      <c r="AK174" s="31">
        <f t="shared" si="121"/>
        <v>1.0000148471019696</v>
      </c>
      <c r="AL174" s="31">
        <f t="shared" si="122"/>
        <v>5.44920513010912E-3</v>
      </c>
      <c r="AM174" s="31" t="str">
        <f t="shared" si="107"/>
        <v>1+2.64994262966393i</v>
      </c>
      <c r="AN174" s="31">
        <f t="shared" si="123"/>
        <v>2.8323481319410906</v>
      </c>
      <c r="AO174" s="31">
        <f t="shared" si="124"/>
        <v>1.2099523924469673</v>
      </c>
      <c r="AP174" s="58" t="str">
        <f t="shared" si="125"/>
        <v>-0.0490417461812839+0.018812646887217i</v>
      </c>
      <c r="AQ174" s="49">
        <f t="shared" si="126"/>
        <v>-25.592469534441399</v>
      </c>
      <c r="AR174" s="61">
        <f t="shared" si="127"/>
        <v>159.01294904331164</v>
      </c>
      <c r="AS174" s="58" t="str">
        <f t="shared" si="128"/>
        <v>12.4186288916781+21.1458732545415i</v>
      </c>
      <c r="AT174" s="64">
        <f t="shared" si="129"/>
        <v>27.791419751580161</v>
      </c>
      <c r="AU174" s="61">
        <f t="shared" si="130"/>
        <v>59.574973783903758</v>
      </c>
    </row>
    <row r="175" spans="14:47" x14ac:dyDescent="0.4">
      <c r="N175" s="10">
        <v>57</v>
      </c>
      <c r="O175" s="50">
        <f t="shared" si="98"/>
        <v>371.53522909717265</v>
      </c>
      <c r="P175" s="48" t="str">
        <f t="shared" si="99"/>
        <v>5120.19230769231</v>
      </c>
      <c r="Q175" s="17" t="str">
        <f t="shared" si="100"/>
        <v>1+10.9089461594769i</v>
      </c>
      <c r="R175" s="17">
        <f t="shared" si="108"/>
        <v>10.954684217738356</v>
      </c>
      <c r="S175" s="17">
        <f t="shared" si="109"/>
        <v>1.4793839187550304</v>
      </c>
      <c r="T175" s="17" t="str">
        <f t="shared" si="101"/>
        <v>1+0.000023320902678704i</v>
      </c>
      <c r="U175" s="17">
        <f t="shared" si="110"/>
        <v>1.0000000002719323</v>
      </c>
      <c r="V175" s="17">
        <f t="shared" si="111"/>
        <v>2.3320902674476199E-5</v>
      </c>
      <c r="W175" s="31" t="str">
        <f t="shared" si="102"/>
        <v>1-0.0378176800195199i</v>
      </c>
      <c r="X175" s="17">
        <f t="shared" si="112"/>
        <v>1.0007148329679434</v>
      </c>
      <c r="Y175" s="17">
        <f t="shared" si="113"/>
        <v>-3.7799666816499052E-2</v>
      </c>
      <c r="Z175" s="31" t="str">
        <f t="shared" si="103"/>
        <v>0.999944784629416+0.230251872692692i</v>
      </c>
      <c r="AA175" s="17">
        <f t="shared" si="114"/>
        <v>1.0261118346389251</v>
      </c>
      <c r="AB175" s="17">
        <f t="shared" si="115"/>
        <v>0.2263196668808134</v>
      </c>
      <c r="AC175" s="66" t="str">
        <f t="shared" si="116"/>
        <v>-78.3235908913204-449.049648556063i</v>
      </c>
      <c r="AD175" s="64">
        <f t="shared" si="117"/>
        <v>53.176041009364226</v>
      </c>
      <c r="AE175" s="61">
        <f t="shared" si="118"/>
        <v>-99.894041743553657</v>
      </c>
      <c r="AF175" s="31" t="str">
        <f t="shared" si="104"/>
        <v>-1.39902068552014E-06</v>
      </c>
      <c r="AG175" s="31" t="str">
        <f t="shared" si="105"/>
        <v>0.0000771947557336719i</v>
      </c>
      <c r="AH175" s="31">
        <f t="shared" si="119"/>
        <v>7.7194755733671897E-5</v>
      </c>
      <c r="AI175" s="31">
        <f t="shared" si="120"/>
        <v>1.5707963267948966</v>
      </c>
      <c r="AJ175" s="31" t="str">
        <f t="shared" si="106"/>
        <v>1+0.00557618861606137i</v>
      </c>
      <c r="AK175" s="31">
        <f t="shared" si="121"/>
        <v>1.0000155468188892</v>
      </c>
      <c r="AL175" s="31">
        <f t="shared" si="122"/>
        <v>5.576130822027325E-3</v>
      </c>
      <c r="AM175" s="31" t="str">
        <f t="shared" si="107"/>
        <v>1+2.71166772288114i</v>
      </c>
      <c r="AN175" s="31">
        <f t="shared" si="123"/>
        <v>2.8901802433957973</v>
      </c>
      <c r="AO175" s="31">
        <f t="shared" si="124"/>
        <v>1.2174927911375748</v>
      </c>
      <c r="AP175" s="58" t="str">
        <f t="shared" si="125"/>
        <v>-0.0490416775516959+0.0183967263788713i</v>
      </c>
      <c r="AQ175" s="49">
        <f t="shared" si="126"/>
        <v>-25.616909705881543</v>
      </c>
      <c r="AR175" s="61">
        <f t="shared" si="127"/>
        <v>159.43770975767066</v>
      </c>
      <c r="AS175" s="58" t="str">
        <f t="shared" si="128"/>
        <v>12.1021638041973+20.5812503985505i</v>
      </c>
      <c r="AT175" s="64">
        <f t="shared" si="129"/>
        <v>27.55913130348268</v>
      </c>
      <c r="AU175" s="61">
        <f t="shared" si="130"/>
        <v>59.543668014116939</v>
      </c>
    </row>
    <row r="176" spans="14:47" x14ac:dyDescent="0.4">
      <c r="N176" s="10">
        <v>58</v>
      </c>
      <c r="O176" s="50">
        <f t="shared" si="98"/>
        <v>380.18939632056163</v>
      </c>
      <c r="P176" s="48" t="str">
        <f t="shared" si="99"/>
        <v>5120.19230769231</v>
      </c>
      <c r="Q176" s="17" t="str">
        <f t="shared" si="100"/>
        <v>1+11.1630481581608i</v>
      </c>
      <c r="R176" s="17">
        <f t="shared" si="108"/>
        <v>11.207749291513315</v>
      </c>
      <c r="S176" s="17">
        <f t="shared" si="109"/>
        <v>1.4814535364102877</v>
      </c>
      <c r="T176" s="17" t="str">
        <f t="shared" si="101"/>
        <v>1+0.0000238641162847793i</v>
      </c>
      <c r="U176" s="17">
        <f t="shared" si="110"/>
        <v>1.000000000284748</v>
      </c>
      <c r="V176" s="17">
        <f t="shared" si="111"/>
        <v>2.3864116280249126E-5</v>
      </c>
      <c r="W176" s="31" t="str">
        <f t="shared" si="102"/>
        <v>1-0.0386985669482906i</v>
      </c>
      <c r="X176" s="17">
        <f t="shared" si="112"/>
        <v>1.0007485094087583</v>
      </c>
      <c r="Y176" s="17">
        <f t="shared" si="113"/>
        <v>-3.8679266233120797E-2</v>
      </c>
      <c r="Z176" s="31" t="str">
        <f t="shared" si="103"/>
        <v>0.99994218240917+0.235615127785952i</v>
      </c>
      <c r="AA176" s="17">
        <f t="shared" si="114"/>
        <v>1.0273260712173151</v>
      </c>
      <c r="AB176" s="17">
        <f t="shared" si="115"/>
        <v>0.23140772260553955</v>
      </c>
      <c r="AC176" s="66" t="str">
        <f t="shared" si="116"/>
        <v>-79.9880210170154-437.77763440202i</v>
      </c>
      <c r="AD176" s="64">
        <f t="shared" si="117"/>
        <v>52.967690152234553</v>
      </c>
      <c r="AE176" s="61">
        <f t="shared" si="118"/>
        <v>-100.35451242974744</v>
      </c>
      <c r="AF176" s="31" t="str">
        <f t="shared" si="104"/>
        <v>-1.39902068552014E-06</v>
      </c>
      <c r="AG176" s="31" t="str">
        <f t="shared" si="105"/>
        <v>0.000078992852583091i</v>
      </c>
      <c r="AH176" s="31">
        <f t="shared" si="119"/>
        <v>7.8992852583091005E-5</v>
      </c>
      <c r="AI176" s="31">
        <f t="shared" si="120"/>
        <v>1.5707963267948966</v>
      </c>
      <c r="AJ176" s="31" t="str">
        <f t="shared" si="106"/>
        <v>1+0.00570607473445131i</v>
      </c>
      <c r="AK176" s="31">
        <f t="shared" si="121"/>
        <v>1.0000162795119263</v>
      </c>
      <c r="AL176" s="31">
        <f t="shared" si="122"/>
        <v>5.7060128070825517E-3</v>
      </c>
      <c r="AM176" s="31" t="str">
        <f t="shared" si="107"/>
        <v>1+2.77483057821818i</v>
      </c>
      <c r="AN176" s="31">
        <f t="shared" si="123"/>
        <v>2.9495227983208809</v>
      </c>
      <c r="AO176" s="31">
        <f t="shared" si="124"/>
        <v>1.2249022935362472</v>
      </c>
      <c r="AP176" s="58" t="str">
        <f t="shared" si="125"/>
        <v>-0.0490416056879008+0.0179905600222811i</v>
      </c>
      <c r="AQ176" s="49">
        <f t="shared" si="126"/>
        <v>-25.640379481400579</v>
      </c>
      <c r="AR176" s="61">
        <f t="shared" si="127"/>
        <v>159.85480128382835</v>
      </c>
      <c r="AS176" s="58" t="str">
        <f t="shared" si="128"/>
        <v>11.7986057945938+20.0302888321558i</v>
      </c>
      <c r="AT176" s="64">
        <f t="shared" si="129"/>
        <v>27.327310670833999</v>
      </c>
      <c r="AU176" s="61">
        <f t="shared" si="130"/>
        <v>59.500288854080885</v>
      </c>
    </row>
    <row r="177" spans="14:47" x14ac:dyDescent="0.4">
      <c r="N177" s="10">
        <v>59</v>
      </c>
      <c r="O177" s="50">
        <f t="shared" si="98"/>
        <v>389.04514499428063</v>
      </c>
      <c r="P177" s="48" t="str">
        <f t="shared" si="99"/>
        <v>5120.19230769231</v>
      </c>
      <c r="Q177" s="17" t="str">
        <f t="shared" si="100"/>
        <v>1+11.4230689527385i</v>
      </c>
      <c r="R177" s="17">
        <f t="shared" si="108"/>
        <v>11.466756485555026</v>
      </c>
      <c r="S177" s="17">
        <f t="shared" si="109"/>
        <v>1.4834767856232962</v>
      </c>
      <c r="T177" s="17" t="str">
        <f t="shared" si="101"/>
        <v>1+0.0000244199829611876i</v>
      </c>
      <c r="U177" s="17">
        <f t="shared" si="110"/>
        <v>1.0000000002981677</v>
      </c>
      <c r="V177" s="17">
        <f t="shared" si="111"/>
        <v>2.4419982956333429E-5</v>
      </c>
      <c r="W177" s="31" t="str">
        <f t="shared" si="102"/>
        <v>1-0.0395999723694934i</v>
      </c>
      <c r="X177" s="17">
        <f t="shared" si="112"/>
        <v>1.0007837717567489</v>
      </c>
      <c r="Y177" s="17">
        <f t="shared" si="113"/>
        <v>-3.9579292155241724E-2</v>
      </c>
      <c r="Z177" s="31" t="str">
        <f t="shared" si="103"/>
        <v>0.999939457550063+0.241103309138699i</v>
      </c>
      <c r="AA177" s="17">
        <f t="shared" si="114"/>
        <v>1.0285959967077187</v>
      </c>
      <c r="AB177" s="17">
        <f t="shared" si="115"/>
        <v>0.23660173475520729</v>
      </c>
      <c r="AC177" s="66" t="str">
        <f t="shared" si="116"/>
        <v>-81.553792214304-426.728153538283i</v>
      </c>
      <c r="AD177" s="64">
        <f t="shared" si="117"/>
        <v>52.758822159313183</v>
      </c>
      <c r="AE177" s="61">
        <f t="shared" si="118"/>
        <v>-100.819566883447</v>
      </c>
      <c r="AF177" s="31" t="str">
        <f t="shared" si="104"/>
        <v>-1.39902068552014E-06</v>
      </c>
      <c r="AG177" s="31" t="str">
        <f t="shared" si="105"/>
        <v>0.0000808328324885437i</v>
      </c>
      <c r="AH177" s="31">
        <f t="shared" si="119"/>
        <v>8.0832832488543705E-5</v>
      </c>
      <c r="AI177" s="31">
        <f t="shared" si="120"/>
        <v>1.5707963267948966</v>
      </c>
      <c r="AJ177" s="31" t="str">
        <f t="shared" si="106"/>
        <v>1+0.00583898628919429i</v>
      </c>
      <c r="AK177" s="31">
        <f t="shared" si="121"/>
        <v>1.000017046735147</v>
      </c>
      <c r="AL177" s="31">
        <f t="shared" si="122"/>
        <v>5.838919932884234E-3</v>
      </c>
      <c r="AM177" s="31" t="str">
        <f t="shared" si="107"/>
        <v>1+2.83946468545701i</v>
      </c>
      <c r="AN177" s="31">
        <f t="shared" si="123"/>
        <v>3.0104085603049753</v>
      </c>
      <c r="AO177" s="31">
        <f t="shared" si="124"/>
        <v>1.2321815729870322</v>
      </c>
      <c r="AP177" s="58" t="str">
        <f t="shared" si="125"/>
        <v>-0.0490415304374949+0.0175939324600882i</v>
      </c>
      <c r="AQ177" s="49">
        <f t="shared" si="126"/>
        <v>-25.662912488007343</v>
      </c>
      <c r="AR177" s="61">
        <f t="shared" si="127"/>
        <v>160.26425825687883</v>
      </c>
      <c r="AS177" s="58" t="str">
        <f t="shared" si="128"/>
        <v>11.5073490953416+19.4925498182012i</v>
      </c>
      <c r="AT177" s="64">
        <f t="shared" si="129"/>
        <v>27.095909671305844</v>
      </c>
      <c r="AU177" s="61">
        <f t="shared" si="130"/>
        <v>59.44469137343193</v>
      </c>
    </row>
    <row r="178" spans="14:47" x14ac:dyDescent="0.4">
      <c r="N178" s="10">
        <v>60</v>
      </c>
      <c r="O178" s="50">
        <f t="shared" si="98"/>
        <v>398.10717055349761</v>
      </c>
      <c r="P178" s="48" t="str">
        <f t="shared" si="99"/>
        <v>5120.19230769231</v>
      </c>
      <c r="Q178" s="17" t="str">
        <f t="shared" si="100"/>
        <v>1+11.6891464096771i</v>
      </c>
      <c r="R178" s="17">
        <f t="shared" si="108"/>
        <v>11.731843153864062</v>
      </c>
      <c r="S178" s="17">
        <f t="shared" si="109"/>
        <v>1.4854546728528917</v>
      </c>
      <c r="T178" s="17" t="str">
        <f t="shared" si="101"/>
        <v>1+0.0000249887974357987i</v>
      </c>
      <c r="U178" s="17">
        <f t="shared" si="110"/>
        <v>1.00000000031222</v>
      </c>
      <c r="V178" s="17">
        <f t="shared" si="111"/>
        <v>2.4988797430597366E-5</v>
      </c>
      <c r="W178" s="31" t="str">
        <f t="shared" si="102"/>
        <v>1-0.040522374220214i</v>
      </c>
      <c r="X178" s="17">
        <f t="shared" si="112"/>
        <v>1.0008206946363785</v>
      </c>
      <c r="Y178" s="17">
        <f t="shared" si="113"/>
        <v>-4.0500215952687789E-2</v>
      </c>
      <c r="Z178" s="31" t="str">
        <f t="shared" si="103"/>
        <v>0.999936604272302+0.246719326657331i</v>
      </c>
      <c r="AA178" s="17">
        <f t="shared" si="114"/>
        <v>1.029924093664125</v>
      </c>
      <c r="AB178" s="17">
        <f t="shared" si="115"/>
        <v>0.24190333949043899</v>
      </c>
      <c r="AC178" s="66" t="str">
        <f t="shared" si="116"/>
        <v>-83.0242364746833-415.896759742101i</v>
      </c>
      <c r="AD178" s="64">
        <f t="shared" si="117"/>
        <v>52.549421675687853</v>
      </c>
      <c r="AE178" s="61">
        <f t="shared" si="118"/>
        <v>-101.28938350620915</v>
      </c>
      <c r="AF178" s="31" t="str">
        <f t="shared" si="104"/>
        <v>-1.39902068552014E-06</v>
      </c>
      <c r="AG178" s="31" t="str">
        <f t="shared" si="105"/>
        <v>0.0000827156710317308i</v>
      </c>
      <c r="AH178" s="31">
        <f t="shared" si="119"/>
        <v>8.2715671031730802E-5</v>
      </c>
      <c r="AI178" s="31">
        <f t="shared" si="120"/>
        <v>1.5707963267948966</v>
      </c>
      <c r="AJ178" s="31" t="str">
        <f t="shared" si="106"/>
        <v>1+0.00597499375175591i</v>
      </c>
      <c r="AK178" s="31">
        <f t="shared" si="121"/>
        <v>1.0000178501158534</v>
      </c>
      <c r="AL178" s="31">
        <f t="shared" si="122"/>
        <v>5.9749226497572061E-3</v>
      </c>
      <c r="AM178" s="31" t="str">
        <f t="shared" si="107"/>
        <v>1+2.90560431445683i</v>
      </c>
      <c r="AN178" s="31">
        <f t="shared" si="123"/>
        <v>3.07287104060521</v>
      </c>
      <c r="AO178" s="31">
        <f t="shared" si="124"/>
        <v>1.2393314023951532</v>
      </c>
      <c r="AP178" s="58" t="str">
        <f t="shared" si="125"/>
        <v>-0.0490414516408944+0.017206633392344i</v>
      </c>
      <c r="AQ178" s="49">
        <f t="shared" si="126"/>
        <v>-25.684541579725213</v>
      </c>
      <c r="AR178" s="61">
        <f t="shared" si="127"/>
        <v>160.6661209245236</v>
      </c>
      <c r="AS178" s="58" t="str">
        <f t="shared" si="128"/>
        <v>11.2278121520415+18.9676132307978i</v>
      </c>
      <c r="AT178" s="64">
        <f t="shared" si="129"/>
        <v>26.864880095962658</v>
      </c>
      <c r="AU178" s="61">
        <f t="shared" si="130"/>
        <v>59.376737418314406</v>
      </c>
    </row>
    <row r="179" spans="14:47" x14ac:dyDescent="0.4">
      <c r="N179" s="10">
        <v>61</v>
      </c>
      <c r="O179" s="50">
        <f t="shared" si="98"/>
        <v>407.38027780411272</v>
      </c>
      <c r="P179" s="48" t="str">
        <f t="shared" si="99"/>
        <v>5120.19230769231</v>
      </c>
      <c r="Q179" s="17" t="str">
        <f t="shared" si="100"/>
        <v>1+11.9614216067664i</v>
      </c>
      <c r="R179" s="17">
        <f t="shared" si="108"/>
        <v>12.003149872213465</v>
      </c>
      <c r="S179" s="17">
        <f t="shared" si="109"/>
        <v>1.4873881848661561</v>
      </c>
      <c r="T179" s="17" t="str">
        <f t="shared" si="101"/>
        <v>1+0.0000255708613015761i</v>
      </c>
      <c r="U179" s="17">
        <f t="shared" si="110"/>
        <v>1.0000000003269345</v>
      </c>
      <c r="V179" s="17">
        <f t="shared" si="111"/>
        <v>2.5570861296002768E-5</v>
      </c>
      <c r="W179" s="31" t="str">
        <f t="shared" si="102"/>
        <v>1-0.0414662615701233i</v>
      </c>
      <c r="X179" s="17">
        <f t="shared" si="112"/>
        <v>1.0008593561777808</v>
      </c>
      <c r="Y179" s="17">
        <f t="shared" si="113"/>
        <v>-4.1442519659594834E-2</v>
      </c>
      <c r="Z179" s="31" t="str">
        <f t="shared" si="103"/>
        <v>0.999933616523702+0.252466158028673i</v>
      </c>
      <c r="AA179" s="17">
        <f t="shared" si="114"/>
        <v>1.0313129488200605</v>
      </c>
      <c r="AB179" s="17">
        <f t="shared" si="115"/>
        <v>0.24731415912351681</v>
      </c>
      <c r="AC179" s="66" t="str">
        <f t="shared" si="116"/>
        <v>-84.402516109094-405.279077734473i</v>
      </c>
      <c r="AD179" s="64">
        <f t="shared" si="117"/>
        <v>52.339472538492949</v>
      </c>
      <c r="AE179" s="61">
        <f t="shared" si="118"/>
        <v>-101.76413938851128</v>
      </c>
      <c r="AF179" s="31" t="str">
        <f t="shared" si="104"/>
        <v>-1.39902068552014E-06</v>
      </c>
      <c r="AG179" s="31" t="str">
        <f t="shared" si="105"/>
        <v>0.0000846423665185703i</v>
      </c>
      <c r="AH179" s="31">
        <f t="shared" si="119"/>
        <v>8.4642366518570302E-5</v>
      </c>
      <c r="AI179" s="31">
        <f t="shared" si="120"/>
        <v>1.5707963267948966</v>
      </c>
      <c r="AJ179" s="31" t="str">
        <f t="shared" si="106"/>
        <v>1+0.00611416923509312i</v>
      </c>
      <c r="AK179" s="31">
        <f t="shared" si="121"/>
        <v>1.0000186913580342</v>
      </c>
      <c r="AL179" s="31">
        <f t="shared" si="122"/>
        <v>6.1140930480057774E-3</v>
      </c>
      <c r="AM179" s="31" t="str">
        <f t="shared" si="107"/>
        <v>1+2.9732845333244i</v>
      </c>
      <c r="AN179" s="31">
        <f t="shared" si="123"/>
        <v>3.1369445191310117</v>
      </c>
      <c r="AO179" s="31">
        <f t="shared" si="124"/>
        <v>1.246352647765119</v>
      </c>
      <c r="AP179" s="58" t="str">
        <f t="shared" si="125"/>
        <v>-0.0490413691309958+0.0168284574649939i</v>
      </c>
      <c r="AQ179" s="49">
        <f t="shared" si="126"/>
        <v>-25.705298823699042</v>
      </c>
      <c r="AR179" s="61">
        <f t="shared" si="127"/>
        <v>161.06043477469558</v>
      </c>
      <c r="AS179" s="58" t="str">
        <f t="shared" si="128"/>
        <v>10.9594366691974+18.4550766999655i</v>
      </c>
      <c r="AT179" s="64">
        <f t="shared" si="129"/>
        <v>26.63417371479391</v>
      </c>
      <c r="AU179" s="61">
        <f t="shared" si="130"/>
        <v>59.296295386184404</v>
      </c>
    </row>
    <row r="180" spans="14:47" x14ac:dyDescent="0.4">
      <c r="N180" s="10">
        <v>62</v>
      </c>
      <c r="O180" s="50">
        <f t="shared" si="98"/>
        <v>416.86938347033572</v>
      </c>
      <c r="P180" s="48" t="str">
        <f t="shared" si="99"/>
        <v>5120.19230769231</v>
      </c>
      <c r="Q180" s="17" t="str">
        <f t="shared" si="100"/>
        <v>1+12.2400389079196i</v>
      </c>
      <c r="R180" s="17">
        <f t="shared" si="108"/>
        <v>12.280820512790894</v>
      </c>
      <c r="S180" s="17">
        <f t="shared" si="109"/>
        <v>1.4892782889776173</v>
      </c>
      <c r="T180" s="17" t="str">
        <f t="shared" si="101"/>
        <v>1+0.000026166483176486i</v>
      </c>
      <c r="U180" s="17">
        <f t="shared" si="110"/>
        <v>1.0000000003423424</v>
      </c>
      <c r="V180" s="17">
        <f t="shared" si="111"/>
        <v>2.6166483170514069E-5</v>
      </c>
      <c r="W180" s="31" t="str">
        <f t="shared" si="102"/>
        <v>1-0.042432134880788i</v>
      </c>
      <c r="X180" s="17">
        <f t="shared" si="112"/>
        <v>1.0008998381808949</v>
      </c>
      <c r="Y180" s="17">
        <f t="shared" si="113"/>
        <v>-4.2406696200400149E-2</v>
      </c>
      <c r="Z180" s="31" t="str">
        <f t="shared" si="103"/>
        <v>0.99993048796685+0.258346850298787i</v>
      </c>
      <c r="AA180" s="17">
        <f t="shared" si="114"/>
        <v>1.0327652568831538</v>
      </c>
      <c r="AB180" s="17">
        <f t="shared" si="115"/>
        <v>0.25283579890766361</v>
      </c>
      <c r="AC180" s="66" t="str">
        <f t="shared" si="116"/>
        <v>-85.69163040122-394.87080617297i</v>
      </c>
      <c r="AD180" s="64">
        <f t="shared" si="117"/>
        <v>52.12895776886878</v>
      </c>
      <c r="AE180" s="61">
        <f t="shared" si="118"/>
        <v>-102.24401015243555</v>
      </c>
      <c r="AF180" s="31" t="str">
        <f t="shared" si="104"/>
        <v>-1.39902068552014E-06</v>
      </c>
      <c r="AG180" s="31" t="str">
        <f t="shared" si="105"/>
        <v>0.0000866139405085122i</v>
      </c>
      <c r="AH180" s="31">
        <f t="shared" si="119"/>
        <v>8.6613940508512195E-5</v>
      </c>
      <c r="AI180" s="31">
        <f t="shared" si="120"/>
        <v>1.5707963267948966</v>
      </c>
      <c r="AJ180" s="31" t="str">
        <f t="shared" si="106"/>
        <v>1+0.00625658653188938i</v>
      </c>
      <c r="AK180" s="31">
        <f t="shared" si="121"/>
        <v>1.000019572245979</v>
      </c>
      <c r="AL180" s="31">
        <f t="shared" si="122"/>
        <v>6.2565048960407767E-3</v>
      </c>
      <c r="AM180" s="31" t="str">
        <f t="shared" si="107"/>
        <v>1+3.04254122700762i</v>
      </c>
      <c r="AN180" s="31">
        <f t="shared" si="123"/>
        <v>3.2026640657491749</v>
      </c>
      <c r="AO180" s="31">
        <f t="shared" si="124"/>
        <v>1.253246261885864</v>
      </c>
      <c r="AP180" s="58" t="str">
        <f t="shared" si="125"/>
        <v>-0.0490412827328232+0.0164592041609812i</v>
      </c>
      <c r="AQ180" s="49">
        <f t="shared" si="126"/>
        <v>-25.725215489509949</v>
      </c>
      <c r="AR180" s="61">
        <f t="shared" si="127"/>
        <v>161.447250171561</v>
      </c>
      <c r="AS180" s="58" t="str">
        <f t="shared" si="128"/>
        <v>10.701686690355+17.9545548088054i</v>
      </c>
      <c r="AT180" s="64">
        <f t="shared" si="129"/>
        <v>26.403742279358831</v>
      </c>
      <c r="AU180" s="61">
        <f t="shared" si="130"/>
        <v>59.203240019125317</v>
      </c>
    </row>
    <row r="181" spans="14:47" x14ac:dyDescent="0.4">
      <c r="N181" s="10">
        <v>63</v>
      </c>
      <c r="O181" s="50">
        <f t="shared" si="98"/>
        <v>426.57951880159294</v>
      </c>
      <c r="P181" s="48" t="str">
        <f t="shared" si="99"/>
        <v>5120.19230769231</v>
      </c>
      <c r="Q181" s="17" t="str">
        <f t="shared" si="100"/>
        <v>1+12.5251460397179i</v>
      </c>
      <c r="R181" s="17">
        <f t="shared" si="108"/>
        <v>12.565002320583192</v>
      </c>
      <c r="S181" s="17">
        <f t="shared" si="109"/>
        <v>1.4911259332963485</v>
      </c>
      <c r="T181" s="17" t="str">
        <f t="shared" si="101"/>
        <v>1+0.0000267759788671303i</v>
      </c>
      <c r="U181" s="17">
        <f t="shared" si="110"/>
        <v>1.0000000003584764</v>
      </c>
      <c r="V181" s="17">
        <f t="shared" si="111"/>
        <v>2.6775978860731261E-5</v>
      </c>
      <c r="W181" s="31" t="str">
        <f t="shared" si="102"/>
        <v>1-0.0434205062710221i</v>
      </c>
      <c r="X181" s="17">
        <f t="shared" si="112"/>
        <v>1.0009422262872276</v>
      </c>
      <c r="Y181" s="17">
        <f t="shared" si="113"/>
        <v>-4.3393249619512804E-2</v>
      </c>
      <c r="Z181" s="31" t="str">
        <f t="shared" si="103"/>
        <v>0.999927211965656+0.264364521488554i</v>
      </c>
      <c r="AA181" s="17">
        <f t="shared" si="114"/>
        <v>1.0342838244173027</v>
      </c>
      <c r="AB181" s="17">
        <f t="shared" si="115"/>
        <v>0.25846984363143699</v>
      </c>
      <c r="AC181" s="66" t="str">
        <f t="shared" si="116"/>
        <v>-86.8944221221279-384.667720435392i</v>
      </c>
      <c r="AD181" s="64">
        <f t="shared" si="117"/>
        <v>51.917859564352902</v>
      </c>
      <c r="AE181" s="61">
        <f t="shared" si="118"/>
        <v>-102.72916978384897</v>
      </c>
      <c r="AF181" s="31" t="str">
        <f t="shared" si="104"/>
        <v>-1.39902068552014E-06</v>
      </c>
      <c r="AG181" s="31" t="str">
        <f t="shared" si="105"/>
        <v>0.0000886314383561826i</v>
      </c>
      <c r="AH181" s="31">
        <f t="shared" si="119"/>
        <v>8.8631438356182596E-5</v>
      </c>
      <c r="AI181" s="31">
        <f t="shared" si="120"/>
        <v>1.5707963267948966</v>
      </c>
      <c r="AJ181" s="31" t="str">
        <f t="shared" si="106"/>
        <v>1+0.00640232115368055i</v>
      </c>
      <c r="AK181" s="31">
        <f t="shared" si="121"/>
        <v>1.0000204946480622</v>
      </c>
      <c r="AL181" s="31">
        <f t="shared" si="122"/>
        <v>6.4022336793895934E-3</v>
      </c>
      <c r="AM181" s="31" t="str">
        <f t="shared" si="107"/>
        <v>1+3.11341111632218i</v>
      </c>
      <c r="AN181" s="31">
        <f t="shared" si="123"/>
        <v>3.270065561917455</v>
      </c>
      <c r="AO181" s="31">
        <f t="shared" si="124"/>
        <v>1.2600132781783457</v>
      </c>
      <c r="AP181" s="58" t="str">
        <f t="shared" si="125"/>
        <v>-0.0490411922631564+0.0160986776939151i</v>
      </c>
      <c r="AQ181" s="49">
        <f t="shared" si="126"/>
        <v>-25.744322041491955</v>
      </c>
      <c r="AR181" s="61">
        <f t="shared" si="127"/>
        <v>161.82662200077712</v>
      </c>
      <c r="AS181" s="58" t="str">
        <f t="shared" si="128"/>
        <v>10.4540477124296+17.465678340159i</v>
      </c>
      <c r="AT181" s="64">
        <f t="shared" si="129"/>
        <v>26.173537522860958</v>
      </c>
      <c r="AU181" s="61">
        <f t="shared" si="130"/>
        <v>59.097452216928005</v>
      </c>
    </row>
    <row r="182" spans="14:47" x14ac:dyDescent="0.4">
      <c r="N182" s="10">
        <v>64</v>
      </c>
      <c r="O182" s="50">
        <f t="shared" si="98"/>
        <v>436.51583224016622</v>
      </c>
      <c r="P182" s="48" t="str">
        <f t="shared" si="99"/>
        <v>5120.19230769231</v>
      </c>
      <c r="Q182" s="17" t="str">
        <f t="shared" si="100"/>
        <v>1+12.8168941697364i</v>
      </c>
      <c r="R182" s="17">
        <f t="shared" si="108"/>
        <v>12.855845991541084</v>
      </c>
      <c r="S182" s="17">
        <f t="shared" si="109"/>
        <v>1.4929320469799459</v>
      </c>
      <c r="T182" s="17" t="str">
        <f t="shared" si="101"/>
        <v>1+0.000027399671536192i</v>
      </c>
      <c r="U182" s="17">
        <f t="shared" si="110"/>
        <v>1.0000000003753708</v>
      </c>
      <c r="V182" s="17">
        <f t="shared" si="111"/>
        <v>2.7399671529335306E-5</v>
      </c>
      <c r="W182" s="31" t="str">
        <f t="shared" si="102"/>
        <v>1-0.0444318997884194i</v>
      </c>
      <c r="X182" s="17">
        <f t="shared" si="112"/>
        <v>1.0009866101596006</v>
      </c>
      <c r="Y182" s="17">
        <f t="shared" si="113"/>
        <v>-4.4402695314636503E-2</v>
      </c>
      <c r="Z182" s="31" t="str">
        <f t="shared" si="103"/>
        <v>0.999923781571281+0.270522362246891i</v>
      </c>
      <c r="AA182" s="17">
        <f t="shared" si="114"/>
        <v>1.0358715738099242</v>
      </c>
      <c r="AB182" s="17">
        <f t="shared" si="115"/>
        <v>0.26421785401341863</v>
      </c>
      <c r="AC182" s="66" t="str">
        <f t="shared" si="116"/>
        <v>-88.0135839146499-374.665675208286i</v>
      </c>
      <c r="AD182" s="64">
        <f t="shared" si="117"/>
        <v>51.706159291830581</v>
      </c>
      <c r="AE182" s="61">
        <f t="shared" si="118"/>
        <v>-103.21979045374557</v>
      </c>
      <c r="AF182" s="31" t="str">
        <f t="shared" si="104"/>
        <v>-1.39902068552014E-06</v>
      </c>
      <c r="AG182" s="31" t="str">
        <f t="shared" si="105"/>
        <v>0.0000906959297656453i</v>
      </c>
      <c r="AH182" s="31">
        <f t="shared" si="119"/>
        <v>9.0695929765645305E-5</v>
      </c>
      <c r="AI182" s="31">
        <f t="shared" si="120"/>
        <v>1.5707963267948966</v>
      </c>
      <c r="AJ182" s="31" t="str">
        <f t="shared" si="106"/>
        <v>1+0.00655145037089213i</v>
      </c>
      <c r="AK182" s="31">
        <f t="shared" si="121"/>
        <v>1.0000214605207041</v>
      </c>
      <c r="AL182" s="31">
        <f t="shared" si="122"/>
        <v>6.5513566406092951E-3</v>
      </c>
      <c r="AM182" s="31" t="str">
        <f t="shared" si="107"/>
        <v>1+3.18593177742148i</v>
      </c>
      <c r="AN182" s="31">
        <f t="shared" si="123"/>
        <v>3.3391857226551491</v>
      </c>
      <c r="AO182" s="31">
        <f t="shared" si="124"/>
        <v>1.2666548047186956</v>
      </c>
      <c r="AP182" s="58" t="str">
        <f t="shared" si="125"/>
        <v>-0.0490410975301432+0.0157466869042464i</v>
      </c>
      <c r="AQ182" s="49">
        <f t="shared" si="126"/>
        <v>-25.762648133844046</v>
      </c>
      <c r="AR182" s="61">
        <f t="shared" si="127"/>
        <v>162.19860932475672</v>
      </c>
      <c r="AS182" s="58" t="str">
        <f t="shared" si="128"/>
        <v>10.2160258340087+16.9880935698619i</v>
      </c>
      <c r="AT182" s="64">
        <f t="shared" si="129"/>
        <v>25.943511157986528</v>
      </c>
      <c r="AU182" s="61">
        <f t="shared" si="130"/>
        <v>58.978818871011264</v>
      </c>
    </row>
    <row r="183" spans="14:47" x14ac:dyDescent="0.4">
      <c r="N183" s="10">
        <v>65</v>
      </c>
      <c r="O183" s="50">
        <f t="shared" si="98"/>
        <v>446.68359215096331</v>
      </c>
      <c r="P183" s="48" t="str">
        <f t="shared" si="99"/>
        <v>5120.19230769231</v>
      </c>
      <c r="Q183" s="17" t="str">
        <f t="shared" si="100"/>
        <v>1+13.1154379866953i</v>
      </c>
      <c r="R183" s="17">
        <f t="shared" si="108"/>
        <v>13.153505752568401</v>
      </c>
      <c r="S183" s="17">
        <f t="shared" si="109"/>
        <v>1.4946975404944658</v>
      </c>
      <c r="T183" s="17" t="str">
        <f t="shared" si="101"/>
        <v>1+0.0000280378918737797i</v>
      </c>
      <c r="U183" s="17">
        <f t="shared" si="110"/>
        <v>1.0000000003930616</v>
      </c>
      <c r="V183" s="17">
        <f t="shared" si="111"/>
        <v>2.8037891866432617E-5</v>
      </c>
      <c r="W183" s="31" t="str">
        <f t="shared" si="102"/>
        <v>1-0.0454668516872103i</v>
      </c>
      <c r="X183" s="17">
        <f t="shared" si="112"/>
        <v>1.0010330836702386</v>
      </c>
      <c r="Y183" s="17">
        <f t="shared" si="113"/>
        <v>-4.5435560273710214E-2</v>
      </c>
      <c r="Z183" s="31" t="str">
        <f t="shared" si="103"/>
        <v>0.999920189507401+0.27682363754248i</v>
      </c>
      <c r="AA183" s="17">
        <f t="shared" si="114"/>
        <v>1.037531547321221</v>
      </c>
      <c r="AB183" s="17">
        <f t="shared" si="115"/>
        <v>0.27008136289293183</v>
      </c>
      <c r="AC183" s="66" t="str">
        <f t="shared" si="116"/>
        <v>-89.0516645562999-364.860606892551i</v>
      </c>
      <c r="AD183" s="64">
        <f t="shared" si="117"/>
        <v>51.493837481173102</v>
      </c>
      <c r="AE183" s="61">
        <f t="shared" si="118"/>
        <v>-103.71604232844899</v>
      </c>
      <c r="AF183" s="31" t="str">
        <f t="shared" si="104"/>
        <v>-1.39902068552014E-06</v>
      </c>
      <c r="AG183" s="31" t="str">
        <f t="shared" si="105"/>
        <v>0.0000928085093575723i</v>
      </c>
      <c r="AH183" s="31">
        <f t="shared" si="119"/>
        <v>9.2808509357572298E-5</v>
      </c>
      <c r="AI183" s="31">
        <f t="shared" si="120"/>
        <v>1.5707963267948966</v>
      </c>
      <c r="AJ183" s="31" t="str">
        <f t="shared" si="106"/>
        <v>1+0.00670405325380906i</v>
      </c>
      <c r="AK183" s="31">
        <f t="shared" si="121"/>
        <v>1.0000224719125215</v>
      </c>
      <c r="AL183" s="31">
        <f t="shared" si="122"/>
        <v>6.7039528201234084E-3</v>
      </c>
      <c r="AM183" s="31" t="str">
        <f t="shared" si="107"/>
        <v>1+3.26014166171997i</v>
      </c>
      <c r="AN183" s="31">
        <f t="shared" si="123"/>
        <v>3.4100621188597495</v>
      </c>
      <c r="AO183" s="31">
        <f t="shared" si="124"/>
        <v>1.2731720184477779</v>
      </c>
      <c r="AP183" s="58" t="str">
        <f t="shared" si="125"/>
        <v>-0.0490409983328929+0.0154030451578937i</v>
      </c>
      <c r="AQ183" s="49">
        <f t="shared" si="126"/>
        <v>-25.780222608335176</v>
      </c>
      <c r="AR183" s="61">
        <f t="shared" si="127"/>
        <v>162.56327504856191</v>
      </c>
      <c r="AS183" s="58" t="str">
        <f t="shared" si="128"/>
        <v>9.9871469373493+16.5214616038096i</v>
      </c>
      <c r="AT183" s="64">
        <f t="shared" si="129"/>
        <v>25.71361487283793</v>
      </c>
      <c r="AU183" s="61">
        <f t="shared" si="130"/>
        <v>58.847232720112906</v>
      </c>
    </row>
    <row r="184" spans="14:47" x14ac:dyDescent="0.4">
      <c r="N184" s="10">
        <v>66</v>
      </c>
      <c r="O184" s="50">
        <f t="shared" ref="O184:O218" si="131">10^(2+(N184/100))</f>
        <v>457.0881896148756</v>
      </c>
      <c r="P184" s="48" t="str">
        <f t="shared" si="99"/>
        <v>5120.19230769231</v>
      </c>
      <c r="Q184" s="17" t="str">
        <f t="shared" si="100"/>
        <v>1+13.4209357824781i</v>
      </c>
      <c r="R184" s="17">
        <f t="shared" si="108"/>
        <v>13.458139443377791</v>
      </c>
      <c r="S184" s="17">
        <f t="shared" si="109"/>
        <v>1.4964233058794485</v>
      </c>
      <c r="T184" s="17" t="str">
        <f t="shared" si="101"/>
        <v>1+0.0000286909782727643i</v>
      </c>
      <c r="U184" s="17">
        <f t="shared" si="110"/>
        <v>1.0000000004115861</v>
      </c>
      <c r="V184" s="17">
        <f t="shared" si="111"/>
        <v>2.8690978264891763E-5</v>
      </c>
      <c r="W184" s="31" t="str">
        <f t="shared" si="102"/>
        <v>1-0.0465259107125907i</v>
      </c>
      <c r="X184" s="17">
        <f t="shared" si="112"/>
        <v>1.00108174509759</v>
      </c>
      <c r="Y184" s="17">
        <f t="shared" si="113"/>
        <v>-4.6492383315424102E-2</v>
      </c>
      <c r="Z184" s="31" t="str">
        <f t="shared" si="103"/>
        <v>0.999916428154766+0.283271688394887i</v>
      </c>
      <c r="AA184" s="17">
        <f t="shared" si="114"/>
        <v>1.0392669112118771</v>
      </c>
      <c r="AB184" s="17">
        <f t="shared" si="115"/>
        <v>0.27606187121315617</v>
      </c>
      <c r="AC184" s="66" t="str">
        <f t="shared" si="116"/>
        <v>-90.0110751099563-355.248535837068i</v>
      </c>
      <c r="AD184" s="64">
        <f t="shared" si="117"/>
        <v>51.280873819705349</v>
      </c>
      <c r="AE184" s="61">
        <f t="shared" si="118"/>
        <v>-104.21809336841811</v>
      </c>
      <c r="AF184" s="31" t="str">
        <f t="shared" si="104"/>
        <v>-1.39902068552014E-06</v>
      </c>
      <c r="AG184" s="31" t="str">
        <f t="shared" si="105"/>
        <v>0.0000949702972496266i</v>
      </c>
      <c r="AH184" s="31">
        <f t="shared" si="119"/>
        <v>9.4970297249626599E-5</v>
      </c>
      <c r="AI184" s="31">
        <f t="shared" si="120"/>
        <v>1.5707963267948966</v>
      </c>
      <c r="AJ184" s="31" t="str">
        <f t="shared" si="106"/>
        <v>1+0.0068602107144998i</v>
      </c>
      <c r="AK184" s="31">
        <f t="shared" si="121"/>
        <v>1.0000235309686705</v>
      </c>
      <c r="AL184" s="31">
        <f t="shared" si="122"/>
        <v>6.8601030980034927E-3</v>
      </c>
      <c r="AM184" s="31" t="str">
        <f t="shared" si="107"/>
        <v>1+3.33608011628058i</v>
      </c>
      <c r="AN184" s="31">
        <f t="shared" si="123"/>
        <v>3.4827331999799598</v>
      </c>
      <c r="AO184" s="31">
        <f t="shared" si="124"/>
        <v>1.2795661595759771</v>
      </c>
      <c r="AP184" s="58" t="str">
        <f t="shared" si="125"/>
        <v>-0.0490408944610505+0.0150675702472702i</v>
      </c>
      <c r="AQ184" s="49">
        <f t="shared" si="126"/>
        <v>-25.797073494402824</v>
      </c>
      <c r="AR184" s="61">
        <f t="shared" si="127"/>
        <v>162.92068559692652</v>
      </c>
      <c r="AS184" s="58" t="str">
        <f t="shared" si="128"/>
        <v>9.76695590375796+16.0654577561768i</v>
      </c>
      <c r="AT184" s="64">
        <f t="shared" si="129"/>
        <v>25.483800325302536</v>
      </c>
      <c r="AU184" s="61">
        <f t="shared" si="130"/>
        <v>58.702592228508436</v>
      </c>
    </row>
    <row r="185" spans="14:47" x14ac:dyDescent="0.4">
      <c r="N185" s="10">
        <v>67</v>
      </c>
      <c r="O185" s="50">
        <f t="shared" si="131"/>
        <v>467.7351412871983</v>
      </c>
      <c r="P185" s="48" t="str">
        <f t="shared" si="99"/>
        <v>5120.19230769231</v>
      </c>
      <c r="Q185" s="17" t="str">
        <f t="shared" si="100"/>
        <v>1+13.7335495360598i</v>
      </c>
      <c r="R185" s="17">
        <f t="shared" si="108"/>
        <v>13.769908600256153</v>
      </c>
      <c r="S185" s="17">
        <f t="shared" si="109"/>
        <v>1.4981102170172256</v>
      </c>
      <c r="T185" s="17" t="str">
        <f t="shared" si="101"/>
        <v>1+0.0000293592770081991i</v>
      </c>
      <c r="U185" s="17">
        <f t="shared" si="110"/>
        <v>1.0000000004309835</v>
      </c>
      <c r="V185" s="17">
        <f t="shared" si="111"/>
        <v>2.9359276999763521E-5</v>
      </c>
      <c r="W185" s="31" t="str">
        <f t="shared" si="102"/>
        <v>1-0.0476096383916741i</v>
      </c>
      <c r="X185" s="17">
        <f t="shared" si="112"/>
        <v>1.0011326973322698</v>
      </c>
      <c r="Y185" s="17">
        <f t="shared" si="113"/>
        <v>-4.7573715333258056E-2</v>
      </c>
      <c r="Z185" s="31" t="str">
        <f t="shared" si="103"/>
        <v>0.999912489535042+0.289869933646025i</v>
      </c>
      <c r="AA185" s="17">
        <f t="shared" si="114"/>
        <v>1.0410809599450546</v>
      </c>
      <c r="AB185" s="17">
        <f t="shared" si="115"/>
        <v>0.28216084379380557</v>
      </c>
      <c r="AC185" s="66" t="str">
        <f t="shared" si="116"/>
        <v>-90.894094971787-345.825568409727i</v>
      </c>
      <c r="AD185" s="64">
        <f t="shared" si="117"/>
        <v>51.067247147650683</v>
      </c>
      <c r="AE185" s="61">
        <f t="shared" si="118"/>
        <v>-104.72610911544086</v>
      </c>
      <c r="AF185" s="31" t="str">
        <f t="shared" si="104"/>
        <v>-1.39902068552014E-06</v>
      </c>
      <c r="AG185" s="31" t="str">
        <f t="shared" si="105"/>
        <v>0.000097182439650363i</v>
      </c>
      <c r="AH185" s="31">
        <f t="shared" si="119"/>
        <v>9.7182439650362996E-5</v>
      </c>
      <c r="AI185" s="31">
        <f t="shared" si="120"/>
        <v>1.5707963267948966</v>
      </c>
      <c r="AJ185" s="31" t="str">
        <f t="shared" si="106"/>
        <v>1+0.00702000554971699i</v>
      </c>
      <c r="AK185" s="31">
        <f t="shared" si="121"/>
        <v>1.0000246399353958</v>
      </c>
      <c r="AL185" s="31">
        <f t="shared" si="122"/>
        <v>7.019890236717086E-3</v>
      </c>
      <c r="AM185" s="31" t="str">
        <f t="shared" si="107"/>
        <v>1+3.41378740467708i</v>
      </c>
      <c r="AN185" s="31">
        <f t="shared" si="123"/>
        <v>3.5572383170560657</v>
      </c>
      <c r="AO185" s="31">
        <f t="shared" si="124"/>
        <v>1.2858385261901151</v>
      </c>
      <c r="AP185" s="58" t="str">
        <f t="shared" si="125"/>
        <v>-0.0490407856943506+0.0147400842946543i</v>
      </c>
      <c r="AQ185" s="49">
        <f t="shared" si="126"/>
        <v>-25.813228011451166</v>
      </c>
      <c r="AR185" s="61">
        <f t="shared" si="127"/>
        <v>163.27091060280665</v>
      </c>
      <c r="AS185" s="58" t="str">
        <f t="shared" si="128"/>
        <v>9.55501586199947+15.619770966238i</v>
      </c>
      <c r="AT185" s="64">
        <f t="shared" si="129"/>
        <v>25.254019136199538</v>
      </c>
      <c r="AU185" s="61">
        <f t="shared" si="130"/>
        <v>58.544801487365874</v>
      </c>
    </row>
    <row r="186" spans="14:47" x14ac:dyDescent="0.4">
      <c r="N186" s="10">
        <v>68</v>
      </c>
      <c r="O186" s="50">
        <f t="shared" si="131"/>
        <v>478.63009232263886</v>
      </c>
      <c r="P186" s="48" t="str">
        <f t="shared" si="99"/>
        <v>5120.19230769231</v>
      </c>
      <c r="Q186" s="17" t="str">
        <f t="shared" si="100"/>
        <v>1+14.0534449993906i</v>
      </c>
      <c r="R186" s="17">
        <f t="shared" si="108"/>
        <v>14.088978541785655</v>
      </c>
      <c r="S186" s="17">
        <f t="shared" si="109"/>
        <v>1.4997591299057671</v>
      </c>
      <c r="T186" s="17" t="str">
        <f t="shared" si="101"/>
        <v>1+0.0000300431424209196i</v>
      </c>
      <c r="U186" s="17">
        <f t="shared" si="110"/>
        <v>1.0000000004512952</v>
      </c>
      <c r="V186" s="17">
        <f t="shared" si="111"/>
        <v>3.0043142411880716E-5</v>
      </c>
      <c r="W186" s="31" t="str">
        <f t="shared" si="102"/>
        <v>1-0.0487186093312209i</v>
      </c>
      <c r="X186" s="17">
        <f t="shared" si="112"/>
        <v>1.0011860480925452</v>
      </c>
      <c r="Y186" s="17">
        <f t="shared" si="113"/>
        <v>-4.8680119542979267E-2</v>
      </c>
      <c r="Z186" s="31" t="str">
        <f t="shared" si="103"/>
        <v>0.999908365293889+0.296621871772865i</v>
      </c>
      <c r="AA186" s="17">
        <f t="shared" si="114"/>
        <v>1.0429771204579394</v>
      </c>
      <c r="AB186" s="17">
        <f t="shared" si="115"/>
        <v>0.28837970489135101</v>
      </c>
      <c r="AC186" s="66" t="str">
        <f t="shared" si="116"/>
        <v>-91.7028778261002-336.587898913716i</v>
      </c>
      <c r="AD186" s="64">
        <f t="shared" si="117"/>
        <v>50.852935454709169</v>
      </c>
      <c r="AE186" s="61">
        <f t="shared" si="118"/>
        <v>-105.24025246805714</v>
      </c>
      <c r="AF186" s="31" t="str">
        <f t="shared" si="104"/>
        <v>-1.39902068552014E-06</v>
      </c>
      <c r="AG186" s="31" t="str">
        <f t="shared" si="105"/>
        <v>0.0000994461094669638i</v>
      </c>
      <c r="AH186" s="31">
        <f t="shared" si="119"/>
        <v>9.9446109466963796E-5</v>
      </c>
      <c r="AI186" s="31">
        <f t="shared" si="120"/>
        <v>1.5707963267948966</v>
      </c>
      <c r="AJ186" s="31" t="str">
        <f t="shared" si="106"/>
        <v>1+0.0071835224847974i</v>
      </c>
      <c r="AK186" s="31">
        <f t="shared" si="121"/>
        <v>1.0000258011647947</v>
      </c>
      <c r="AL186" s="31">
        <f t="shared" si="122"/>
        <v>7.1833989248640331E-3</v>
      </c>
      <c r="AM186" s="31" t="str">
        <f t="shared" si="107"/>
        <v>1+3.49330472834236i</v>
      </c>
      <c r="AN186" s="31">
        <f t="shared" si="123"/>
        <v>3.6336177461393886</v>
      </c>
      <c r="AO186" s="31">
        <f t="shared" si="124"/>
        <v>1.2919904690676243</v>
      </c>
      <c r="AP186" s="58" t="str">
        <f t="shared" si="125"/>
        <v>-0.049040671802151+0.0144204136578548i</v>
      </c>
      <c r="AQ186" s="49">
        <f t="shared" si="126"/>
        <v>-25.828712573160509</v>
      </c>
      <c r="AR186" s="61">
        <f t="shared" si="127"/>
        <v>163.61402260774892</v>
      </c>
      <c r="AS186" s="58" t="str">
        <f t="shared" si="128"/>
        <v>9.35090746934653+15.184103251335i</v>
      </c>
      <c r="AT186" s="64">
        <f t="shared" si="129"/>
        <v>25.024222881548642</v>
      </c>
      <c r="AU186" s="61">
        <f t="shared" si="130"/>
        <v>58.373770139691707</v>
      </c>
    </row>
    <row r="187" spans="14:47" x14ac:dyDescent="0.4">
      <c r="N187" s="10">
        <v>69</v>
      </c>
      <c r="O187" s="50">
        <f t="shared" si="131"/>
        <v>489.77881936844625</v>
      </c>
      <c r="P187" s="48" t="str">
        <f t="shared" si="99"/>
        <v>5120.19230769231</v>
      </c>
      <c r="Q187" s="17" t="str">
        <f t="shared" si="100"/>
        <v>1+14.3807917852795i</v>
      </c>
      <c r="R187" s="17">
        <f t="shared" si="108"/>
        <v>14.41551845656487</v>
      </c>
      <c r="S187" s="17">
        <f t="shared" si="109"/>
        <v>1.5013708829343808</v>
      </c>
      <c r="T187" s="17" t="str">
        <f t="shared" si="101"/>
        <v>1+0.0000307429371054197i</v>
      </c>
      <c r="U187" s="17">
        <f t="shared" si="110"/>
        <v>1.000000000472564</v>
      </c>
      <c r="V187" s="17">
        <f t="shared" si="111"/>
        <v>3.0742937095734362E-5</v>
      </c>
      <c r="W187" s="31" t="str">
        <f t="shared" si="102"/>
        <v>1-0.0498534115223022i</v>
      </c>
      <c r="X187" s="17">
        <f t="shared" si="112"/>
        <v>1.001241910149796</v>
      </c>
      <c r="Y187" s="17">
        <f t="shared" si="113"/>
        <v>-4.9812171733523175E-2</v>
      </c>
      <c r="Z187" s="31" t="str">
        <f t="shared" si="103"/>
        <v>0.999904046683239+0.303531082742373i</v>
      </c>
      <c r="AA187" s="17">
        <f t="shared" si="114"/>
        <v>1.0449589564974664</v>
      </c>
      <c r="AB187" s="17">
        <f t="shared" si="115"/>
        <v>0.29471983354580678</v>
      </c>
      <c r="AC187" s="66" t="str">
        <f t="shared" si="116"/>
        <v>-92.4394575169072-327.531811355546i</v>
      </c>
      <c r="AD187" s="64">
        <f t="shared" si="117"/>
        <v>50.637915877935839</v>
      </c>
      <c r="AE187" s="61">
        <f t="shared" si="118"/>
        <v>-105.76068344510922</v>
      </c>
      <c r="AF187" s="31" t="str">
        <f t="shared" si="104"/>
        <v>-1.39902068552014E-06</v>
      </c>
      <c r="AG187" s="31" t="str">
        <f t="shared" si="105"/>
        <v>0.000101762506927129i</v>
      </c>
      <c r="AH187" s="31">
        <f t="shared" si="119"/>
        <v>1.01762506927129E-4</v>
      </c>
      <c r="AI187" s="31">
        <f t="shared" si="120"/>
        <v>1.5707963267948966</v>
      </c>
      <c r="AJ187" s="31" t="str">
        <f t="shared" si="106"/>
        <v>1+0.00735084821858442i</v>
      </c>
      <c r="AK187" s="31">
        <f t="shared" si="121"/>
        <v>1.000027017119804</v>
      </c>
      <c r="AL187" s="31">
        <f t="shared" si="122"/>
        <v>7.3507158219236462E-3</v>
      </c>
      <c r="AM187" s="31" t="str">
        <f t="shared" si="107"/>
        <v>1+3.57467424841396i</v>
      </c>
      <c r="AN187" s="31">
        <f t="shared" si="123"/>
        <v>3.711912712103278</v>
      </c>
      <c r="AO187" s="31">
        <f t="shared" si="124"/>
        <v>1.2980233867015036</v>
      </c>
      <c r="AP187" s="58" t="str">
        <f t="shared" si="125"/>
        <v>-0.0490405525429444+0.014108388838121i</v>
      </c>
      <c r="AQ187" s="49">
        <f t="shared" si="126"/>
        <v>-25.84355279362644</v>
      </c>
      <c r="AR187" s="61">
        <f t="shared" si="127"/>
        <v>163.95009677427748</v>
      </c>
      <c r="AS187" s="58" t="str">
        <f t="shared" si="128"/>
        <v>9.1542282248573+14.7581691936339i</v>
      </c>
      <c r="AT187" s="64">
        <f t="shared" si="129"/>
        <v>24.794363084309392</v>
      </c>
      <c r="AU187" s="61">
        <f t="shared" si="130"/>
        <v>58.189413329168254</v>
      </c>
    </row>
    <row r="188" spans="14:47" x14ac:dyDescent="0.4">
      <c r="N188" s="10">
        <v>70</v>
      </c>
      <c r="O188" s="50">
        <f t="shared" si="131"/>
        <v>501.18723362727269</v>
      </c>
      <c r="P188" s="48" t="str">
        <f t="shared" si="99"/>
        <v>5120.19230769231</v>
      </c>
      <c r="Q188" s="17" t="str">
        <f t="shared" si="100"/>
        <v>1+14.7157634573251i</v>
      </c>
      <c r="R188" s="17">
        <f t="shared" si="108"/>
        <v>14.74970149297757</v>
      </c>
      <c r="S188" s="17">
        <f t="shared" si="109"/>
        <v>1.5029462971616243</v>
      </c>
      <c r="T188" s="17" t="str">
        <f t="shared" si="101"/>
        <v>1+0.0000314590321021039i</v>
      </c>
      <c r="U188" s="17">
        <f t="shared" si="110"/>
        <v>1.0000000004948353</v>
      </c>
      <c r="V188" s="17">
        <f t="shared" si="111"/>
        <v>3.1459032091725868E-5</v>
      </c>
      <c r="W188" s="31" t="str">
        <f t="shared" si="102"/>
        <v>1-0.0510146466520603i</v>
      </c>
      <c r="X188" s="17">
        <f t="shared" si="112"/>
        <v>1.0013004015644029</v>
      </c>
      <c r="Y188" s="17">
        <f t="shared" si="113"/>
        <v>-5.0970460521171171E-2</v>
      </c>
      <c r="Z188" s="31" t="str">
        <f t="shared" si="103"/>
        <v>0.99989952454274+0.31060122990966i</v>
      </c>
      <c r="AA188" s="17">
        <f t="shared" si="114"/>
        <v>1.0470301730142217</v>
      </c>
      <c r="AB188" s="17">
        <f t="shared" si="115"/>
        <v>0.30118255871420213</v>
      </c>
      <c r="AC188" s="66" t="str">
        <f t="shared" si="116"/>
        <v>-93.1057538459541-318.653681069669i</v>
      </c>
      <c r="AD188" s="64">
        <f t="shared" si="117"/>
        <v>50.42216470109058</v>
      </c>
      <c r="AE188" s="61">
        <f t="shared" si="118"/>
        <v>-106.28755893738564</v>
      </c>
      <c r="AF188" s="31" t="str">
        <f t="shared" si="104"/>
        <v>-1.39902068552014E-06</v>
      </c>
      <c r="AG188" s="31" t="str">
        <f t="shared" si="105"/>
        <v>0.000104132860215453i</v>
      </c>
      <c r="AH188" s="31">
        <f t="shared" si="119"/>
        <v>1.04132860215453E-4</v>
      </c>
      <c r="AI188" s="31">
        <f t="shared" si="120"/>
        <v>1.5707963267948966</v>
      </c>
      <c r="AJ188" s="31" t="str">
        <f t="shared" si="106"/>
        <v>1+0.00752207146939689i</v>
      </c>
      <c r="AK188" s="31">
        <f t="shared" si="121"/>
        <v>1.0000282903794224</v>
      </c>
      <c r="AL188" s="31">
        <f t="shared" si="122"/>
        <v>7.5219296040356766E-3</v>
      </c>
      <c r="AM188" s="31" t="str">
        <f t="shared" si="107"/>
        <v>1+3.65793910808848i</v>
      </c>
      <c r="AN188" s="31">
        <f t="shared" si="123"/>
        <v>3.792165412858878</v>
      </c>
      <c r="AO188" s="31">
        <f t="shared" si="124"/>
        <v>1.3039387205381154</v>
      </c>
      <c r="AP188" s="58" t="str">
        <f t="shared" si="125"/>
        <v>-0.0490404276638463+0.0138038443902474i</v>
      </c>
      <c r="AQ188" s="49">
        <f t="shared" si="126"/>
        <v>-25.857773495154657</v>
      </c>
      <c r="AR188" s="61">
        <f t="shared" si="127"/>
        <v>164.27921061041684</v>
      </c>
      <c r="AS188" s="58" t="str">
        <f t="shared" si="128"/>
        <v>8.96459181443563+14.3416954583892i</v>
      </c>
      <c r="AT188" s="64">
        <f t="shared" si="129"/>
        <v>24.564391205935916</v>
      </c>
      <c r="AU188" s="61">
        <f t="shared" si="130"/>
        <v>57.991651673031114</v>
      </c>
    </row>
    <row r="189" spans="14:47" x14ac:dyDescent="0.4">
      <c r="N189" s="10">
        <v>71</v>
      </c>
      <c r="O189" s="50">
        <f t="shared" si="131"/>
        <v>512.86138399136519</v>
      </c>
      <c r="P189" s="48" t="str">
        <f t="shared" si="99"/>
        <v>5120.19230769231</v>
      </c>
      <c r="Q189" s="17" t="str">
        <f t="shared" si="100"/>
        <v>1+15.058537621942i</v>
      </c>
      <c r="R189" s="17">
        <f t="shared" si="108"/>
        <v>15.091704851057836</v>
      </c>
      <c r="S189" s="17">
        <f t="shared" si="109"/>
        <v>1.5044861765948503</v>
      </c>
      <c r="T189" s="17" t="str">
        <f t="shared" si="101"/>
        <v>1+0.0000321918070940182i</v>
      </c>
      <c r="U189" s="17">
        <f t="shared" si="110"/>
        <v>1.0000000005181562</v>
      </c>
      <c r="V189" s="17">
        <f t="shared" si="111"/>
        <v>3.2191807082897947E-5</v>
      </c>
      <c r="W189" s="31" t="str">
        <f t="shared" si="102"/>
        <v>1-0.0522029304227321i</v>
      </c>
      <c r="X189" s="17">
        <f t="shared" si="112"/>
        <v>1.0013616459325374</v>
      </c>
      <c r="Y189" s="17">
        <f t="shared" si="113"/>
        <v>-5.2155587606924916E-2</v>
      </c>
      <c r="Z189" s="31" t="str">
        <f t="shared" si="103"/>
        <v>0.999894789280324+0.317836061960338i</v>
      </c>
      <c r="AA189" s="17">
        <f t="shared" si="114"/>
        <v>1.0491946206078258</v>
      </c>
      <c r="AB189" s="17">
        <f t="shared" si="115"/>
        <v>0.30776915419210682</v>
      </c>
      <c r="AC189" s="66" t="str">
        <f t="shared" si="116"/>
        <v>-93.7035783068863-309.949976203162i</v>
      </c>
      <c r="AD189" s="64">
        <f t="shared" si="117"/>
        <v>50.20565735564152</v>
      </c>
      <c r="AE189" s="61">
        <f t="shared" si="118"/>
        <v>-106.82103244739838</v>
      </c>
      <c r="AF189" s="31" t="str">
        <f t="shared" si="104"/>
        <v>-1.39902068552014E-06</v>
      </c>
      <c r="AG189" s="31" t="str">
        <f t="shared" si="105"/>
        <v>0.000106558426124624i</v>
      </c>
      <c r="AH189" s="31">
        <f t="shared" si="119"/>
        <v>1.06558426124624E-4</v>
      </c>
      <c r="AI189" s="31">
        <f t="shared" si="120"/>
        <v>1.5707963267948966</v>
      </c>
      <c r="AJ189" s="31" t="str">
        <f t="shared" si="106"/>
        <v>1+0.00769728302206883i</v>
      </c>
      <c r="AK189" s="31">
        <f t="shared" si="121"/>
        <v>1.0000296236441808</v>
      </c>
      <c r="AL189" s="31">
        <f t="shared" si="122"/>
        <v>7.697131010838746E-3</v>
      </c>
      <c r="AM189" s="31" t="str">
        <f t="shared" si="107"/>
        <v>1+3.74314345549665i</v>
      </c>
      <c r="AN189" s="31">
        <f t="shared" si="123"/>
        <v>3.8744190439893567</v>
      </c>
      <c r="AO189" s="31">
        <f t="shared" si="124"/>
        <v>1.3097379504285505</v>
      </c>
      <c r="AP189" s="58" t="str">
        <f t="shared" si="125"/>
        <v>-0.0490402969000595+0.0135066188348266i</v>
      </c>
      <c r="AQ189" s="49">
        <f t="shared" si="126"/>
        <v>-25.871398717544682</v>
      </c>
      <c r="AR189" s="61">
        <f t="shared" si="127"/>
        <v>164.60144370639023</v>
      </c>
      <c r="AS189" s="58" t="str">
        <f t="shared" si="128"/>
        <v>8.78162748720736+13.934420341519i</v>
      </c>
      <c r="AT189" s="64">
        <f t="shared" si="129"/>
        <v>24.334258638096841</v>
      </c>
      <c r="AU189" s="61">
        <f t="shared" si="130"/>
        <v>57.780411258991847</v>
      </c>
    </row>
    <row r="190" spans="14:47" x14ac:dyDescent="0.4">
      <c r="N190" s="10">
        <v>72</v>
      </c>
      <c r="O190" s="50">
        <f t="shared" si="131"/>
        <v>524.80746024977248</v>
      </c>
      <c r="P190" s="48" t="str">
        <f t="shared" si="99"/>
        <v>5120.19230769231</v>
      </c>
      <c r="Q190" s="17" t="str">
        <f t="shared" si="100"/>
        <v>1+15.4092960225293i</v>
      </c>
      <c r="R190" s="17">
        <f t="shared" si="108"/>
        <v>15.441709876498045</v>
      </c>
      <c r="S190" s="17">
        <f t="shared" si="109"/>
        <v>1.505991308470831</v>
      </c>
      <c r="T190" s="17" t="str">
        <f t="shared" si="101"/>
        <v>1+0.0000329416506081627i</v>
      </c>
      <c r="U190" s="17">
        <f t="shared" si="110"/>
        <v>1.0000000005425762</v>
      </c>
      <c r="V190" s="17">
        <f t="shared" si="111"/>
        <v>3.2941650596247125E-5</v>
      </c>
      <c r="W190" s="31" t="str">
        <f t="shared" si="102"/>
        <v>1-0.0534188928781017i</v>
      </c>
      <c r="X190" s="17">
        <f t="shared" si="112"/>
        <v>1.0014257726443443</v>
      </c>
      <c r="Y190" s="17">
        <f t="shared" si="113"/>
        <v>-5.3368168036959276E-2</v>
      </c>
      <c r="Z190" s="31" t="str">
        <f t="shared" si="103"/>
        <v>0.999889830851866+0.325239414898126i</v>
      </c>
      <c r="AA190" s="17">
        <f t="shared" si="114"/>
        <v>1.0514563000164334</v>
      </c>
      <c r="AB190" s="17">
        <f t="shared" si="115"/>
        <v>0.31448083332598803</v>
      </c>
      <c r="AC190" s="66" t="str">
        <f t="shared" si="116"/>
        <v>-94.2346397649743-301.417259062461i</v>
      </c>
      <c r="AD190" s="64">
        <f t="shared" si="117"/>
        <v>49.988368423610716</v>
      </c>
      <c r="AE190" s="61">
        <f t="shared" si="118"/>
        <v>-107.36125381741265</v>
      </c>
      <c r="AF190" s="31" t="str">
        <f t="shared" si="104"/>
        <v>-1.39902068552014E-06</v>
      </c>
      <c r="AG190" s="31" t="str">
        <f t="shared" si="105"/>
        <v>0.000109040490721794i</v>
      </c>
      <c r="AH190" s="31">
        <f t="shared" si="119"/>
        <v>1.09040490721794E-4</v>
      </c>
      <c r="AI190" s="31">
        <f t="shared" si="120"/>
        <v>1.5707963267948966</v>
      </c>
      <c r="AJ190" s="31" t="str">
        <f t="shared" si="106"/>
        <v>1+0.00787657577608467i</v>
      </c>
      <c r="AK190" s="31">
        <f t="shared" si="121"/>
        <v>1.000031019741866</v>
      </c>
      <c r="AL190" s="31">
        <f t="shared" si="122"/>
        <v>7.8764128933898978E-3</v>
      </c>
      <c r="AM190" s="31" t="str">
        <f t="shared" si="107"/>
        <v>1+3.83033246711129i</v>
      </c>
      <c r="AN190" s="31">
        <f t="shared" si="123"/>
        <v>3.9587178238170577</v>
      </c>
      <c r="AO190" s="31">
        <f t="shared" si="124"/>
        <v>1.3154225902931171</v>
      </c>
      <c r="AP190" s="58" t="str">
        <f t="shared" si="125"/>
        <v>-0.0490401599743126+0.0132165545726016i</v>
      </c>
      <c r="AQ190" s="49">
        <f t="shared" si="126"/>
        <v>-25.884451728704242</v>
      </c>
      <c r="AR190" s="61">
        <f t="shared" si="127"/>
        <v>164.91687748346845</v>
      </c>
      <c r="AS190" s="58" t="str">
        <f t="shared" si="128"/>
        <v>8.60497946271907+13.5360933443587i</v>
      </c>
      <c r="AT190" s="64">
        <f t="shared" si="129"/>
        <v>24.103916694906481</v>
      </c>
      <c r="AU190" s="61">
        <f t="shared" si="130"/>
        <v>57.555623666055837</v>
      </c>
    </row>
    <row r="191" spans="14:47" x14ac:dyDescent="0.4">
      <c r="N191" s="10">
        <v>73</v>
      </c>
      <c r="O191" s="50">
        <f t="shared" si="131"/>
        <v>537.03179637025301</v>
      </c>
      <c r="P191" s="48" t="str">
        <f t="shared" si="99"/>
        <v>5120.19230769231</v>
      </c>
      <c r="Q191" s="17" t="str">
        <f t="shared" si="100"/>
        <v>1+15.7682246358339i</v>
      </c>
      <c r="R191" s="17">
        <f t="shared" si="108"/>
        <v>15.799902156852713</v>
      </c>
      <c r="S191" s="17">
        <f t="shared" si="109"/>
        <v>1.5074624635369773</v>
      </c>
      <c r="T191" s="17" t="str">
        <f t="shared" si="101"/>
        <v>1+0.0000337089602214939i</v>
      </c>
      <c r="U191" s="17">
        <f t="shared" si="110"/>
        <v>1.0000000005681469</v>
      </c>
      <c r="V191" s="17">
        <f t="shared" si="111"/>
        <v>3.3708960208726139E-5</v>
      </c>
      <c r="W191" s="31" t="str">
        <f t="shared" si="102"/>
        <v>1-0.0546631787375576i</v>
      </c>
      <c r="X191" s="17">
        <f t="shared" si="112"/>
        <v>1.0014929171540328</v>
      </c>
      <c r="Y191" s="17">
        <f t="shared" si="113"/>
        <v>-5.4608830466025098E-2</v>
      </c>
      <c r="Z191" s="31" t="str">
        <f t="shared" si="103"/>
        <v>0.999884638739875+0.332815214078745i</v>
      </c>
      <c r="AA191" s="17">
        <f t="shared" si="114"/>
        <v>1.0538193666422397</v>
      </c>
      <c r="AB191" s="17">
        <f t="shared" si="115"/>
        <v>0.32131874352070094</v>
      </c>
      <c r="AC191" s="66" t="str">
        <f t="shared" si="116"/>
        <v>-94.7005500915028-293.052187322627i</v>
      </c>
      <c r="AD191" s="64">
        <f t="shared" si="117"/>
        <v>49.770271642457082</v>
      </c>
      <c r="AE191" s="61">
        <f t="shared" si="118"/>
        <v>-107.90836894594221</v>
      </c>
      <c r="AF191" s="31" t="str">
        <f t="shared" si="104"/>
        <v>-1.39902068552014E-06</v>
      </c>
      <c r="AG191" s="31" t="str">
        <f t="shared" si="105"/>
        <v>0.000111580370030467i</v>
      </c>
      <c r="AH191" s="31">
        <f t="shared" si="119"/>
        <v>1.11580370030467E-4</v>
      </c>
      <c r="AI191" s="31">
        <f t="shared" si="120"/>
        <v>1.5707963267948966</v>
      </c>
      <c r="AJ191" s="31" t="str">
        <f t="shared" si="106"/>
        <v>1+0.00806004479483578i</v>
      </c>
      <c r="AK191" s="31">
        <f t="shared" si="121"/>
        <v>1.0000324816335191</v>
      </c>
      <c r="AL191" s="31">
        <f t="shared" si="122"/>
        <v>8.0598702631900099E-3</v>
      </c>
      <c r="AM191" s="31" t="str">
        <f t="shared" si="107"/>
        <v>1+3.91955237170043i</v>
      </c>
      <c r="AN191" s="31">
        <f t="shared" si="123"/>
        <v>4.0451070189183458</v>
      </c>
      <c r="AO191" s="31">
        <f t="shared" si="124"/>
        <v>1.320994183997432</v>
      </c>
      <c r="AP191" s="58" t="str">
        <f t="shared" si="125"/>
        <v>-0.0490400165962732+0.0129334978008756i</v>
      </c>
      <c r="AQ191" s="49">
        <f t="shared" si="126"/>
        <v>-25.896955036443718</v>
      </c>
      <c r="AR191" s="61">
        <f t="shared" si="127"/>
        <v>165.22559495487721</v>
      </c>
      <c r="AS191" s="58" t="str">
        <f t="shared" si="128"/>
        <v>8.43430636844248+13.1464747735256i</v>
      </c>
      <c r="AT191" s="64">
        <f t="shared" si="129"/>
        <v>23.873316606013351</v>
      </c>
      <c r="AU191" s="61">
        <f t="shared" si="130"/>
        <v>57.317226008934924</v>
      </c>
    </row>
    <row r="192" spans="14:47" x14ac:dyDescent="0.4">
      <c r="N192" s="10">
        <v>74</v>
      </c>
      <c r="O192" s="50">
        <f t="shared" si="131"/>
        <v>549.54087385762534</v>
      </c>
      <c r="P192" s="48" t="str">
        <f t="shared" si="99"/>
        <v>5120.19230769231</v>
      </c>
      <c r="Q192" s="17" t="str">
        <f t="shared" si="100"/>
        <v>1+16.1355137705576i</v>
      </c>
      <c r="R192" s="17">
        <f t="shared" si="108"/>
        <v>16.166471619987274</v>
      </c>
      <c r="S192" s="17">
        <f t="shared" si="109"/>
        <v>1.5089003963326864</v>
      </c>
      <c r="T192" s="17" t="str">
        <f t="shared" si="101"/>
        <v>1+0.0000344941427717255i</v>
      </c>
      <c r="U192" s="17">
        <f t="shared" si="110"/>
        <v>1.0000000005949228</v>
      </c>
      <c r="V192" s="17">
        <f t="shared" si="111"/>
        <v>3.4494142758044595E-5</v>
      </c>
      <c r="W192" s="31" t="str">
        <f t="shared" si="102"/>
        <v>1-0.0559364477379331i</v>
      </c>
      <c r="X192" s="17">
        <f t="shared" si="112"/>
        <v>1.0015632212624117</v>
      </c>
      <c r="Y192" s="17">
        <f t="shared" si="113"/>
        <v>-5.5878217423655376E-2</v>
      </c>
      <c r="Z192" s="31" t="str">
        <f t="shared" si="103"/>
        <v>0.999879201931184+0.340567476291199i</v>
      </c>
      <c r="AA192" s="17">
        <f t="shared" si="114"/>
        <v>1.0562881351041948</v>
      </c>
      <c r="AB192" s="17">
        <f t="shared" si="115"/>
        <v>0.32828396054812353</v>
      </c>
      <c r="AC192" s="66" t="str">
        <f t="shared" si="116"/>
        <v>-95.102829761465-284.851515098234i</v>
      </c>
      <c r="AD192" s="64">
        <f t="shared" si="117"/>
        <v>49.551339912198877</v>
      </c>
      <c r="AE192" s="61">
        <f t="shared" si="118"/>
        <v>-108.46251949301869</v>
      </c>
      <c r="AF192" s="31" t="str">
        <f t="shared" si="104"/>
        <v>-1.39902068552014E-06</v>
      </c>
      <c r="AG192" s="31" t="str">
        <f t="shared" si="105"/>
        <v>0.00011417941072827i</v>
      </c>
      <c r="AH192" s="31">
        <f t="shared" si="119"/>
        <v>1.1417941072827E-4</v>
      </c>
      <c r="AI192" s="31">
        <f t="shared" si="120"/>
        <v>1.5707963267948966</v>
      </c>
      <c r="AJ192" s="31" t="str">
        <f t="shared" si="106"/>
        <v>1+0.00824778735602443i</v>
      </c>
      <c r="AK192" s="31">
        <f t="shared" si="121"/>
        <v>1.0000340124197127</v>
      </c>
      <c r="AL192" s="31">
        <f t="shared" si="122"/>
        <v>8.2476003423401396E-3</v>
      </c>
      <c r="AM192" s="31" t="str">
        <f t="shared" si="107"/>
        <v>1+4.01085047483847i</v>
      </c>
      <c r="AN192" s="31">
        <f t="shared" si="123"/>
        <v>4.133632970101722</v>
      </c>
      <c r="AO192" s="31">
        <f t="shared" si="124"/>
        <v>1.3264543014376877</v>
      </c>
      <c r="AP192" s="58" t="str">
        <f t="shared" si="125"/>
        <v>-0.0490398664619341+0.0126572984319307i</v>
      </c>
      <c r="AQ192" s="49">
        <f t="shared" si="126"/>
        <v>-25.908930401309121</v>
      </c>
      <c r="AR192" s="61">
        <f t="shared" si="127"/>
        <v>165.52768049862661</v>
      </c>
      <c r="AS192" s="58" t="str">
        <f t="shared" si="128"/>
        <v>8.26928070704026+12.765335363885i</v>
      </c>
      <c r="AT192" s="64">
        <f t="shared" si="129"/>
        <v>23.642409510889731</v>
      </c>
      <c r="AU192" s="61">
        <f t="shared" si="130"/>
        <v>57.065161005607848</v>
      </c>
    </row>
    <row r="193" spans="14:47" x14ac:dyDescent="0.4">
      <c r="N193" s="10">
        <v>75</v>
      </c>
      <c r="O193" s="50">
        <f t="shared" si="131"/>
        <v>562.34132519034927</v>
      </c>
      <c r="P193" s="48" t="str">
        <f t="shared" si="99"/>
        <v>5120.19230769231</v>
      </c>
      <c r="Q193" s="17" t="str">
        <f t="shared" si="100"/>
        <v>1+16.5113581682612i</v>
      </c>
      <c r="R193" s="17">
        <f t="shared" si="108"/>
        <v>16.541612634825114</v>
      </c>
      <c r="S193" s="17">
        <f t="shared" si="109"/>
        <v>1.5103058454703984</v>
      </c>
      <c r="T193" s="17" t="str">
        <f t="shared" si="101"/>
        <v>1+0.0000352976145730385i</v>
      </c>
      <c r="U193" s="17">
        <f t="shared" si="110"/>
        <v>1.0000000006229608</v>
      </c>
      <c r="V193" s="17">
        <f t="shared" si="111"/>
        <v>3.5297614558379146E-5</v>
      </c>
      <c r="W193" s="31" t="str">
        <f t="shared" si="102"/>
        <v>1-0.0572393749833056i</v>
      </c>
      <c r="X193" s="17">
        <f t="shared" si="112"/>
        <v>1.0016368334124297</v>
      </c>
      <c r="Y193" s="17">
        <f t="shared" si="113"/>
        <v>-5.7176985583003416E-2</v>
      </c>
      <c r="Z193" s="31" t="str">
        <f t="shared" si="103"/>
        <v>0.999873508893593+0.348500311887525i</v>
      </c>
      <c r="AA193" s="17">
        <f t="shared" si="114"/>
        <v>1.058867083808392</v>
      </c>
      <c r="AB193" s="17">
        <f t="shared" si="115"/>
        <v>0.33537748266474748</v>
      </c>
      <c r="AC193" s="66" t="str">
        <f t="shared" si="116"/>
        <v>-95.4429134226161-276.812093873548i</v>
      </c>
      <c r="AD193" s="64">
        <f t="shared" si="117"/>
        <v>49.331545304983173</v>
      </c>
      <c r="AE193" s="61">
        <f t="shared" si="118"/>
        <v>-109.02384257464867</v>
      </c>
      <c r="AF193" s="31" t="str">
        <f t="shared" si="104"/>
        <v>-1.39902068552014E-06</v>
      </c>
      <c r="AG193" s="31" t="str">
        <f t="shared" si="105"/>
        <v>0.000116838990860985i</v>
      </c>
      <c r="AH193" s="31">
        <f t="shared" si="119"/>
        <v>1.16838990860985E-4</v>
      </c>
      <c r="AI193" s="31">
        <f t="shared" si="120"/>
        <v>1.5707963267948966</v>
      </c>
      <c r="AJ193" s="31" t="str">
        <f t="shared" si="106"/>
        <v>1+0.0084399030032416i</v>
      </c>
      <c r="AK193" s="31">
        <f t="shared" si="121"/>
        <v>1.0000356153471255</v>
      </c>
      <c r="AL193" s="31">
        <f t="shared" si="122"/>
        <v>8.4397026148539805E-3</v>
      </c>
      <c r="AM193" s="31" t="str">
        <f t="shared" si="107"/>
        <v>1+4.10427518398814i</v>
      </c>
      <c r="AN193" s="31">
        <f t="shared" si="123"/>
        <v>4.2243431188648577</v>
      </c>
      <c r="AO193" s="31">
        <f t="shared" si="124"/>
        <v>1.3318045348318288</v>
      </c>
      <c r="AP193" s="58" t="str">
        <f t="shared" si="125"/>
        <v>-0.0490397092529664+0.0123878100134145i</v>
      </c>
      <c r="AQ193" s="49">
        <f t="shared" si="126"/>
        <v>-25.920398850320954</v>
      </c>
      <c r="AR193" s="61">
        <f t="shared" si="127"/>
        <v>165.82321964207097</v>
      </c>
      <c r="AS193" s="58" t="str">
        <f t="shared" si="128"/>
        <v>8.10958835282211+12.3924559226575i</v>
      </c>
      <c r="AT193" s="64">
        <f t="shared" si="129"/>
        <v>23.411146454662219</v>
      </c>
      <c r="AU193" s="61">
        <f t="shared" si="130"/>
        <v>56.799377067422306</v>
      </c>
    </row>
    <row r="194" spans="14:47" x14ac:dyDescent="0.4">
      <c r="N194" s="10">
        <v>76</v>
      </c>
      <c r="O194" s="50">
        <f t="shared" si="131"/>
        <v>575.43993733715706</v>
      </c>
      <c r="P194" s="48" t="str">
        <f t="shared" si="99"/>
        <v>5120.19230769231</v>
      </c>
      <c r="Q194" s="17" t="str">
        <f t="shared" si="100"/>
        <v>1+16.8959571066193i</v>
      </c>
      <c r="R194" s="17">
        <f t="shared" si="108"/>
        <v>16.925524114446773</v>
      </c>
      <c r="S194" s="17">
        <f t="shared" si="109"/>
        <v>1.5116795339159834</v>
      </c>
      <c r="T194" s="17" t="str">
        <f t="shared" si="101"/>
        <v>1+0.0000361198016368173i</v>
      </c>
      <c r="U194" s="17">
        <f t="shared" si="110"/>
        <v>1.00000000065232</v>
      </c>
      <c r="V194" s="17">
        <f t="shared" si="111"/>
        <v>3.6119801621109523E-5</v>
      </c>
      <c r="W194" s="31" t="str">
        <f t="shared" si="102"/>
        <v>1-0.0585726513029469i</v>
      </c>
      <c r="X194" s="17">
        <f t="shared" si="112"/>
        <v>1.0017139089983009</v>
      </c>
      <c r="Y194" s="17">
        <f t="shared" si="113"/>
        <v>-5.8505806032133845E-2</v>
      </c>
      <c r="Z194" s="31" t="str">
        <f t="shared" si="103"/>
        <v>0.999867547551407+0.356617926962162i</v>
      </c>
      <c r="AA194" s="17">
        <f t="shared" si="114"/>
        <v>1.061560859525847</v>
      </c>
      <c r="AB194" s="17">
        <f t="shared" si="115"/>
        <v>0.34260022454806993</v>
      </c>
      <c r="AC194" s="66" t="str">
        <f t="shared" si="116"/>
        <v>-95.7221554432192-268.930873288212i</v>
      </c>
      <c r="AD194" s="64">
        <f t="shared" si="117"/>
        <v>49.110859077312668</v>
      </c>
      <c r="AE194" s="61">
        <f t="shared" si="118"/>
        <v>-109.5924704469905</v>
      </c>
      <c r="AF194" s="31" t="str">
        <f t="shared" si="104"/>
        <v>-1.39902068552014E-06</v>
      </c>
      <c r="AG194" s="31" t="str">
        <f t="shared" si="105"/>
        <v>0.000119560520573201i</v>
      </c>
      <c r="AH194" s="31">
        <f t="shared" si="119"/>
        <v>1.19560520573201E-4</v>
      </c>
      <c r="AI194" s="31">
        <f t="shared" si="120"/>
        <v>1.5707963267948966</v>
      </c>
      <c r="AJ194" s="31" t="str">
        <f t="shared" si="106"/>
        <v>1+0.00863649359874643i</v>
      </c>
      <c r="AK194" s="31">
        <f t="shared" si="121"/>
        <v>1.0000372938154263</v>
      </c>
      <c r="AL194" s="31">
        <f t="shared" si="122"/>
        <v>8.6362788791530202E-3</v>
      </c>
      <c r="AM194" s="31" t="str">
        <f t="shared" si="107"/>
        <v>1+4.19987603416687i</v>
      </c>
      <c r="AN194" s="31">
        <f t="shared" si="123"/>
        <v>4.3172860343471839</v>
      </c>
      <c r="AO194" s="31">
        <f t="shared" si="124"/>
        <v>1.3370464952126977</v>
      </c>
      <c r="AP194" s="58" t="str">
        <f t="shared" si="125"/>
        <v>-0.0490395446360489+0.0121248896506527i</v>
      </c>
      <c r="AQ194" s="49">
        <f t="shared" si="126"/>
        <v>-25.931380691492272</v>
      </c>
      <c r="AR194" s="61">
        <f t="shared" si="127"/>
        <v>166.11229885797275</v>
      </c>
      <c r="AS194" s="58" t="str">
        <f t="shared" si="128"/>
        <v>7.95492807678979+12.0276269927572i</v>
      </c>
      <c r="AT194" s="64">
        <f t="shared" si="129"/>
        <v>23.179478385820381</v>
      </c>
      <c r="AU194" s="61">
        <f t="shared" si="130"/>
        <v>56.519828410982207</v>
      </c>
    </row>
    <row r="195" spans="14:47" x14ac:dyDescent="0.4">
      <c r="N195" s="10">
        <v>77</v>
      </c>
      <c r="O195" s="50">
        <f t="shared" si="131"/>
        <v>588.84365535558959</v>
      </c>
      <c r="P195" s="48" t="str">
        <f t="shared" si="99"/>
        <v>5120.19230769231</v>
      </c>
      <c r="Q195" s="17" t="str">
        <f t="shared" si="100"/>
        <v>1+17.2895145050798i</v>
      </c>
      <c r="R195" s="17">
        <f t="shared" si="108"/>
        <v>17.318409621595304</v>
      </c>
      <c r="S195" s="17">
        <f t="shared" si="109"/>
        <v>1.5130221692681007</v>
      </c>
      <c r="T195" s="17" t="str">
        <f t="shared" si="101"/>
        <v>1+0.0000369611398975261i</v>
      </c>
      <c r="U195" s="17">
        <f t="shared" si="110"/>
        <v>1.0000000006830629</v>
      </c>
      <c r="V195" s="17">
        <f t="shared" si="111"/>
        <v>3.6961139880694912E-5</v>
      </c>
      <c r="W195" s="31" t="str">
        <f t="shared" si="102"/>
        <v>1-0.0599369836176098i</v>
      </c>
      <c r="X195" s="17">
        <f t="shared" si="112"/>
        <v>1.0017946106888265</v>
      </c>
      <c r="Y195" s="17">
        <f t="shared" si="113"/>
        <v>-5.9865364547555568E-2</v>
      </c>
      <c r="Z195" s="31" t="str">
        <f t="shared" si="103"/>
        <v>0.999861305259819+0.36492462558207i</v>
      </c>
      <c r="AA195" s="17">
        <f t="shared" si="114"/>
        <v>1.0643742819666786</v>
      </c>
      <c r="AB195" s="17">
        <f t="shared" si="115"/>
        <v>0.34995301106372045</v>
      </c>
      <c r="AC195" s="66" t="str">
        <f t="shared" si="116"/>
        <v>-95.9418354449987-261.204901773479i</v>
      </c>
      <c r="AD195" s="64">
        <f t="shared" si="117"/>
        <v>48.889251685147428</v>
      </c>
      <c r="AE195" s="61">
        <f t="shared" si="118"/>
        <v>-110.16853018090265</v>
      </c>
      <c r="AF195" s="31" t="str">
        <f t="shared" si="104"/>
        <v>-1.39902068552014E-06</v>
      </c>
      <c r="AG195" s="31" t="str">
        <f t="shared" si="105"/>
        <v>0.000122345442855995i</v>
      </c>
      <c r="AH195" s="31">
        <f t="shared" si="119"/>
        <v>1.2234544285599501E-4</v>
      </c>
      <c r="AI195" s="31">
        <f t="shared" si="120"/>
        <v>1.5707963267948966</v>
      </c>
      <c r="AJ195" s="31" t="str">
        <f t="shared" si="106"/>
        <v>1+0.00883766337747481i</v>
      </c>
      <c r="AK195" s="31">
        <f t="shared" si="121"/>
        <v>1.0000390513844815</v>
      </c>
      <c r="AL195" s="31">
        <f t="shared" si="122"/>
        <v>8.8374333017704945E-3</v>
      </c>
      <c r="AM195" s="31" t="str">
        <f t="shared" si="107"/>
        <v>1+4.29770371421084i</v>
      </c>
      <c r="AN195" s="31">
        <f t="shared" si="123"/>
        <v>4.4125114407944199</v>
      </c>
      <c r="AO195" s="31">
        <f t="shared" si="124"/>
        <v>1.3421818091185758</v>
      </c>
      <c r="AP195" s="58" t="str">
        <f t="shared" si="125"/>
        <v>-0.0490393722621598+0.011868397930844i</v>
      </c>
      <c r="AQ195" s="49">
        <f t="shared" si="126"/>
        <v>-25.941895529011543</v>
      </c>
      <c r="AR195" s="61">
        <f t="shared" si="127"/>
        <v>166.39500537180805</v>
      </c>
      <c r="AS195" s="58" t="str">
        <f t="shared" si="128"/>
        <v>7.80501109963684+11.6706485334937i</v>
      </c>
      <c r="AT195" s="64">
        <f t="shared" si="129"/>
        <v>22.947356156135879</v>
      </c>
      <c r="AU195" s="61">
        <f t="shared" si="130"/>
        <v>56.226475190905354</v>
      </c>
    </row>
    <row r="196" spans="14:47" x14ac:dyDescent="0.4">
      <c r="N196" s="10">
        <v>78</v>
      </c>
      <c r="O196" s="50">
        <f t="shared" si="131"/>
        <v>602.55958607435832</v>
      </c>
      <c r="P196" s="48" t="str">
        <f t="shared" si="99"/>
        <v>5120.19230769231</v>
      </c>
      <c r="Q196" s="17" t="str">
        <f t="shared" si="100"/>
        <v>1+17.6922390329846i</v>
      </c>
      <c r="R196" s="17">
        <f t="shared" si="108"/>
        <v>17.720477476644465</v>
      </c>
      <c r="S196" s="17">
        <f t="shared" si="109"/>
        <v>1.5143344440362116</v>
      </c>
      <c r="T196" s="17" t="str">
        <f t="shared" si="101"/>
        <v>1+0.000037822075443847i</v>
      </c>
      <c r="U196" s="17">
        <f t="shared" si="110"/>
        <v>1.0000000007152547</v>
      </c>
      <c r="V196" s="17">
        <f t="shared" si="111"/>
        <v>3.7822075425812058E-5</v>
      </c>
      <c r="W196" s="31" t="str">
        <f t="shared" si="102"/>
        <v>1-0.0613330953143464i</v>
      </c>
      <c r="X196" s="17">
        <f t="shared" si="112"/>
        <v>1.001879108765543</v>
      </c>
      <c r="Y196" s="17">
        <f t="shared" si="113"/>
        <v>-6.1256361869768572E-2</v>
      </c>
      <c r="Z196" s="31" t="str">
        <f t="shared" si="103"/>
        <v>0.999854768778092+0.373424812068811i</v>
      </c>
      <c r="AA196" s="17">
        <f t="shared" si="114"/>
        <v>1.0673123483390037</v>
      </c>
      <c r="AB196" s="17">
        <f t="shared" si="115"/>
        <v>0.3574365708775859</v>
      </c>
      <c r="AC196" s="66" t="str">
        <f t="shared" si="116"/>
        <v>-96.1031638267699-253.631327032544i</v>
      </c>
      <c r="AD196" s="64">
        <f t="shared" si="117"/>
        <v>48.666692802095291</v>
      </c>
      <c r="AE196" s="61">
        <f t="shared" si="118"/>
        <v>-110.75214332764871</v>
      </c>
      <c r="AF196" s="31" t="str">
        <f t="shared" si="104"/>
        <v>-1.39902068552014E-06</v>
      </c>
      <c r="AG196" s="31" t="str">
        <f t="shared" si="105"/>
        <v>0.000125195234312025i</v>
      </c>
      <c r="AH196" s="31">
        <f t="shared" si="119"/>
        <v>1.2519523431202501E-4</v>
      </c>
      <c r="AI196" s="31">
        <f t="shared" si="120"/>
        <v>1.5707963267948966</v>
      </c>
      <c r="AJ196" s="31" t="str">
        <f t="shared" si="106"/>
        <v>1+0.00904351900230623i</v>
      </c>
      <c r="AK196" s="31">
        <f t="shared" si="121"/>
        <v>1.0000408917819037</v>
      </c>
      <c r="AL196" s="31">
        <f t="shared" si="122"/>
        <v>9.0432724722918339E-3</v>
      </c>
      <c r="AM196" s="31" t="str">
        <f t="shared" si="107"/>
        <v>1+4.39781009365092i</v>
      </c>
      <c r="AN196" s="31">
        <f t="shared" si="123"/>
        <v>4.510070245552491</v>
      </c>
      <c r="AO196" s="31">
        <f t="shared" si="124"/>
        <v>1.347212115476073</v>
      </c>
      <c r="AP196" s="58" t="str">
        <f t="shared" si="125"/>
        <v>-0.0490391917658381+0.0116181988490991i</v>
      </c>
      <c r="AQ196" s="49">
        <f t="shared" si="126"/>
        <v>-25.951962278980183</v>
      </c>
      <c r="AR196" s="61">
        <f t="shared" si="127"/>
        <v>166.67142698002112</v>
      </c>
      <c r="AS196" s="58" t="str">
        <f t="shared" si="128"/>
        <v>7.6595606720297+11.321329616806i</v>
      </c>
      <c r="AT196" s="64">
        <f t="shared" si="129"/>
        <v>22.714730523115129</v>
      </c>
      <c r="AU196" s="61">
        <f t="shared" si="130"/>
        <v>55.919283652372521</v>
      </c>
    </row>
    <row r="197" spans="14:47" x14ac:dyDescent="0.4">
      <c r="N197" s="10">
        <v>79</v>
      </c>
      <c r="O197" s="50">
        <f t="shared" si="131"/>
        <v>616.59500186148273</v>
      </c>
      <c r="P197" s="48" t="str">
        <f t="shared" si="99"/>
        <v>5120.19230769231</v>
      </c>
      <c r="Q197" s="17" t="str">
        <f t="shared" si="100"/>
        <v>1+18.1043442202091i</v>
      </c>
      <c r="R197" s="17">
        <f t="shared" si="108"/>
        <v>18.131940868087415</v>
      </c>
      <c r="S197" s="17">
        <f t="shared" si="109"/>
        <v>1.5156170359169576</v>
      </c>
      <c r="T197" s="17" t="str">
        <f t="shared" si="101"/>
        <v>1+0.0000387030647552027i</v>
      </c>
      <c r="U197" s="17">
        <f t="shared" si="110"/>
        <v>1.0000000007489636</v>
      </c>
      <c r="V197" s="17">
        <f t="shared" si="111"/>
        <v>3.8703064735877905E-5</v>
      </c>
      <c r="W197" s="31" t="str">
        <f t="shared" si="102"/>
        <v>1-0.0627617266300583i</v>
      </c>
      <c r="X197" s="17">
        <f t="shared" si="112"/>
        <v>1.00196758147636</v>
      </c>
      <c r="Y197" s="17">
        <f t="shared" si="113"/>
        <v>-6.267951398057274E-2</v>
      </c>
      <c r="Z197" s="31" t="str">
        <f t="shared" si="103"/>
        <v>0.999847924241472+0.382122993333772i</v>
      </c>
      <c r="AA197" s="17">
        <f t="shared" si="114"/>
        <v>1.0703802378801386</v>
      </c>
      <c r="AB197" s="17">
        <f t="shared" si="115"/>
        <v>0.36505152992957179</v>
      </c>
      <c r="AC197" s="66" t="str">
        <f t="shared" si="116"/>
        <v>-96.2072872831394-246.207396357537i</v>
      </c>
      <c r="AD197" s="64">
        <f t="shared" si="117"/>
        <v>48.443151340911214</v>
      </c>
      <c r="AE197" s="61">
        <f t="shared" si="118"/>
        <v>-111.34342557668195</v>
      </c>
      <c r="AF197" s="31" t="str">
        <f t="shared" si="104"/>
        <v>-1.39902068552014E-06</v>
      </c>
      <c r="AG197" s="31" t="str">
        <f t="shared" si="105"/>
        <v>0.000128111405938442i</v>
      </c>
      <c r="AH197" s="31">
        <f t="shared" si="119"/>
        <v>1.2811140593844199E-4</v>
      </c>
      <c r="AI197" s="31">
        <f t="shared" si="120"/>
        <v>1.5707963267948966</v>
      </c>
      <c r="AJ197" s="31" t="str">
        <f t="shared" si="106"/>
        <v>1+0.00925416962061781i</v>
      </c>
      <c r="AK197" s="31">
        <f t="shared" si="121"/>
        <v>1.000042818910954</v>
      </c>
      <c r="AL197" s="31">
        <f t="shared" si="122"/>
        <v>9.2539054595589341E-3</v>
      </c>
      <c r="AM197" s="31" t="str">
        <f t="shared" si="107"/>
        <v>1+4.50024825021456i</v>
      </c>
      <c r="AN197" s="31">
        <f t="shared" si="123"/>
        <v>4.6100145676081343</v>
      </c>
      <c r="AO197" s="31">
        <f t="shared" si="124"/>
        <v>1.3521390626698753</v>
      </c>
      <c r="AP197" s="58" t="str">
        <f t="shared" si="125"/>
        <v>-0.0490390027644111+0.0113741597362835i</v>
      </c>
      <c r="AQ197" s="49">
        <f t="shared" si="126"/>
        <v>-25.961599185604818</v>
      </c>
      <c r="AR197" s="61">
        <f t="shared" si="127"/>
        <v>166.94165187891323</v>
      </c>
      <c r="AS197" s="58" t="str">
        <f t="shared" si="128"/>
        <v>7.51831168145946+10.9794881372428i</v>
      </c>
      <c r="AT197" s="64">
        <f t="shared" si="129"/>
        <v>22.481552155306407</v>
      </c>
      <c r="AU197" s="61">
        <f t="shared" si="130"/>
        <v>55.598226302231311</v>
      </c>
    </row>
    <row r="198" spans="14:47" x14ac:dyDescent="0.4">
      <c r="N198" s="10">
        <v>80</v>
      </c>
      <c r="O198" s="50">
        <f t="shared" si="131"/>
        <v>630.95734448019323</v>
      </c>
      <c r="P198" s="48" t="str">
        <f t="shared" si="99"/>
        <v>5120.19230769231</v>
      </c>
      <c r="Q198" s="17" t="str">
        <f t="shared" si="100"/>
        <v>1+18.5260485703786i</v>
      </c>
      <c r="R198" s="17">
        <f t="shared" si="108"/>
        <v>18.553017965604056</v>
      </c>
      <c r="S198" s="17">
        <f t="shared" si="109"/>
        <v>1.5168706080686341</v>
      </c>
      <c r="T198" s="17" t="str">
        <f t="shared" si="101"/>
        <v>1+0.0000396045749437871i</v>
      </c>
      <c r="U198" s="17">
        <f t="shared" si="110"/>
        <v>1.0000000007842611</v>
      </c>
      <c r="V198" s="17">
        <f t="shared" si="111"/>
        <v>3.9604574923080215E-5</v>
      </c>
      <c r="W198" s="31" t="str">
        <f t="shared" si="102"/>
        <v>1-0.064223635043979i</v>
      </c>
      <c r="X198" s="17">
        <f t="shared" si="112"/>
        <v>1.0020602154053728</v>
      </c>
      <c r="Y198" s="17">
        <f t="shared" si="113"/>
        <v>-6.4135552381855879E-2</v>
      </c>
      <c r="Z198" s="31" t="str">
        <f t="shared" si="103"/>
        <v>0.999840757131779+0.391023781267793i</v>
      </c>
      <c r="AA198" s="17">
        <f t="shared" si="114"/>
        <v>1.0735833163470883</v>
      </c>
      <c r="AB198" s="17">
        <f t="shared" si="115"/>
        <v>0.37279840478822635</v>
      </c>
      <c r="AC198" s="66" t="str">
        <f t="shared" si="116"/>
        <v>-96.2552943213297-238.930456774437i</v>
      </c>
      <c r="AD198" s="64">
        <f t="shared" si="117"/>
        <v>48.218595478518651</v>
      </c>
      <c r="AE198" s="61">
        <f t="shared" si="118"/>
        <v>-111.94248640657871</v>
      </c>
      <c r="AF198" s="31" t="str">
        <f t="shared" si="104"/>
        <v>-1.39902068552014E-06</v>
      </c>
      <c r="AG198" s="31" t="str">
        <f t="shared" si="105"/>
        <v>0.000131095503928043i</v>
      </c>
      <c r="AH198" s="31">
        <f t="shared" si="119"/>
        <v>1.31095503928043E-4</v>
      </c>
      <c r="AI198" s="31">
        <f t="shared" si="120"/>
        <v>1.5707963267948966</v>
      </c>
      <c r="AJ198" s="31" t="str">
        <f t="shared" si="106"/>
        <v>1+0.00946972692215564i</v>
      </c>
      <c r="AK198" s="31">
        <f t="shared" si="121"/>
        <v>1.0000448368588182</v>
      </c>
      <c r="AL198" s="31">
        <f t="shared" si="122"/>
        <v>9.4694438691667673E-3</v>
      </c>
      <c r="AM198" s="31" t="str">
        <f t="shared" si="107"/>
        <v>1+4.60507249796827i</v>
      </c>
      <c r="AN198" s="31">
        <f t="shared" si="123"/>
        <v>4.7123977666941199</v>
      </c>
      <c r="AO198" s="31">
        <f t="shared" si="124"/>
        <v>1.3569643057935343</v>
      </c>
      <c r="AP198" s="58" t="str">
        <f t="shared" si="125"/>
        <v>-0.0490388048571823+0.0111361511886255i</v>
      </c>
      <c r="AQ198" s="49">
        <f t="shared" si="126"/>
        <v>-25.970823837751936</v>
      </c>
      <c r="AR198" s="61">
        <f t="shared" si="127"/>
        <v>167.20576850382986</v>
      </c>
      <c r="AS198" s="58" t="str">
        <f t="shared" si="128"/>
        <v>7.38101028490181+10.6449505339311i</v>
      </c>
      <c r="AT198" s="64">
        <f t="shared" si="129"/>
        <v>22.247771640766722</v>
      </c>
      <c r="AU198" s="61">
        <f t="shared" si="130"/>
        <v>55.263282097251228</v>
      </c>
    </row>
    <row r="199" spans="14:47" x14ac:dyDescent="0.4">
      <c r="N199" s="10">
        <v>81</v>
      </c>
      <c r="O199" s="50">
        <f t="shared" si="131"/>
        <v>645.65422903465594</v>
      </c>
      <c r="P199" s="48" t="str">
        <f t="shared" si="99"/>
        <v>5120.19230769231</v>
      </c>
      <c r="Q199" s="17" t="str">
        <f t="shared" si="100"/>
        <v>1+18.9575756767213i</v>
      </c>
      <c r="R199" s="17">
        <f t="shared" si="108"/>
        <v>18.983932035766856</v>
      </c>
      <c r="S199" s="17">
        <f t="shared" si="109"/>
        <v>1.5180958093835193</v>
      </c>
      <c r="T199" s="17" t="str">
        <f t="shared" si="101"/>
        <v>1+0.0000405270840022353i</v>
      </c>
      <c r="U199" s="17">
        <f t="shared" si="110"/>
        <v>1.0000000008212222</v>
      </c>
      <c r="V199" s="17">
        <f t="shared" si="111"/>
        <v>4.0527083980047471E-5</v>
      </c>
      <c r="W199" s="31" t="str">
        <f t="shared" si="102"/>
        <v>1-0.0657195956793003i</v>
      </c>
      <c r="X199" s="17">
        <f t="shared" si="112"/>
        <v>1.0021572058595651</v>
      </c>
      <c r="Y199" s="17">
        <f t="shared" si="113"/>
        <v>-6.562522437555772E-2</v>
      </c>
      <c r="Z199" s="31" t="str">
        <f t="shared" si="103"/>
        <v>0.999833252246612+0.400131895186455i</v>
      </c>
      <c r="AA199" s="17">
        <f t="shared" si="114"/>
        <v>1.076927140452659</v>
      </c>
      <c r="AB199" s="17">
        <f t="shared" si="115"/>
        <v>0.38067759590809336</v>
      </c>
      <c r="AC199" s="66" t="str">
        <f t="shared" si="116"/>
        <v>-96.248220777815-231.797955006316i</v>
      </c>
      <c r="AD199" s="64">
        <f t="shared" si="117"/>
        <v>47.992992684768041</v>
      </c>
      <c r="AE199" s="61">
        <f t="shared" si="118"/>
        <v>-112.54942873034321</v>
      </c>
      <c r="AF199" s="31" t="str">
        <f t="shared" si="104"/>
        <v>-1.39902068552014E-06</v>
      </c>
      <c r="AG199" s="31" t="str">
        <f t="shared" si="105"/>
        <v>0.000134149110489081i</v>
      </c>
      <c r="AH199" s="31">
        <f t="shared" si="119"/>
        <v>1.3414911048908101E-4</v>
      </c>
      <c r="AI199" s="31">
        <f t="shared" si="120"/>
        <v>1.5707963267948966</v>
      </c>
      <c r="AJ199" s="31" t="str">
        <f t="shared" si="106"/>
        <v>1+0.00969030519825426i</v>
      </c>
      <c r="AK199" s="31">
        <f t="shared" si="121"/>
        <v>1.0000469499052709</v>
      </c>
      <c r="AL199" s="31">
        <f t="shared" si="122"/>
        <v>9.6900019022813106E-3</v>
      </c>
      <c r="AM199" s="31" t="str">
        <f t="shared" si="107"/>
        <v>1+4.71233841611576i</v>
      </c>
      <c r="AN199" s="31">
        <f t="shared" si="123"/>
        <v>4.8172744729774735</v>
      </c>
      <c r="AO199" s="31">
        <f t="shared" si="124"/>
        <v>1.3616895040752228</v>
      </c>
      <c r="AP199" s="58" t="str">
        <f t="shared" si="125"/>
        <v>-0.0490385976245853+0.0109040469990519i</v>
      </c>
      <c r="AQ199" s="49">
        <f t="shared" si="126"/>
        <v>-25.979653185778453</v>
      </c>
      <c r="AR199" s="61">
        <f t="shared" si="127"/>
        <v>167.46386537829795</v>
      </c>
      <c r="AS199" s="58" t="str">
        <f t="shared" si="128"/>
        <v>7.24741356647851+10.31755152282i</v>
      </c>
      <c r="AT199" s="64">
        <f t="shared" si="129"/>
        <v>22.013339498989566</v>
      </c>
      <c r="AU199" s="61">
        <f t="shared" si="130"/>
        <v>54.914436647954638</v>
      </c>
    </row>
    <row r="200" spans="14:47" x14ac:dyDescent="0.4">
      <c r="N200" s="10">
        <v>82</v>
      </c>
      <c r="O200" s="50">
        <f t="shared" si="131"/>
        <v>660.69344800759643</v>
      </c>
      <c r="P200" s="48" t="str">
        <f t="shared" si="99"/>
        <v>5120.19230769231</v>
      </c>
      <c r="Q200" s="17" t="str">
        <f t="shared" si="100"/>
        <v>1+19.399154340621i</v>
      </c>
      <c r="R200" s="17">
        <f t="shared" si="108"/>
        <v>19.424911560448209</v>
      </c>
      <c r="S200" s="17">
        <f t="shared" si="109"/>
        <v>1.5192932747578491</v>
      </c>
      <c r="T200" s="17" t="str">
        <f t="shared" si="101"/>
        <v>1+0.0000414710810570608i</v>
      </c>
      <c r="U200" s="17">
        <f t="shared" si="110"/>
        <v>1.0000000008599252</v>
      </c>
      <c r="V200" s="17">
        <f t="shared" si="111"/>
        <v>4.1471081033286109E-5</v>
      </c>
      <c r="W200" s="31" t="str">
        <f t="shared" si="102"/>
        <v>1-0.0672504017141526i</v>
      </c>
      <c r="X200" s="17">
        <f t="shared" si="112"/>
        <v>1.0022587572731478</v>
      </c>
      <c r="Y200" s="17">
        <f t="shared" si="113"/>
        <v>-6.7149293344469077E-2</v>
      </c>
      <c r="Z200" s="31" t="str">
        <f t="shared" si="103"/>
        <v>0.999825393667104+0.409452164332317i</v>
      </c>
      <c r="AA200" s="17">
        <f t="shared" si="114"/>
        <v>1.0804174622330012</v>
      </c>
      <c r="AB200" s="17">
        <f t="shared" si="115"/>
        <v>0.38868938081442861</v>
      </c>
      <c r="AC200" s="66" t="str">
        <f t="shared" si="116"/>
        <v>-96.1870553348185-224.807437244284i</v>
      </c>
      <c r="AD200" s="64">
        <f t="shared" si="117"/>
        <v>47.766309755136433</v>
      </c>
      <c r="AE200" s="61">
        <f t="shared" si="118"/>
        <v>-113.16434853646349</v>
      </c>
      <c r="AF200" s="31" t="str">
        <f t="shared" si="104"/>
        <v>-1.39902068552014E-06</v>
      </c>
      <c r="AG200" s="31" t="str">
        <f t="shared" si="105"/>
        <v>0.000137273844684173i</v>
      </c>
      <c r="AH200" s="31">
        <f t="shared" si="119"/>
        <v>1.3727384468417299E-4</v>
      </c>
      <c r="AI200" s="31">
        <f t="shared" si="120"/>
        <v>1.5707963267948966</v>
      </c>
      <c r="AJ200" s="31" t="str">
        <f t="shared" si="106"/>
        <v>1+0.00991602140243535i</v>
      </c>
      <c r="AK200" s="31">
        <f t="shared" si="121"/>
        <v>1.0000491625317496</v>
      </c>
      <c r="AL200" s="31">
        <f t="shared" si="122"/>
        <v>9.9156964158079956E-3</v>
      </c>
      <c r="AM200" s="31" t="str">
        <f t="shared" si="107"/>
        <v>1+4.82210287846665i</v>
      </c>
      <c r="AN200" s="31">
        <f t="shared" si="123"/>
        <v>4.9247006173488712</v>
      </c>
      <c r="AO200" s="31">
        <f t="shared" si="124"/>
        <v>1.3663163184721547</v>
      </c>
      <c r="AP200" s="58" t="str">
        <f t="shared" si="125"/>
        <v>-0.0490383806272945+0.0106777240902158i</v>
      </c>
      <c r="AQ200" s="49">
        <f t="shared" si="126"/>
        <v>-25.988103558561058</v>
      </c>
      <c r="AR200" s="61">
        <f t="shared" si="127"/>
        <v>167.71603097274814</v>
      </c>
      <c r="AS200" s="58" t="str">
        <f t="shared" si="128"/>
        <v>7.11728921925043+9.99713383751631i</v>
      </c>
      <c r="AT200" s="64">
        <f t="shared" si="129"/>
        <v>21.778206196575379</v>
      </c>
      <c r="AU200" s="61">
        <f t="shared" si="130"/>
        <v>54.551682436284686</v>
      </c>
    </row>
    <row r="201" spans="14:47" x14ac:dyDescent="0.4">
      <c r="N201" s="10">
        <v>83</v>
      </c>
      <c r="O201" s="50">
        <f t="shared" si="131"/>
        <v>676.08297539198213</v>
      </c>
      <c r="P201" s="48" t="str">
        <f t="shared" si="99"/>
        <v>5120.19230769231</v>
      </c>
      <c r="Q201" s="17" t="str">
        <f t="shared" si="100"/>
        <v>1+19.8510186929302i</v>
      </c>
      <c r="R201" s="17">
        <f t="shared" si="108"/>
        <v>19.876190357990243</v>
      </c>
      <c r="S201" s="17">
        <f t="shared" si="109"/>
        <v>1.5204636253592341</v>
      </c>
      <c r="T201" s="17" t="str">
        <f t="shared" si="101"/>
        <v>1+0.0000424370666279975i</v>
      </c>
      <c r="U201" s="17">
        <f t="shared" si="110"/>
        <v>1.0000000009004522</v>
      </c>
      <c r="V201" s="17">
        <f t="shared" si="111"/>
        <v>4.2437066602522461E-5</v>
      </c>
      <c r="W201" s="31" t="str">
        <f t="shared" si="102"/>
        <v>1-0.068816864802158i</v>
      </c>
      <c r="X201" s="17">
        <f t="shared" si="112"/>
        <v>1.00236508363031</v>
      </c>
      <c r="Y201" s="17">
        <f t="shared" si="113"/>
        <v>-6.8708539033498203E-2</v>
      </c>
      <c r="Z201" s="31" t="str">
        <f t="shared" si="103"/>
        <v>0.999817164724154+0.418989530435448i</v>
      </c>
      <c r="AA201" s="17">
        <f t="shared" si="114"/>
        <v>1.084060233331877</v>
      </c>
      <c r="AB201" s="17">
        <f t="shared" si="115"/>
        <v>0.39683390724278267</v>
      </c>
      <c r="AC201" s="66" t="str">
        <f t="shared" si="116"/>
        <v>-96.0727450350581-217.956548714892i</v>
      </c>
      <c r="AD201" s="64">
        <f t="shared" si="117"/>
        <v>47.538512847568903</v>
      </c>
      <c r="AE201" s="61">
        <f t="shared" si="118"/>
        <v>-113.78733452726006</v>
      </c>
      <c r="AF201" s="31" t="str">
        <f t="shared" si="104"/>
        <v>-1.39902068552014E-06</v>
      </c>
      <c r="AG201" s="31" t="str">
        <f t="shared" si="105"/>
        <v>0.000140471363288751i</v>
      </c>
      <c r="AH201" s="31">
        <f t="shared" si="119"/>
        <v>1.40471363288751E-4</v>
      </c>
      <c r="AI201" s="31">
        <f t="shared" si="120"/>
        <v>1.5707963267948966</v>
      </c>
      <c r="AJ201" s="31" t="str">
        <f t="shared" si="106"/>
        <v>1+0.0101469952124181i</v>
      </c>
      <c r="AK201" s="31">
        <f t="shared" si="121"/>
        <v>1.0000514794308546</v>
      </c>
      <c r="AL201" s="31">
        <f t="shared" si="122"/>
        <v>1.0146646983941087E-2</v>
      </c>
      <c r="AM201" s="31" t="str">
        <f t="shared" si="107"/>
        <v>1+4.93442408359178i</v>
      </c>
      <c r="AN201" s="31">
        <f t="shared" si="123"/>
        <v>5.0347334623324969</v>
      </c>
      <c r="AO201" s="31">
        <f t="shared" si="124"/>
        <v>1.3708464094272668</v>
      </c>
      <c r="AP201" s="58" t="str">
        <f t="shared" si="125"/>
        <v>-0.0490381534052946+0.0104570624491781i</v>
      </c>
      <c r="AQ201" s="49">
        <f t="shared" si="126"/>
        <v>-25.996190680652361</v>
      </c>
      <c r="AR201" s="61">
        <f t="shared" si="127"/>
        <v>167.96235357245629</v>
      </c>
      <c r="AS201" s="58" t="str">
        <f t="shared" si="128"/>
        <v>6.99041525021589+9.68354797707387i</v>
      </c>
      <c r="AT201" s="64">
        <f t="shared" si="129"/>
        <v>21.542322166916538</v>
      </c>
      <c r="AU201" s="61">
        <f t="shared" si="130"/>
        <v>54.17501904519623</v>
      </c>
    </row>
    <row r="202" spans="14:47" x14ac:dyDescent="0.4">
      <c r="N202" s="10">
        <v>84</v>
      </c>
      <c r="O202" s="50">
        <f t="shared" si="131"/>
        <v>691.83097091893671</v>
      </c>
      <c r="P202" s="48" t="str">
        <f t="shared" si="99"/>
        <v>5120.19230769231</v>
      </c>
      <c r="Q202" s="17" t="str">
        <f t="shared" si="100"/>
        <v>1+20.3134083181097i</v>
      </c>
      <c r="R202" s="17">
        <f t="shared" si="108"/>
        <v>20.338007707202994</v>
      </c>
      <c r="S202" s="17">
        <f t="shared" si="109"/>
        <v>1.5216074688913488</v>
      </c>
      <c r="T202" s="17" t="str">
        <f t="shared" si="101"/>
        <v>1+0.0000434255528933813i</v>
      </c>
      <c r="U202" s="17">
        <f t="shared" si="110"/>
        <v>1.0000000009428893</v>
      </c>
      <c r="V202" s="17">
        <f t="shared" si="111"/>
        <v>4.3425552866084306E-5</v>
      </c>
      <c r="W202" s="31" t="str">
        <f t="shared" si="102"/>
        <v>1-0.0704198155027803i</v>
      </c>
      <c r="X202" s="17">
        <f t="shared" si="112"/>
        <v>1.0024764089071851</v>
      </c>
      <c r="Y202" s="17">
        <f t="shared" si="113"/>
        <v>-7.0303757831001609E-2</v>
      </c>
      <c r="Z202" s="31" t="str">
        <f t="shared" si="103"/>
        <v>0.999808547963071+0.428749050333597i</v>
      </c>
      <c r="AA202" s="17">
        <f t="shared" si="114"/>
        <v>1.0878616091865663</v>
      </c>
      <c r="AB202" s="17">
        <f t="shared" si="115"/>
        <v>0.40511118626382897</v>
      </c>
      <c r="AC202" s="66" t="str">
        <f t="shared" si="116"/>
        <v>-95.9062007912589-211.243033032093i</v>
      </c>
      <c r="AD202" s="64">
        <f t="shared" si="117"/>
        <v>47.309567523648838</v>
      </c>
      <c r="AE202" s="61">
        <f t="shared" si="118"/>
        <v>-114.41846775623752</v>
      </c>
      <c r="AF202" s="31" t="str">
        <f t="shared" si="104"/>
        <v>-1.39902068552014E-06</v>
      </c>
      <c r="AG202" s="31" t="str">
        <f t="shared" si="105"/>
        <v>0.000143743361669503i</v>
      </c>
      <c r="AH202" s="31">
        <f t="shared" si="119"/>
        <v>1.4374336166950299E-4</v>
      </c>
      <c r="AI202" s="31">
        <f t="shared" si="120"/>
        <v>1.5707963267948966</v>
      </c>
      <c r="AJ202" s="31" t="str">
        <f t="shared" si="106"/>
        <v>1+0.0103833490935738i</v>
      </c>
      <c r="AK202" s="31">
        <f t="shared" si="121"/>
        <v>1.0000539055162971</v>
      </c>
      <c r="AL202" s="31">
        <f t="shared" si="122"/>
        <v>1.0382975961124313E-2</v>
      </c>
      <c r="AM202" s="31" t="str">
        <f t="shared" si="107"/>
        <v>1+5.04936158568084i</v>
      </c>
      <c r="AN202" s="31">
        <f t="shared" si="123"/>
        <v>5.1474316336352954</v>
      </c>
      <c r="AO202" s="31">
        <f t="shared" si="124"/>
        <v>1.3752814347816389</v>
      </c>
      <c r="AP202" s="58" t="str">
        <f t="shared" si="125"/>
        <v>-0.0490379154769085+0.0102419450637113i</v>
      </c>
      <c r="AQ202" s="49">
        <f t="shared" si="126"/>
        <v>-26.003929689498392</v>
      </c>
      <c r="AR202" s="61">
        <f t="shared" si="127"/>
        <v>168.20292115432602</v>
      </c>
      <c r="AS202" s="58" t="str">
        <f t="shared" si="128"/>
        <v>6.86657970751962+9.37665195914023i</v>
      </c>
      <c r="AT202" s="64">
        <f t="shared" si="129"/>
        <v>21.305637834150449</v>
      </c>
      <c r="AU202" s="61">
        <f t="shared" si="130"/>
        <v>53.784453398088502</v>
      </c>
    </row>
    <row r="203" spans="14:47" x14ac:dyDescent="0.4">
      <c r="N203" s="10">
        <v>85</v>
      </c>
      <c r="O203" s="50">
        <f t="shared" si="131"/>
        <v>707.94578438413873</v>
      </c>
      <c r="P203" s="48" t="str">
        <f t="shared" si="99"/>
        <v>5120.19230769231</v>
      </c>
      <c r="Q203" s="17" t="str">
        <f t="shared" si="100"/>
        <v>1+20.7865683812593i</v>
      </c>
      <c r="R203" s="17">
        <f t="shared" si="108"/>
        <v>20.81060847425584</v>
      </c>
      <c r="S203" s="17">
        <f t="shared" si="109"/>
        <v>1.5227253998557371</v>
      </c>
      <c r="T203" s="17" t="str">
        <f t="shared" si="101"/>
        <v>1+0.0000444370639617143i</v>
      </c>
      <c r="U203" s="17">
        <f t="shared" si="110"/>
        <v>1.0000000009873262</v>
      </c>
      <c r="V203" s="17">
        <f t="shared" si="111"/>
        <v>4.4437063932465043E-5</v>
      </c>
      <c r="W203" s="31" t="str">
        <f t="shared" si="102"/>
        <v>1-0.0720601037216988i</v>
      </c>
      <c r="X203" s="17">
        <f t="shared" si="112"/>
        <v>1.0025929675338752</v>
      </c>
      <c r="Y203" s="17">
        <f t="shared" si="113"/>
        <v>-7.1935763049737866E-2</v>
      </c>
      <c r="Z203" s="31" t="str">
        <f t="shared" si="103"/>
        <v>0.999799525106549+0.438735898653399i</v>
      </c>
      <c r="AA203" s="17">
        <f t="shared" si="114"/>
        <v>1.0918279530999773</v>
      </c>
      <c r="AB203" s="17">
        <f t="shared" si="115"/>
        <v>0.41352108542676574</v>
      </c>
      <c r="AC203" s="66" t="str">
        <f t="shared" si="116"/>
        <v>-95.6883028849714-204.664731321498i</v>
      </c>
      <c r="AD203" s="64">
        <f t="shared" si="117"/>
        <v>47.079438794271589</v>
      </c>
      <c r="AE203" s="61">
        <f t="shared" si="118"/>
        <v>-115.05782126631269</v>
      </c>
      <c r="AF203" s="31" t="str">
        <f t="shared" si="104"/>
        <v>-1.39902068552014E-06</v>
      </c>
      <c r="AG203" s="31" t="str">
        <f t="shared" si="105"/>
        <v>0.00014709157468328i</v>
      </c>
      <c r="AH203" s="31">
        <f t="shared" si="119"/>
        <v>1.4709157468328001E-4</v>
      </c>
      <c r="AI203" s="31">
        <f t="shared" si="120"/>
        <v>1.5707963267948966</v>
      </c>
      <c r="AJ203" s="31" t="str">
        <f t="shared" si="106"/>
        <v>1+0.0106252083638588i</v>
      </c>
      <c r="AK203" s="31">
        <f t="shared" si="121"/>
        <v>1.0000564459333159</v>
      </c>
      <c r="AL203" s="31">
        <f t="shared" si="122"/>
        <v>1.0624808546454565E-2</v>
      </c>
      <c r="AM203" s="31" t="str">
        <f t="shared" si="107"/>
        <v>1+5.16697632611885i</v>
      </c>
      <c r="AN203" s="31">
        <f t="shared" si="123"/>
        <v>5.2628551523552929</v>
      </c>
      <c r="AO203" s="31">
        <f t="shared" si="124"/>
        <v>1.3796230478361076</v>
      </c>
      <c r="AP203" s="58" t="str">
        <f t="shared" si="125"/>
        <v>-0.0490376663377779+0.0100322578601884i</v>
      </c>
      <c r="AQ203" s="49">
        <f t="shared" si="126"/>
        <v>-26.01133515265937</v>
      </c>
      <c r="AR203" s="61">
        <f t="shared" si="127"/>
        <v>168.43782127213788</v>
      </c>
      <c r="AS203" s="58" t="str">
        <f t="shared" si="128"/>
        <v>6.7455804288049+9.07631107690874i</v>
      </c>
      <c r="AT203" s="64">
        <f t="shared" si="129"/>
        <v>21.068103641612211</v>
      </c>
      <c r="AU203" s="61">
        <f t="shared" si="130"/>
        <v>53.380000005825217</v>
      </c>
    </row>
    <row r="204" spans="14:47" x14ac:dyDescent="0.4">
      <c r="N204" s="10">
        <v>86</v>
      </c>
      <c r="O204" s="50">
        <f t="shared" si="131"/>
        <v>724.43596007499025</v>
      </c>
      <c r="P204" s="48" t="str">
        <f t="shared" si="99"/>
        <v>5120.19230769231</v>
      </c>
      <c r="Q204" s="17" t="str">
        <f t="shared" si="100"/>
        <v>1+21.2707497581073i</v>
      </c>
      <c r="R204" s="17">
        <f t="shared" si="108"/>
        <v>21.294243242529699</v>
      </c>
      <c r="S204" s="17">
        <f t="shared" si="109"/>
        <v>1.5238179998105921</v>
      </c>
      <c r="T204" s="17" t="str">
        <f t="shared" si="101"/>
        <v>1+0.0000454721361495539i</v>
      </c>
      <c r="U204" s="17">
        <f t="shared" si="110"/>
        <v>1.0000000010338574</v>
      </c>
      <c r="V204" s="17">
        <f t="shared" si="111"/>
        <v>4.5472136118212758E-5</v>
      </c>
      <c r="W204" s="31" t="str">
        <f t="shared" si="102"/>
        <v>1-0.0737385991614387i</v>
      </c>
      <c r="X204" s="17">
        <f t="shared" si="112"/>
        <v>1.0027150048774034</v>
      </c>
      <c r="Y204" s="17">
        <f t="shared" si="113"/>
        <v>-7.3605385206964261E-2</v>
      </c>
      <c r="Z204" s="31" t="str">
        <f t="shared" si="103"/>
        <v>0.9997900770159+0.448955370554022i</v>
      </c>
      <c r="AA204" s="17">
        <f t="shared" si="114"/>
        <v>1.0959658401833328</v>
      </c>
      <c r="AB204" s="17">
        <f t="shared" si="115"/>
        <v>0.42206332195752849</v>
      </c>
      <c r="AC204" s="66" t="str">
        <f t="shared" si="116"/>
        <v>-95.4199064471706-198.219581104516i</v>
      </c>
      <c r="AD204" s="64">
        <f t="shared" si="117"/>
        <v>46.848091169980314</v>
      </c>
      <c r="AE204" s="61">
        <f t="shared" si="118"/>
        <v>-115.70545973096004</v>
      </c>
      <c r="AF204" s="31" t="str">
        <f t="shared" si="104"/>
        <v>-1.39902068552014E-06</v>
      </c>
      <c r="AG204" s="31" t="str">
        <f t="shared" si="105"/>
        <v>0.000150517777596941i</v>
      </c>
      <c r="AH204" s="31">
        <f t="shared" si="119"/>
        <v>1.5051777759694099E-4</v>
      </c>
      <c r="AI204" s="31">
        <f t="shared" si="120"/>
        <v>1.5707963267948966</v>
      </c>
      <c r="AJ204" s="31" t="str">
        <f t="shared" si="106"/>
        <v>1+0.0108727012602595i</v>
      </c>
      <c r="AK204" s="31">
        <f t="shared" si="121"/>
        <v>1.0000591060695838</v>
      </c>
      <c r="AL204" s="31">
        <f t="shared" si="122"/>
        <v>1.08722728495598E-2</v>
      </c>
      <c r="AM204" s="31" t="str">
        <f t="shared" si="107"/>
        <v>1+5.28733066579797i</v>
      </c>
      <c r="AN204" s="31">
        <f t="shared" si="123"/>
        <v>5.381065467868571</v>
      </c>
      <c r="AO204" s="31">
        <f t="shared" si="124"/>
        <v>1.383872895555518</v>
      </c>
      <c r="AP204" s="58" t="str">
        <f t="shared" si="125"/>
        <v>-0.0490374054597951+0.00982788964302589i</v>
      </c>
      <c r="AQ204" s="49">
        <f t="shared" si="126"/>
        <v>-26.018421084980506</v>
      </c>
      <c r="AR204" s="61">
        <f t="shared" si="127"/>
        <v>168.66714094988529</v>
      </c>
      <c r="AS204" s="58" t="str">
        <f t="shared" si="128"/>
        <v>6.62722480956762+8.78239765838224i</v>
      </c>
      <c r="AT204" s="64">
        <f t="shared" si="129"/>
        <v>20.829670084999808</v>
      </c>
      <c r="AU204" s="61">
        <f t="shared" si="130"/>
        <v>52.961681218925257</v>
      </c>
    </row>
    <row r="205" spans="14:47" x14ac:dyDescent="0.4">
      <c r="N205" s="10">
        <v>87</v>
      </c>
      <c r="O205" s="50">
        <f t="shared" si="131"/>
        <v>741.31024130091828</v>
      </c>
      <c r="P205" s="48" t="str">
        <f t="shared" si="99"/>
        <v>5120.19230769231</v>
      </c>
      <c r="Q205" s="17" t="str">
        <f t="shared" si="100"/>
        <v>1+21.7662091680287i</v>
      </c>
      <c r="R205" s="17">
        <f t="shared" si="108"/>
        <v>21.789168445500085</v>
      </c>
      <c r="S205" s="17">
        <f t="shared" si="109"/>
        <v>1.524885837626395</v>
      </c>
      <c r="T205" s="17" t="str">
        <f t="shared" si="101"/>
        <v>1+0.0000465313182658748i</v>
      </c>
      <c r="U205" s="17">
        <f t="shared" si="110"/>
        <v>1.0000000010825818</v>
      </c>
      <c r="V205" s="17">
        <f t="shared" si="111"/>
        <v>4.6531318232292161E-5</v>
      </c>
      <c r="W205" s="31" t="str">
        <f t="shared" si="102"/>
        <v>1-0.0754561917824996i</v>
      </c>
      <c r="X205" s="17">
        <f t="shared" si="112"/>
        <v>1.0028427777465008</v>
      </c>
      <c r="Y205" s="17">
        <f t="shared" si="113"/>
        <v>-7.5313472303157408E-2</v>
      </c>
      <c r="Z205" s="31" t="str">
        <f t="shared" si="103"/>
        <v>0.999780183650457+0.45941288453474i</v>
      </c>
      <c r="AA205" s="17">
        <f t="shared" si="114"/>
        <v>1.100282061153717</v>
      </c>
      <c r="AB205" s="17">
        <f t="shared" si="115"/>
        <v>0.43073745605097591</v>
      </c>
      <c r="AC205" s="66" t="str">
        <f t="shared" si="116"/>
        <v>-95.1018469109046-191.905614929941i</v>
      </c>
      <c r="AD205" s="64">
        <f t="shared" si="117"/>
        <v>46.615488716100458</v>
      </c>
      <c r="AE205" s="61">
        <f t="shared" si="118"/>
        <v>-116.36143910048297</v>
      </c>
      <c r="AF205" s="31" t="str">
        <f t="shared" si="104"/>
        <v>-1.39902068552014E-06</v>
      </c>
      <c r="AG205" s="31" t="str">
        <f t="shared" si="105"/>
        <v>0.000154023787028623i</v>
      </c>
      <c r="AH205" s="31">
        <f t="shared" si="119"/>
        <v>1.54023787028623E-4</v>
      </c>
      <c r="AI205" s="31">
        <f t="shared" si="120"/>
        <v>1.5707963267948966</v>
      </c>
      <c r="AJ205" s="31" t="str">
        <f t="shared" si="106"/>
        <v>1+0.0111259590067857i</v>
      </c>
      <c r="AK205" s="31">
        <f t="shared" si="121"/>
        <v>1.0000618915666273</v>
      </c>
      <c r="AL205" s="31">
        <f t="shared" si="122"/>
        <v>1.1125499957984758E-2</v>
      </c>
      <c r="AM205" s="31" t="str">
        <f t="shared" si="107"/>
        <v>1+5.4104884181822i</v>
      </c>
      <c r="AN205" s="31">
        <f t="shared" si="123"/>
        <v>5.5021254914154518</v>
      </c>
      <c r="AO205" s="31">
        <f t="shared" si="124"/>
        <v>1.3880326169091179</v>
      </c>
      <c r="AP205" s="58" t="str">
        <f t="shared" si="125"/>
        <v>-0.0490371322899866+0.00962873203564637i</v>
      </c>
      <c r="AQ205" s="49">
        <f t="shared" si="126"/>
        <v>-26.025200965664759</v>
      </c>
      <c r="AR205" s="61">
        <f t="shared" si="127"/>
        <v>168.890966582826</v>
      </c>
      <c r="AS205" s="58" t="str">
        <f t="shared" si="128"/>
        <v>6.51132959028842+8.49479082651058i</v>
      </c>
      <c r="AT205" s="64">
        <f t="shared" si="129"/>
        <v>20.590287750435703</v>
      </c>
      <c r="AU205" s="61">
        <f t="shared" si="130"/>
        <v>52.529527482343035</v>
      </c>
    </row>
    <row r="206" spans="14:47" x14ac:dyDescent="0.4">
      <c r="N206" s="10">
        <v>88</v>
      </c>
      <c r="O206" s="50">
        <f t="shared" si="131"/>
        <v>758.57757502918378</v>
      </c>
      <c r="P206" s="48" t="str">
        <f t="shared" si="99"/>
        <v>5120.19230769231</v>
      </c>
      <c r="Q206" s="17" t="str">
        <f t="shared" si="100"/>
        <v>1+22.2732093101609i</v>
      </c>
      <c r="R206" s="17">
        <f t="shared" si="108"/>
        <v>22.295646502719723</v>
      </c>
      <c r="S206" s="17">
        <f t="shared" si="109"/>
        <v>1.5259294697382975</v>
      </c>
      <c r="T206" s="17" t="str">
        <f t="shared" si="101"/>
        <v>1+0.0000476151719030552i</v>
      </c>
      <c r="U206" s="17">
        <f t="shared" si="110"/>
        <v>1.0000000011336023</v>
      </c>
      <c r="V206" s="17">
        <f t="shared" si="111"/>
        <v>4.7615171867070757E-5</v>
      </c>
      <c r="W206" s="31" t="str">
        <f t="shared" si="102"/>
        <v>1-0.0772137922752245i</v>
      </c>
      <c r="X206" s="17">
        <f t="shared" si="112"/>
        <v>1.0029765549191674</v>
      </c>
      <c r="Y206" s="17">
        <f t="shared" si="113"/>
        <v>-7.7060890098789678E-2</v>
      </c>
      <c r="Z206" s="31" t="str">
        <f t="shared" si="103"/>
        <v>0.999769824025065+0.470113985307887i</v>
      </c>
      <c r="AA206" s="17">
        <f t="shared" si="114"/>
        <v>1.1047836259707933</v>
      </c>
      <c r="AB206" s="17">
        <f t="shared" si="115"/>
        <v>0.43954288429896643</v>
      </c>
      <c r="AC206" s="66" t="str">
        <f t="shared" si="116"/>
        <v>-94.7349454240462-185.720958740991i</v>
      </c>
      <c r="AD206" s="64">
        <f t="shared" si="117"/>
        <v>46.381595112790649</v>
      </c>
      <c r="AE206" s="61">
        <f t="shared" si="118"/>
        <v>-117.02580625577129</v>
      </c>
      <c r="AF206" s="31" t="str">
        <f t="shared" si="104"/>
        <v>-1.39902068552014E-06</v>
      </c>
      <c r="AG206" s="31" t="str">
        <f t="shared" si="105"/>
        <v>0.000157611461910933i</v>
      </c>
      <c r="AH206" s="31">
        <f t="shared" si="119"/>
        <v>1.57611461910933E-4</v>
      </c>
      <c r="AI206" s="31">
        <f t="shared" si="120"/>
        <v>1.5707963267948966</v>
      </c>
      <c r="AJ206" s="31" t="str">
        <f t="shared" si="106"/>
        <v>1+0.0113851158840467i</v>
      </c>
      <c r="AK206" s="31">
        <f t="shared" si="121"/>
        <v>1.0000648083317867</v>
      </c>
      <c r="AL206" s="31">
        <f t="shared" si="122"/>
        <v>1.1384624006116006E-2</v>
      </c>
      <c r="AM206" s="31" t="str">
        <f t="shared" si="107"/>
        <v>1+5.53651488314203i</v>
      </c>
      <c r="AN206" s="31">
        <f t="shared" si="123"/>
        <v>5.6260996304058821</v>
      </c>
      <c r="AO206" s="31">
        <f t="shared" si="124"/>
        <v>1.3921038413406377</v>
      </c>
      <c r="AP206" s="58" t="str">
        <f t="shared" si="125"/>
        <v>-0.0490368462493437+0.00943467942293136i</v>
      </c>
      <c r="AQ206" s="49">
        <f t="shared" si="126"/>
        <v>-26.031687755205517</v>
      </c>
      <c r="AR206" s="61">
        <f t="shared" si="127"/>
        <v>169.10938384587436</v>
      </c>
      <c r="AS206" s="58" t="str">
        <f t="shared" si="128"/>
        <v>6.39772066103963+8.21337625883791i</v>
      </c>
      <c r="AT206" s="64">
        <f t="shared" si="129"/>
        <v>20.349907357585128</v>
      </c>
      <c r="AU206" s="61">
        <f t="shared" si="130"/>
        <v>52.083577590103097</v>
      </c>
    </row>
    <row r="207" spans="14:47" x14ac:dyDescent="0.4">
      <c r="N207" s="10">
        <v>89</v>
      </c>
      <c r="O207" s="50">
        <f t="shared" si="131"/>
        <v>776.24711662869231</v>
      </c>
      <c r="P207" s="48" t="str">
        <f t="shared" si="99"/>
        <v>5120.19230769231</v>
      </c>
      <c r="Q207" s="17" t="str">
        <f t="shared" si="100"/>
        <v>1+22.7920190026901i</v>
      </c>
      <c r="R207" s="17">
        <f t="shared" si="108"/>
        <v>22.813945958974013</v>
      </c>
      <c r="S207" s="17">
        <f t="shared" si="109"/>
        <v>1.5269494403951591</v>
      </c>
      <c r="T207" s="17" t="str">
        <f t="shared" si="101"/>
        <v>1+0.0000487242717346398i</v>
      </c>
      <c r="U207" s="17">
        <f t="shared" si="110"/>
        <v>1.0000000011870274</v>
      </c>
      <c r="V207" s="17">
        <f t="shared" si="111"/>
        <v>4.8724271696081767E-5</v>
      </c>
      <c r="W207" s="31" t="str">
        <f t="shared" si="102"/>
        <v>1-0.0790123325426591i</v>
      </c>
      <c r="X207" s="17">
        <f t="shared" si="112"/>
        <v>1.0031166176939907</v>
      </c>
      <c r="Y207" s="17">
        <f t="shared" si="113"/>
        <v>-7.8848522388547448E-2</v>
      </c>
      <c r="Z207" s="31" t="str">
        <f t="shared" si="103"/>
        <v>0.99975897616557+0.481064346738738i</v>
      </c>
      <c r="AA207" s="17">
        <f t="shared" si="114"/>
        <v>1.1094777672972078</v>
      </c>
      <c r="AB207" s="17">
        <f t="shared" si="115"/>
        <v>0.44847883329896698</v>
      </c>
      <c r="AC207" s="66" t="str">
        <f t="shared" si="116"/>
        <v>-94.3200142078747-179.663829966272i</v>
      </c>
      <c r="AD207" s="64">
        <f t="shared" si="117"/>
        <v>46.146373720097287</v>
      </c>
      <c r="AE207" s="61">
        <f t="shared" si="118"/>
        <v>-117.69859867206605</v>
      </c>
      <c r="AF207" s="31" t="str">
        <f t="shared" si="104"/>
        <v>-1.39902068552014E-06</v>
      </c>
      <c r="AG207" s="31" t="str">
        <f t="shared" si="105"/>
        <v>0.000161282704476583i</v>
      </c>
      <c r="AH207" s="31">
        <f t="shared" si="119"/>
        <v>1.61282704476583E-4</v>
      </c>
      <c r="AI207" s="31">
        <f t="shared" si="120"/>
        <v>1.5707963267948966</v>
      </c>
      <c r="AJ207" s="31" t="str">
        <f t="shared" si="106"/>
        <v>1+0.0116503093004493i</v>
      </c>
      <c r="AK207" s="31">
        <f t="shared" si="121"/>
        <v>1.0000678625507351</v>
      </c>
      <c r="AL207" s="31">
        <f t="shared" si="122"/>
        <v>1.164978224568235E-2</v>
      </c>
      <c r="AM207" s="31" t="str">
        <f t="shared" si="107"/>
        <v>1+5.66547688157734i</v>
      </c>
      <c r="AN207" s="31">
        <f t="shared" si="123"/>
        <v>5.7530538234651774</v>
      </c>
      <c r="AO207" s="31">
        <f t="shared" si="124"/>
        <v>1.3960881873617248</v>
      </c>
      <c r="AP207" s="58" t="str">
        <f t="shared" si="125"/>
        <v>-0.049036546731597+0.00924562889513119i</v>
      </c>
      <c r="AQ207" s="49">
        <f t="shared" si="126"/>
        <v>-26.037893912141556</v>
      </c>
      <c r="AR207" s="61">
        <f t="shared" si="127"/>
        <v>169.32247760897209</v>
      </c>
      <c r="AS207" s="58" t="str">
        <f t="shared" si="128"/>
        <v>6.28623288217544+7.93804594536928i</v>
      </c>
      <c r="AT207" s="64">
        <f t="shared" si="129"/>
        <v>20.108479807955728</v>
      </c>
      <c r="AU207" s="61">
        <f t="shared" si="130"/>
        <v>51.623878936906038</v>
      </c>
    </row>
    <row r="208" spans="14:47" x14ac:dyDescent="0.4">
      <c r="N208" s="10">
        <v>90</v>
      </c>
      <c r="O208" s="50">
        <f t="shared" si="131"/>
        <v>794.32823472428208</v>
      </c>
      <c r="P208" s="48" t="str">
        <f t="shared" si="99"/>
        <v>5120.19230769231</v>
      </c>
      <c r="Q208" s="17" t="str">
        <f t="shared" si="100"/>
        <v>1+23.3229133253826i</v>
      </c>
      <c r="R208" s="17">
        <f t="shared" si="108"/>
        <v>23.344341626683526</v>
      </c>
      <c r="S208" s="17">
        <f t="shared" si="109"/>
        <v>1.527946281905159</v>
      </c>
      <c r="T208" s="17" t="str">
        <f t="shared" si="101"/>
        <v>1+0.0000498592058200402i</v>
      </c>
      <c r="U208" s="17">
        <f t="shared" si="110"/>
        <v>1.0000000012429702</v>
      </c>
      <c r="V208" s="17">
        <f t="shared" si="111"/>
        <v>4.985920577872453E-5</v>
      </c>
      <c r="W208" s="31" t="str">
        <f t="shared" si="102"/>
        <v>1-0.0808527661946597i</v>
      </c>
      <c r="X208" s="17">
        <f t="shared" si="112"/>
        <v>1.003263260466229</v>
      </c>
      <c r="Y208" s="17">
        <f t="shared" si="113"/>
        <v>-8.0677271272328877E-2</v>
      </c>
      <c r="Z208" s="31" t="str">
        <f t="shared" si="103"/>
        <v>0.999747617062208+0.49226977485387i</v>
      </c>
      <c r="AA208" s="17">
        <f t="shared" si="114"/>
        <v>1.114371943767539</v>
      </c>
      <c r="AB208" s="17">
        <f t="shared" si="115"/>
        <v>0.45754435349032296</v>
      </c>
      <c r="AC208" s="66" t="str">
        <f t="shared" si="116"/>
        <v>-93.8578618449048-173.732535324108i</v>
      </c>
      <c r="AD208" s="64">
        <f t="shared" si="117"/>
        <v>45.90978764807295</v>
      </c>
      <c r="AE208" s="61">
        <f t="shared" si="118"/>
        <v>-118.37984409538477</v>
      </c>
      <c r="AF208" s="31" t="str">
        <f t="shared" si="104"/>
        <v>-1.39902068552014E-06</v>
      </c>
      <c r="AG208" s="31" t="str">
        <f t="shared" si="105"/>
        <v>0.000165039461266976i</v>
      </c>
      <c r="AH208" s="31">
        <f t="shared" si="119"/>
        <v>1.6503946126697599E-4</v>
      </c>
      <c r="AI208" s="31">
        <f t="shared" si="120"/>
        <v>1.5707963267948966</v>
      </c>
      <c r="AJ208" s="31" t="str">
        <f t="shared" si="106"/>
        <v>1+0.0119216798650531i</v>
      </c>
      <c r="AK208" s="31">
        <f t="shared" si="121"/>
        <v>1.0000710607005907</v>
      </c>
      <c r="AL208" s="31">
        <f t="shared" si="122"/>
        <v>1.1921115117862676E-2</v>
      </c>
      <c r="AM208" s="31" t="str">
        <f t="shared" si="107"/>
        <v>1+5.79744279084671i</v>
      </c>
      <c r="AN208" s="31">
        <f t="shared" si="123"/>
        <v>5.8830555762410146</v>
      </c>
      <c r="AO208" s="31">
        <f t="shared" si="124"/>
        <v>1.3999872612625062</v>
      </c>
      <c r="AP208" s="58" t="str">
        <f t="shared" si="125"/>
        <v>-0.0490362331019354+0.00906148019320341i</v>
      </c>
      <c r="AQ208" s="49">
        <f t="shared" si="126"/>
        <v>-26.043831409600593</v>
      </c>
      <c r="AR208" s="61">
        <f t="shared" si="127"/>
        <v>169.53033185907739</v>
      </c>
      <c r="AS208" s="58" t="str">
        <f t="shared" si="128"/>
        <v>6.17670991963042+7.66869794345916i</v>
      </c>
      <c r="AT208" s="64">
        <f t="shared" si="129"/>
        <v>19.865956238472357</v>
      </c>
      <c r="AU208" s="61">
        <f t="shared" si="130"/>
        <v>51.150487763692603</v>
      </c>
    </row>
    <row r="209" spans="14:47" x14ac:dyDescent="0.4">
      <c r="N209" s="10">
        <v>91</v>
      </c>
      <c r="O209" s="50">
        <f t="shared" si="131"/>
        <v>812.83051616409978</v>
      </c>
      <c r="P209" s="48" t="str">
        <f t="shared" si="99"/>
        <v>5120.19230769231</v>
      </c>
      <c r="Q209" s="17" t="str">
        <f t="shared" si="100"/>
        <v>1+23.8661737654354i</v>
      </c>
      <c r="R209" s="17">
        <f t="shared" si="108"/>
        <v>23.88711473162795</v>
      </c>
      <c r="S209" s="17">
        <f t="shared" si="109"/>
        <v>1.5289205148779119</v>
      </c>
      <c r="T209" s="17" t="str">
        <f t="shared" si="101"/>
        <v>1+0.0000510205759163309i</v>
      </c>
      <c r="U209" s="17">
        <f t="shared" si="110"/>
        <v>1.0000000013015495</v>
      </c>
      <c r="V209" s="17">
        <f t="shared" si="111"/>
        <v>5.1020575872060361E-5</v>
      </c>
      <c r="W209" s="31" t="str">
        <f t="shared" si="102"/>
        <v>1-0.0827360690535094i</v>
      </c>
      <c r="X209" s="17">
        <f t="shared" si="112"/>
        <v>1.0034167913297181</v>
      </c>
      <c r="Y209" s="17">
        <f t="shared" si="113"/>
        <v>-8.2548057422300244E-2</v>
      </c>
      <c r="Z209" s="31" t="str">
        <f t="shared" si="103"/>
        <v>0.999735722620797+0.503736210919589i</v>
      </c>
      <c r="AA209" s="17">
        <f t="shared" si="114"/>
        <v>1.1194738430511684</v>
      </c>
      <c r="AB209" s="17">
        <f t="shared" si="115"/>
        <v>0.46673831326759141</v>
      </c>
      <c r="AC209" s="66" t="str">
        <f t="shared" si="116"/>
        <v>-93.3492984770942-167.92546833085i</v>
      </c>
      <c r="AD209" s="64">
        <f t="shared" si="117"/>
        <v>45.671799831984615</v>
      </c>
      <c r="AE209" s="61">
        <f t="shared" si="118"/>
        <v>-119.06956023439646</v>
      </c>
      <c r="AF209" s="31" t="str">
        <f t="shared" si="104"/>
        <v>-1.39902068552014E-06</v>
      </c>
      <c r="AG209" s="31" t="str">
        <f t="shared" si="105"/>
        <v>0.000168883724164287i</v>
      </c>
      <c r="AH209" s="31">
        <f t="shared" si="119"/>
        <v>1.6888372416428701E-4</v>
      </c>
      <c r="AI209" s="31">
        <f t="shared" si="120"/>
        <v>1.5707963267948966</v>
      </c>
      <c r="AJ209" s="31" t="str">
        <f t="shared" si="106"/>
        <v>1+0.0121993714621234i</v>
      </c>
      <c r="AK209" s="31">
        <f t="shared" si="121"/>
        <v>1.0000744095636438</v>
      </c>
      <c r="AL209" s="31">
        <f t="shared" si="122"/>
        <v>1.2198766327037988E-2</v>
      </c>
      <c r="AM209" s="31" t="str">
        <f t="shared" si="107"/>
        <v>1+5.93248258102201i</v>
      </c>
      <c r="AN209" s="31">
        <f t="shared" si="123"/>
        <v>6.0161739979932074</v>
      </c>
      <c r="AO209" s="31">
        <f t="shared" si="124"/>
        <v>1.403802655933198</v>
      </c>
      <c r="AP209" s="58" t="str">
        <f t="shared" si="125"/>
        <v>-0.0490359046956633+0.00888213565554944i</v>
      </c>
      <c r="AQ209" s="49">
        <f t="shared" si="126"/>
        <v>-26.049511751602914</v>
      </c>
      <c r="AR209" s="61">
        <f t="shared" si="127"/>
        <v>169.73302962842229</v>
      </c>
      <c r="AS209" s="58" t="str">
        <f t="shared" si="128"/>
        <v>6.0690040932661+7.40523612862226i</v>
      </c>
      <c r="AT209" s="64">
        <f t="shared" si="129"/>
        <v>19.622288080381701</v>
      </c>
      <c r="AU209" s="61">
        <f t="shared" si="130"/>
        <v>50.663469394025796</v>
      </c>
    </row>
    <row r="210" spans="14:47" x14ac:dyDescent="0.4">
      <c r="N210" s="10">
        <v>92</v>
      </c>
      <c r="O210" s="50">
        <f t="shared" si="131"/>
        <v>831.7637711026714</v>
      </c>
      <c r="P210" s="48" t="str">
        <f t="shared" si="99"/>
        <v>5120.19230769231</v>
      </c>
      <c r="Q210" s="17" t="str">
        <f t="shared" si="100"/>
        <v>1+24.4220883667248i</v>
      </c>
      <c r="R210" s="17">
        <f t="shared" si="108"/>
        <v>24.44255306207015</v>
      </c>
      <c r="S210" s="17">
        <f t="shared" si="109"/>
        <v>1.5298726484630314</v>
      </c>
      <c r="T210" s="17" t="str">
        <f t="shared" si="101"/>
        <v>1+0.0000522089977973096i</v>
      </c>
      <c r="U210" s="17">
        <f t="shared" si="110"/>
        <v>1.0000000013628896</v>
      </c>
      <c r="V210" s="17">
        <f t="shared" si="111"/>
        <v>5.220899774987286E-5</v>
      </c>
      <c r="W210" s="31" t="str">
        <f t="shared" si="102"/>
        <v>1-0.0846632396713127i</v>
      </c>
      <c r="X210" s="17">
        <f t="shared" si="112"/>
        <v>1.0035775327056908</v>
      </c>
      <c r="Y210" s="17">
        <f t="shared" si="113"/>
        <v>-8.4461820345236666E-2</v>
      </c>
      <c r="Z210" s="31" t="str">
        <f t="shared" si="103"/>
        <v>0.999723267611632+0.515469734592075i</v>
      </c>
      <c r="AA210" s="17">
        <f t="shared" si="114"/>
        <v>1.1247913846951811</v>
      </c>
      <c r="AB210" s="17">
        <f t="shared" si="115"/>
        <v>0.47605939342236103</v>
      </c>
      <c r="AC210" s="66" t="str">
        <f t="shared" si="116"/>
        <v>-92.7951408933047-162.241106505314i</v>
      </c>
      <c r="AD210" s="64">
        <f t="shared" si="117"/>
        <v>45.432373112601638</v>
      </c>
      <c r="AE210" s="61">
        <f t="shared" si="118"/>
        <v>-119.76775447064298</v>
      </c>
      <c r="AF210" s="31" t="str">
        <f t="shared" si="104"/>
        <v>-1.39902068552014E-06</v>
      </c>
      <c r="AG210" s="31" t="str">
        <f t="shared" si="105"/>
        <v>0.000172817531447591i</v>
      </c>
      <c r="AH210" s="31">
        <f t="shared" si="119"/>
        <v>1.7281753144759101E-4</v>
      </c>
      <c r="AI210" s="31">
        <f t="shared" si="120"/>
        <v>1.5707963267948966</v>
      </c>
      <c r="AJ210" s="31" t="str">
        <f t="shared" si="106"/>
        <v>1+0.0124835313274207i</v>
      </c>
      <c r="AK210" s="31">
        <f t="shared" si="121"/>
        <v>1.000077916241731</v>
      </c>
      <c r="AL210" s="31">
        <f t="shared" si="122"/>
        <v>1.2482882916222798E-2</v>
      </c>
      <c r="AM210" s="31" t="str">
        <f t="shared" si="107"/>
        <v>1+6.07066785198747i</v>
      </c>
      <c r="AN210" s="31">
        <f t="shared" si="123"/>
        <v>6.1524798389880289</v>
      </c>
      <c r="AO210" s="31">
        <f t="shared" si="124"/>
        <v>1.4075359497908366</v>
      </c>
      <c r="AP210" s="58" t="str">
        <f t="shared" si="125"/>
        <v>-0.049035560816795+0.00870750016612078i</v>
      </c>
      <c r="AQ210" s="49">
        <f t="shared" si="126"/>
        <v>-26.054945989099604</v>
      </c>
      <c r="AR210" s="61">
        <f t="shared" si="127"/>
        <v>169.93065292869716</v>
      </c>
      <c r="AS210" s="58" t="str">
        <f t="shared" si="128"/>
        <v>5.96297623662334+7.14756994028179i</v>
      </c>
      <c r="AT210" s="64">
        <f t="shared" si="129"/>
        <v>19.377427123502034</v>
      </c>
      <c r="AU210" s="61">
        <f t="shared" si="130"/>
        <v>50.162898458054208</v>
      </c>
    </row>
    <row r="211" spans="14:47" x14ac:dyDescent="0.4">
      <c r="N211" s="10">
        <v>93</v>
      </c>
      <c r="O211" s="50">
        <f t="shared" si="131"/>
        <v>851.13803820237763</v>
      </c>
      <c r="P211" s="48" t="str">
        <f t="shared" ref="P211:P274" si="132">COMPLEX(Adc,0)</f>
        <v>5120.19230769231</v>
      </c>
      <c r="Q211" s="17" t="str">
        <f t="shared" ref="Q211:Q274" si="133">IMSUM(COMPLEX(1,0),IMDIV(COMPLEX(0,2*PI()*O211),COMPLEX(wp_lf,0)))</f>
        <v>1+24.9909518825309i</v>
      </c>
      <c r="R211" s="17">
        <f t="shared" si="108"/>
        <v>25.010951121358314</v>
      </c>
      <c r="S211" s="17">
        <f t="shared" si="109"/>
        <v>1.530803180585095</v>
      </c>
      <c r="T211" s="17" t="str">
        <f t="shared" ref="T211:T274" si="134">IMSUM(COMPLEX(1,0),IMDIV(COMPLEX(0,2*PI()*O211),COMPLEX(wz_esr,0)))</f>
        <v>1+0.0000534251015799883i</v>
      </c>
      <c r="U211" s="17">
        <f t="shared" si="110"/>
        <v>1.0000000014271206</v>
      </c>
      <c r="V211" s="17">
        <f t="shared" si="111"/>
        <v>5.3425101529158918E-5</v>
      </c>
      <c r="W211" s="31" t="str">
        <f t="shared" ref="W211:W274" si="135">IMSUB(COMPLEX(1,0),IMDIV(COMPLEX(0,2*PI()*O211),COMPLEX(wz_rhp,0)))</f>
        <v>1-0.0866352998594404i</v>
      </c>
      <c r="X211" s="17">
        <f t="shared" si="112"/>
        <v>1.0037458219996411</v>
      </c>
      <c r="Y211" s="17">
        <f t="shared" si="113"/>
        <v>-8.641951863930733E-2</v>
      </c>
      <c r="Z211" s="31" t="str">
        <f t="shared" ref="Z211:Z274" si="136">IMSUM(COMPLEX(1,0),IMDIV(COMPLEX(0,2*PI()*O211),COMPLEX(Q*(wsl/2),0)),IMDIV(IMPOWER(COMPLEX(0,2*PI()*O211),2),IMPOWER(COMPLEX(wsl/2,0),2)))</f>
        <v>0.99971022561597+0.527476567140892i</v>
      </c>
      <c r="AA211" s="17">
        <f t="shared" si="114"/>
        <v>1.1303327227342725</v>
      </c>
      <c r="AB211" s="17">
        <f t="shared" si="115"/>
        <v>0.48550608196660949</v>
      </c>
      <c r="AC211" s="66" t="str">
        <f t="shared" si="116"/>
        <v>-92.1962174827397-156.678008263353i</v>
      </c>
      <c r="AD211" s="64">
        <f t="shared" si="117"/>
        <v>45.191470321512803</v>
      </c>
      <c r="AE211" s="61">
        <f t="shared" si="118"/>
        <v>-120.47442359009472</v>
      </c>
      <c r="AF211" s="31" t="str">
        <f t="shared" ref="AF211:AF274" si="137">COMPLEX(Adc_ea,0)</f>
        <v>-1.39902068552014E-06</v>
      </c>
      <c r="AG211" s="31" t="str">
        <f t="shared" ref="AG211:AG274" si="138">COMPLEX(0,2*PI()*O211*wp0_ea)</f>
        <v>0.000176842968873579i</v>
      </c>
      <c r="AH211" s="31">
        <f t="shared" si="119"/>
        <v>1.7684296887357899E-4</v>
      </c>
      <c r="AI211" s="31">
        <f t="shared" si="120"/>
        <v>1.5707963267948966</v>
      </c>
      <c r="AJ211" s="31" t="str">
        <f t="shared" ref="AJ211:AJ274" si="139">IMSUM(COMPLEX(1,0),IMDIV(COMPLEX(0,2*PI()*O211),COMPLEX(wp1_ea,0)))</f>
        <v>1+0.0127743101262669i</v>
      </c>
      <c r="AK211" s="31">
        <f t="shared" si="121"/>
        <v>1.0000815881712861</v>
      </c>
      <c r="AL211" s="31">
        <f t="shared" si="122"/>
        <v>1.277361534421189E-2</v>
      </c>
      <c r="AM211" s="31" t="str">
        <f t="shared" ref="AM211:AM274" si="140">IMSUM(COMPLEX(1,0),IMDIV(COMPLEX(0,2*PI()*O211),COMPLEX(wz_ea,0)))</f>
        <v>1+6.21207187140284i</v>
      </c>
      <c r="AN211" s="31">
        <f t="shared" si="123"/>
        <v>6.2920455287191279</v>
      </c>
      <c r="AO211" s="31">
        <f t="shared" si="124"/>
        <v>1.4111887058053725</v>
      </c>
      <c r="AP211" s="58" t="str">
        <f t="shared" si="125"/>
        <v>-0.0490352007365843+0.00853748110386739i</v>
      </c>
      <c r="AQ211" s="49">
        <f t="shared" si="126"/>
        <v>-26.06014473572348</v>
      </c>
      <c r="AR211" s="61">
        <f t="shared" si="127"/>
        <v>170.12328269082971</v>
      </c>
      <c r="AS211" s="58" t="str">
        <f t="shared" si="128"/>
        <v>5.85849556635988+6.89561412159479i</v>
      </c>
      <c r="AT211" s="64">
        <f t="shared" si="129"/>
        <v>19.131325585789327</v>
      </c>
      <c r="AU211" s="61">
        <f t="shared" si="130"/>
        <v>49.648859100735002</v>
      </c>
    </row>
    <row r="212" spans="14:47" x14ac:dyDescent="0.4">
      <c r="N212" s="10">
        <v>94</v>
      </c>
      <c r="O212" s="50">
        <f t="shared" si="131"/>
        <v>870.96358995608091</v>
      </c>
      <c r="P212" s="48" t="str">
        <f t="shared" si="132"/>
        <v>5120.19230769231</v>
      </c>
      <c r="Q212" s="17" t="str">
        <f t="shared" si="133"/>
        <v>1+25.5730659318193i</v>
      </c>
      <c r="R212" s="17">
        <f t="shared" ref="R212:R275" si="141">IMABS(Q212)</f>
        <v>25.592610284087414</v>
      </c>
      <c r="S212" s="17">
        <f t="shared" ref="S212:S275" si="142">IMARGUMENT(Q212)</f>
        <v>1.5317125981749666</v>
      </c>
      <c r="T212" s="17" t="str">
        <f t="shared" si="134"/>
        <v>1+0.0000546695320586894i</v>
      </c>
      <c r="U212" s="17">
        <f t="shared" ref="U212:U275" si="143">IMABS(T212)</f>
        <v>1.0000000014943788</v>
      </c>
      <c r="V212" s="17">
        <f t="shared" ref="V212:V275" si="144">IMARGUMENT(T212)</f>
        <v>5.4669532004224739E-5</v>
      </c>
      <c r="W212" s="31" t="str">
        <f t="shared" si="135"/>
        <v>1-0.088653295230307i</v>
      </c>
      <c r="X212" s="17">
        <f t="shared" ref="X212:X275" si="145">IMABS(W212)</f>
        <v>1.0039220122874046</v>
      </c>
      <c r="Y212" s="17">
        <f t="shared" ref="Y212:Y275" si="146">IMARGUMENT(W212)</f>
        <v>-8.8422130244404054E-2</v>
      </c>
      <c r="Z212" s="31" t="str">
        <f t="shared" si="136"/>
        <v>0.999696568969988+0.539763074747582i</v>
      </c>
      <c r="AA212" s="17">
        <f t="shared" ref="AA212:AA275" si="147">IMABS(Z212)</f>
        <v>1.1361062480557573</v>
      </c>
      <c r="AB212" s="17">
        <f t="shared" ref="AB212:AB275" si="148">IMARGUMENT(Z212)</f>
        <v>0.49507666939194239</v>
      </c>
      <c r="AC212" s="66" t="str">
        <f t="shared" ref="AC212:AC275" si="149">(IMDIV(IMPRODUCT(P212,T212,W212),IMPRODUCT(Q212,Z212)))</f>
        <v>-91.5533730291063-151.234809498781i</v>
      </c>
      <c r="AD212" s="64">
        <f t="shared" ref="AD212:AD275" si="150">20*LOG(IMABS(AC212))</f>
        <v>44.949054371380377</v>
      </c>
      <c r="AE212" s="61">
        <f t="shared" ref="AE212:AE275" si="151">(180/PI())*IMARGUMENT(AC212)</f>
        <v>-121.18955353910384</v>
      </c>
      <c r="AF212" s="31" t="str">
        <f t="shared" si="137"/>
        <v>-1.39902068552014E-06</v>
      </c>
      <c r="AG212" s="31" t="str">
        <f t="shared" si="138"/>
        <v>0.000180962170782456i</v>
      </c>
      <c r="AH212" s="31">
        <f t="shared" ref="AH212:AH275" si="152">IMABS(AG212)</f>
        <v>1.80962170782456E-4</v>
      </c>
      <c r="AI212" s="31">
        <f t="shared" ref="AI212:AI275" si="153">IMARGUMENT(AG212)</f>
        <v>1.5707963267948966</v>
      </c>
      <c r="AJ212" s="31" t="str">
        <f t="shared" si="139"/>
        <v>1+0.0130718620334299i</v>
      </c>
      <c r="AK212" s="31">
        <f t="shared" ref="AK212:AK275" si="154">IMABS(AJ212)</f>
        <v>1.0000854331390998</v>
      </c>
      <c r="AL212" s="31">
        <f t="shared" ref="AL212:AL275" si="155">IMARGUMENT(AJ212)</f>
        <v>1.3071117564479793E-2</v>
      </c>
      <c r="AM212" s="31" t="str">
        <f t="shared" si="140"/>
        <v>1+6.3567696135509i</v>
      </c>
      <c r="AN212" s="31">
        <f t="shared" ref="AN212:AN275" si="156">IMABS(AM212)</f>
        <v>6.4349452149776729</v>
      </c>
      <c r="AO212" s="31">
        <f t="shared" ref="AO212:AO275" si="157">IMARGUMENT(AM212)</f>
        <v>1.4147624706195565</v>
      </c>
      <c r="AP212" s="58" t="str">
        <f t="shared" ref="AP212:AP275" si="158">IMPRODUCT(AF212,IMDIV(AM212,IMPRODUCT(AG212,AJ212)))</f>
        <v>-0.0490348236919842+0.00837198829349981i</v>
      </c>
      <c r="AQ212" s="49">
        <f t="shared" ref="AQ212:AQ275" si="159">20*LOG(IMABS(AP212))</f>
        <v>-26.065118183234762</v>
      </c>
      <c r="AR212" s="61">
        <f t="shared" ref="AR212:AR275" si="160">(180/PI())*IMARGUMENT(AP212)</f>
        <v>170.31099871003769</v>
      </c>
      <c r="AS212" s="58" t="str">
        <f t="shared" ref="AS212:AS275" si="161">IMPRODUCT(AC212,AP212)</f>
        <v>5.75543955958216+6.64928845263344i</v>
      </c>
      <c r="AT212" s="64">
        <f t="shared" ref="AT212:AT275" si="162">20*LOG(IMABS(AS212))</f>
        <v>18.883936188145611</v>
      </c>
      <c r="AU212" s="61">
        <f t="shared" ref="AU212:AU275" si="163">(180/PI())*IMARGUMENT(AS212)</f>
        <v>49.121445170933811</v>
      </c>
    </row>
    <row r="213" spans="14:47" x14ac:dyDescent="0.4">
      <c r="N213" s="10">
        <v>95</v>
      </c>
      <c r="O213" s="50">
        <f t="shared" si="131"/>
        <v>891.25093813374656</v>
      </c>
      <c r="P213" s="48" t="str">
        <f t="shared" si="132"/>
        <v>5120.19230769231</v>
      </c>
      <c r="Q213" s="17" t="str">
        <f t="shared" si="133"/>
        <v>1+26.1687391591645i</v>
      </c>
      <c r="R213" s="17">
        <f t="shared" si="141"/>
        <v>26.187838955904503</v>
      </c>
      <c r="S213" s="17">
        <f t="shared" si="142"/>
        <v>1.5326013773974587</v>
      </c>
      <c r="T213" s="17" t="str">
        <f t="shared" si="134"/>
        <v>1+0.0000559429490469249i</v>
      </c>
      <c r="U213" s="17">
        <f t="shared" si="143"/>
        <v>1.0000000015648067</v>
      </c>
      <c r="V213" s="17">
        <f t="shared" si="144"/>
        <v>5.5942948988564957E-5</v>
      </c>
      <c r="W213" s="31" t="str">
        <f t="shared" si="135"/>
        <v>1-0.0907182957517701i</v>
      </c>
      <c r="X213" s="17">
        <f t="shared" si="145"/>
        <v>1.0041064730316729</v>
      </c>
      <c r="Y213" s="17">
        <f t="shared" si="146"/>
        <v>-9.0470652685043729E-2</v>
      </c>
      <c r="Z213" s="31" t="str">
        <f t="shared" si="136"/>
        <v>0.99968226870611+0.552335771881114i</v>
      </c>
      <c r="AA213" s="17">
        <f t="shared" si="147"/>
        <v>1.1421205905091201</v>
      </c>
      <c r="AB213" s="17">
        <f t="shared" si="148"/>
        <v>0.50476924441986493</v>
      </c>
      <c r="AC213" s="66" t="str">
        <f t="shared" si="149"/>
        <v>-90.8674733183961-145.910219849376i</v>
      </c>
      <c r="AD213" s="64">
        <f t="shared" si="150"/>
        <v>44.705088350991318</v>
      </c>
      <c r="AE213" s="61">
        <f t="shared" si="151"/>
        <v>-121.91311920785316</v>
      </c>
      <c r="AF213" s="31" t="str">
        <f t="shared" si="137"/>
        <v>-1.39902068552014E-06</v>
      </c>
      <c r="AG213" s="31" t="str">
        <f t="shared" si="138"/>
        <v>0.000185177321229601i</v>
      </c>
      <c r="AH213" s="31">
        <f t="shared" si="152"/>
        <v>1.8517732122960099E-4</v>
      </c>
      <c r="AI213" s="31">
        <f t="shared" si="153"/>
        <v>1.5707963267948966</v>
      </c>
      <c r="AJ213" s="31" t="str">
        <f t="shared" si="139"/>
        <v>1+0.0133763448148697i</v>
      </c>
      <c r="AK213" s="31">
        <f t="shared" si="154"/>
        <v>1.0000894592988201</v>
      </c>
      <c r="AL213" s="31">
        <f t="shared" si="155"/>
        <v>1.3375547105871343E-2</v>
      </c>
      <c r="AM213" s="31" t="str">
        <f t="shared" si="140"/>
        <v>1+6.50483779908989i</v>
      </c>
      <c r="AN213" s="31">
        <f t="shared" si="156"/>
        <v>6.5812548037945318</v>
      </c>
      <c r="AO213" s="31">
        <f t="shared" si="157"/>
        <v>1.4182587737572279</v>
      </c>
      <c r="AP213" s="58" t="str">
        <f t="shared" si="158"/>
        <v>-0.0490344288840341+0.00821093395753912i</v>
      </c>
      <c r="AQ213" s="49">
        <f t="shared" si="159"/>
        <v>-26.069876116646014</v>
      </c>
      <c r="AR213" s="61">
        <f t="shared" si="160"/>
        <v>170.49387959584377</v>
      </c>
      <c r="AS213" s="58" t="str">
        <f t="shared" si="161"/>
        <v>5.653693837216+6.40851747635221i</v>
      </c>
      <c r="AT213" s="64">
        <f t="shared" si="162"/>
        <v>18.635212234345303</v>
      </c>
      <c r="AU213" s="61">
        <f t="shared" si="163"/>
        <v>48.580760387990608</v>
      </c>
    </row>
    <row r="214" spans="14:47" x14ac:dyDescent="0.4">
      <c r="N214" s="10">
        <v>96</v>
      </c>
      <c r="O214" s="50">
        <f t="shared" si="131"/>
        <v>912.01083935590987</v>
      </c>
      <c r="P214" s="48" t="str">
        <f t="shared" si="132"/>
        <v>5120.19230769231</v>
      </c>
      <c r="Q214" s="17" t="str">
        <f t="shared" si="133"/>
        <v>1+26.7782873983959i</v>
      </c>
      <c r="R214" s="17">
        <f t="shared" si="141"/>
        <v>26.796952737038751</v>
      </c>
      <c r="S214" s="17">
        <f t="shared" si="142"/>
        <v>1.5334699838752979</v>
      </c>
      <c r="T214" s="17" t="str">
        <f t="shared" si="134"/>
        <v>1+0.0000572460277272375i</v>
      </c>
      <c r="U214" s="17">
        <f t="shared" si="143"/>
        <v>1.0000000016385537</v>
      </c>
      <c r="V214" s="17">
        <f t="shared" si="144"/>
        <v>5.7246027664703699E-5</v>
      </c>
      <c r="W214" s="31" t="str">
        <f t="shared" si="135"/>
        <v>1-0.092831396314439i</v>
      </c>
      <c r="X214" s="17">
        <f t="shared" si="145"/>
        <v>1.0042995908301908</v>
      </c>
      <c r="Y214" s="17">
        <f t="shared" si="146"/>
        <v>-9.256610330479291E-2</v>
      </c>
      <c r="Z214" s="31" t="str">
        <f t="shared" si="136"/>
        <v>0.999667294491559+0.565201324751925i</v>
      </c>
      <c r="AA214" s="17">
        <f t="shared" si="147"/>
        <v>1.148384620750994</v>
      </c>
      <c r="AB214" s="17">
        <f t="shared" si="148"/>
        <v>0.5145816902984951</v>
      </c>
      <c r="AC214" s="66" t="str">
        <f t="shared" si="149"/>
        <v>-90.1394095316584-140.703018649585i</v>
      </c>
      <c r="AD214" s="64">
        <f t="shared" si="150"/>
        <v>44.459535624920306</v>
      </c>
      <c r="AE214" s="61">
        <f t="shared" si="151"/>
        <v>-122.6450842444183</v>
      </c>
      <c r="AF214" s="31" t="str">
        <f t="shared" si="137"/>
        <v>-1.39902068552014E-06</v>
      </c>
      <c r="AG214" s="31" t="str">
        <f t="shared" si="138"/>
        <v>0.000189490655143572i</v>
      </c>
      <c r="AH214" s="31">
        <f t="shared" si="152"/>
        <v>1.8949065514357199E-4</v>
      </c>
      <c r="AI214" s="31">
        <f t="shared" si="153"/>
        <v>1.5707963267948966</v>
      </c>
      <c r="AJ214" s="31" t="str">
        <f t="shared" si="139"/>
        <v>1+0.0136879199113872i</v>
      </c>
      <c r="AK214" s="31">
        <f t="shared" si="154"/>
        <v>1.0000936751882299</v>
      </c>
      <c r="AL214" s="31">
        <f t="shared" si="155"/>
        <v>1.368706515511952E-2</v>
      </c>
      <c r="AM214" s="31" t="str">
        <f t="shared" si="140"/>
        <v>1+6.65635493573163i</v>
      </c>
      <c r="AN214" s="31">
        <f t="shared" si="156"/>
        <v>6.7310520002774332</v>
      </c>
      <c r="AO214" s="31">
        <f t="shared" si="157"/>
        <v>1.4216791269148032</v>
      </c>
      <c r="AP214" s="58" t="str">
        <f t="shared" si="158"/>
        <v>-0.0490340154761729+0.00805423266962872i</v>
      </c>
      <c r="AQ214" s="49">
        <f t="shared" si="159"/>
        <v>-26.074427929013339</v>
      </c>
      <c r="AR214" s="61">
        <f t="shared" si="160"/>
        <v>170.67200272675302</v>
      </c>
      <c r="AS214" s="58" t="str">
        <f t="shared" si="161"/>
        <v>5.55315205151129+6.17323021693707i</v>
      </c>
      <c r="AT214" s="64">
        <f t="shared" si="162"/>
        <v>18.385107695906967</v>
      </c>
      <c r="AU214" s="61">
        <f t="shared" si="163"/>
        <v>48.026918482334722</v>
      </c>
    </row>
    <row r="215" spans="14:47" x14ac:dyDescent="0.4">
      <c r="N215" s="10">
        <v>97</v>
      </c>
      <c r="O215" s="50">
        <f t="shared" si="131"/>
        <v>933.25430079699106</v>
      </c>
      <c r="P215" s="48" t="str">
        <f t="shared" si="132"/>
        <v>5120.19230769231</v>
      </c>
      <c r="Q215" s="17" t="str">
        <f t="shared" si="133"/>
        <v>1+27.4020338400586i</v>
      </c>
      <c r="R215" s="17">
        <f t="shared" si="141"/>
        <v>27.420274589648383</v>
      </c>
      <c r="S215" s="17">
        <f t="shared" si="142"/>
        <v>1.5343188729093939</v>
      </c>
      <c r="T215" s="17" t="str">
        <f t="shared" si="134"/>
        <v>1+0.0000585794590091919i</v>
      </c>
      <c r="U215" s="17">
        <f t="shared" si="143"/>
        <v>1.0000000017157764</v>
      </c>
      <c r="V215" s="17">
        <f t="shared" si="144"/>
        <v>5.8579458942185724E-5</v>
      </c>
      <c r="W215" s="31" t="str">
        <f t="shared" si="135"/>
        <v>1-0.0949937173122029i</v>
      </c>
      <c r="X215" s="17">
        <f t="shared" si="145"/>
        <v>1.0045017701969423</v>
      </c>
      <c r="Y215" s="17">
        <f t="shared" si="146"/>
        <v>-9.4709519491101249E-2</v>
      </c>
      <c r="Z215" s="31" t="str">
        <f t="shared" si="136"/>
        <v>0.999651614564018+0.578366554846443i</v>
      </c>
      <c r="AA215" s="17">
        <f t="shared" si="147"/>
        <v>1.1549074518182794</v>
      </c>
      <c r="AB215" s="17">
        <f t="shared" si="148"/>
        <v>0.52451168170093199</v>
      </c>
      <c r="AC215" s="66" t="str">
        <f t="shared" si="149"/>
        <v>-89.3701023928235-135.612050574665i</v>
      </c>
      <c r="AD215" s="64">
        <f t="shared" si="150"/>
        <v>44.212359937565857</v>
      </c>
      <c r="AE215" s="61">
        <f t="shared" si="151"/>
        <v>-123.38540090253872</v>
      </c>
      <c r="AF215" s="31" t="str">
        <f t="shared" si="137"/>
        <v>-1.39902068552014E-06</v>
      </c>
      <c r="AG215" s="31" t="str">
        <f t="shared" si="138"/>
        <v>0.000193904459511107i</v>
      </c>
      <c r="AH215" s="31">
        <f t="shared" si="152"/>
        <v>1.9390445951110701E-4</v>
      </c>
      <c r="AI215" s="31">
        <f t="shared" si="153"/>
        <v>1.5707963267948966</v>
      </c>
      <c r="AJ215" s="31" t="str">
        <f t="shared" si="139"/>
        <v>1+0.0140067525242227i</v>
      </c>
      <c r="AK215" s="31">
        <f t="shared" si="154"/>
        <v>1.0000980897473382</v>
      </c>
      <c r="AL215" s="31">
        <f t="shared" si="155"/>
        <v>1.4005836641232179E-2</v>
      </c>
      <c r="AM215" s="31" t="str">
        <f t="shared" si="140"/>
        <v>1+6.81140135986759i</v>
      </c>
      <c r="AN215" s="31">
        <f t="shared" si="156"/>
        <v>6.8844163503674043</v>
      </c>
      <c r="AO215" s="31">
        <f t="shared" si="157"/>
        <v>1.4250250233309869</v>
      </c>
      <c r="AP215" s="58" t="str">
        <f t="shared" si="158"/>
        <v>-0.0490335825924704+0.00790180130908126i</v>
      </c>
      <c r="AQ215" s="49">
        <f t="shared" si="159"/>
        <v>-26.078782635884622</v>
      </c>
      <c r="AR215" s="61">
        <f t="shared" si="160"/>
        <v>170.84544420930493</v>
      </c>
      <c r="AS215" s="58" t="str">
        <f t="shared" si="161"/>
        <v>5.45371577573413+5.94335989030677i</v>
      </c>
      <c r="AT215" s="64">
        <f t="shared" si="162"/>
        <v>18.133577301681235</v>
      </c>
      <c r="AU215" s="61">
        <f t="shared" si="163"/>
        <v>47.460043306766224</v>
      </c>
    </row>
    <row r="216" spans="14:47" x14ac:dyDescent="0.4">
      <c r="N216" s="10">
        <v>98</v>
      </c>
      <c r="O216" s="50">
        <f t="shared" si="131"/>
        <v>954.99258602143675</v>
      </c>
      <c r="P216" s="48" t="str">
        <f t="shared" si="132"/>
        <v>5120.19230769231</v>
      </c>
      <c r="Q216" s="17" t="str">
        <f t="shared" si="133"/>
        <v>1+28.040309202772i</v>
      </c>
      <c r="R216" s="17">
        <f t="shared" si="141"/>
        <v>28.058135009067513</v>
      </c>
      <c r="S216" s="17">
        <f t="shared" si="142"/>
        <v>1.5351484896953942</v>
      </c>
      <c r="T216" s="17" t="str">
        <f t="shared" si="134"/>
        <v>1+0.0000599439498957038i</v>
      </c>
      <c r="U216" s="17">
        <f t="shared" si="143"/>
        <v>1.0000000017966386</v>
      </c>
      <c r="V216" s="17">
        <f t="shared" si="144"/>
        <v>5.9943949823905391E-5</v>
      </c>
      <c r="W216" s="31" t="str">
        <f t="shared" si="135"/>
        <v>1-0.0972064052362763i</v>
      </c>
      <c r="X216" s="17">
        <f t="shared" si="145"/>
        <v>1.0047134343776634</v>
      </c>
      <c r="Y216" s="17">
        <f t="shared" si="146"/>
        <v>-9.6901958889328496E-2</v>
      </c>
      <c r="Z216" s="31" t="str">
        <f t="shared" si="136"/>
        <v>0.999635195664258+0.591838442543929i</v>
      </c>
      <c r="AA216" s="17">
        <f t="shared" si="147"/>
        <v>1.1616984404239952</v>
      </c>
      <c r="AB216" s="17">
        <f t="shared" si="148"/>
        <v>0.53455668227954078</v>
      </c>
      <c r="AC216" s="66" t="str">
        <f t="shared" si="149"/>
        <v>-88.5605060407503-130.636220984496i</v>
      </c>
      <c r="AD216" s="64">
        <f t="shared" si="150"/>
        <v>43.963525521272544</v>
      </c>
      <c r="AE216" s="61">
        <f t="shared" si="151"/>
        <v>-124.1340099261384</v>
      </c>
      <c r="AF216" s="31" t="str">
        <f t="shared" si="137"/>
        <v>-1.39902068552014E-06</v>
      </c>
      <c r="AG216" s="31" t="str">
        <f t="shared" si="138"/>
        <v>0.000198421074589703i</v>
      </c>
      <c r="AH216" s="31">
        <f t="shared" si="152"/>
        <v>1.9842107458970299E-4</v>
      </c>
      <c r="AI216" s="31">
        <f t="shared" si="153"/>
        <v>1.5707963267948966</v>
      </c>
      <c r="AJ216" s="31" t="str">
        <f t="shared" si="139"/>
        <v>1+0.0143330117026479i</v>
      </c>
      <c r="AK216" s="31">
        <f t="shared" si="154"/>
        <v>1.0001027123373221</v>
      </c>
      <c r="AL216" s="31">
        <f t="shared" si="155"/>
        <v>1.4332030321785698E-2</v>
      </c>
      <c r="AM216" s="31" t="str">
        <f t="shared" si="140"/>
        <v>1+6.97005927916411i</v>
      </c>
      <c r="AN216" s="31">
        <f t="shared" si="156"/>
        <v>7.0414292835376608</v>
      </c>
      <c r="AO216" s="31">
        <f t="shared" si="157"/>
        <v>1.4282979372298859</v>
      </c>
      <c r="AP216" s="58" t="str">
        <f t="shared" si="158"/>
        <v>-0.0490331293157797+0.00775355901663795i</v>
      </c>
      <c r="AQ216" s="49">
        <f t="shared" si="159"/>
        <v>-26.082948889395791</v>
      </c>
      <c r="AR216" s="61">
        <f t="shared" si="160"/>
        <v>171.01427884122199</v>
      </c>
      <c r="AS216" s="58" t="str">
        <f t="shared" si="161"/>
        <v>5.35529439408085+5.71884360672729i</v>
      </c>
      <c r="AT216" s="64">
        <f t="shared" si="162"/>
        <v>17.88057663187676</v>
      </c>
      <c r="AU216" s="61">
        <f t="shared" si="163"/>
        <v>46.880268915083583</v>
      </c>
    </row>
    <row r="217" spans="14:47" x14ac:dyDescent="0.4">
      <c r="N217" s="10">
        <v>99</v>
      </c>
      <c r="O217" s="50">
        <f t="shared" si="131"/>
        <v>977.23722095581138</v>
      </c>
      <c r="P217" s="48" t="str">
        <f t="shared" si="132"/>
        <v>5120.19230769231</v>
      </c>
      <c r="Q217" s="17" t="str">
        <f t="shared" si="133"/>
        <v>1+28.6934519085822i</v>
      </c>
      <c r="R217" s="17">
        <f t="shared" si="141"/>
        <v>28.710872199048911</v>
      </c>
      <c r="S217" s="17">
        <f t="shared" si="142"/>
        <v>1.5359592695365281</v>
      </c>
      <c r="T217" s="17" t="str">
        <f t="shared" si="134"/>
        <v>1+0.0000613402238579024i</v>
      </c>
      <c r="U217" s="17">
        <f t="shared" si="143"/>
        <v>1.0000000018813116</v>
      </c>
      <c r="V217" s="17">
        <f t="shared" si="144"/>
        <v>6.1340223780969021E-5</v>
      </c>
      <c r="W217" s="31" t="str">
        <f t="shared" si="135"/>
        <v>1-0.0994706332830848i</v>
      </c>
      <c r="X217" s="17">
        <f t="shared" si="145"/>
        <v>1.0049350262010663</v>
      </c>
      <c r="Y217" s="17">
        <f t="shared" si="146"/>
        <v>-9.9144499604681108E-2</v>
      </c>
      <c r="Z217" s="31" t="str">
        <f t="shared" si="136"/>
        <v>0.999618002965591+0.605624130817558i</v>
      </c>
      <c r="AA217" s="17">
        <f t="shared" si="147"/>
        <v>1.1687671879726258</v>
      </c>
      <c r="AB217" s="17">
        <f t="shared" si="148"/>
        <v>0.54471394292890118</v>
      </c>
      <c r="AC217" s="66" t="str">
        <f t="shared" si="149"/>
        <v>-87.7116115941073-125.774490978934i</v>
      </c>
      <c r="AD217" s="64">
        <f t="shared" si="150"/>
        <v>43.712997208196207</v>
      </c>
      <c r="AE217" s="61">
        <f t="shared" si="151"/>
        <v>-124.89084047354361</v>
      </c>
      <c r="AF217" s="31" t="str">
        <f t="shared" si="137"/>
        <v>-1.39902068552014E-06</v>
      </c>
      <c r="AG217" s="31" t="str">
        <f t="shared" si="138"/>
        <v>0.00020304289514846i</v>
      </c>
      <c r="AH217" s="31">
        <f t="shared" si="152"/>
        <v>2.0304289514846001E-4</v>
      </c>
      <c r="AI217" s="31">
        <f t="shared" si="153"/>
        <v>1.5707963267948966</v>
      </c>
      <c r="AJ217" s="31" t="str">
        <f t="shared" si="139"/>
        <v>1+0.0146668704335976i</v>
      </c>
      <c r="AK217" s="31">
        <f t="shared" si="154"/>
        <v>1.0001075527603598</v>
      </c>
      <c r="AL217" s="31">
        <f t="shared" si="155"/>
        <v>1.4665818871165566E-2</v>
      </c>
      <c r="AM217" s="31" t="str">
        <f t="shared" si="140"/>
        <v>1+7.13241281615009i</v>
      </c>
      <c r="AN217" s="31">
        <f t="shared" si="156"/>
        <v>7.2021741564601207</v>
      </c>
      <c r="AO217" s="31">
        <f t="shared" si="157"/>
        <v>1.4314993233329503</v>
      </c>
      <c r="AP217" s="58" t="str">
        <f t="shared" si="158"/>
        <v>-0.0490326546857987+0.00760942715141374i</v>
      </c>
      <c r="AQ217" s="49">
        <f t="shared" si="159"/>
        <v>-26.086934992010903</v>
      </c>
      <c r="AR217" s="61">
        <f t="shared" si="160"/>
        <v>171.17858007839015</v>
      </c>
      <c r="AS217" s="58" t="str">
        <f t="shared" si="161"/>
        <v>5.2578049898391+5.49962206569372i</v>
      </c>
      <c r="AT217" s="64">
        <f t="shared" si="162"/>
        <v>17.626062216185296</v>
      </c>
      <c r="AU217" s="61">
        <f t="shared" si="163"/>
        <v>46.287739604846564</v>
      </c>
    </row>
    <row r="218" spans="14:47" x14ac:dyDescent="0.4">
      <c r="N218" s="10">
        <v>100</v>
      </c>
      <c r="O218" s="50">
        <f t="shared" si="131"/>
        <v>1000</v>
      </c>
      <c r="P218" s="48" t="str">
        <f t="shared" si="132"/>
        <v>5120.19230769231</v>
      </c>
      <c r="Q218" s="17" t="str">
        <f t="shared" si="133"/>
        <v>1+29.3618082623969i</v>
      </c>
      <c r="R218" s="17">
        <f t="shared" si="141"/>
        <v>29.378832251091243</v>
      </c>
      <c r="S218" s="17">
        <f t="shared" si="142"/>
        <v>1.5367516380527442</v>
      </c>
      <c r="T218" s="17" t="str">
        <f t="shared" si="134"/>
        <v>1+0.0000627690212187242i</v>
      </c>
      <c r="U218" s="17">
        <f t="shared" si="143"/>
        <v>1.0000000019699748</v>
      </c>
      <c r="V218" s="17">
        <f t="shared" si="144"/>
        <v>6.2769021136288596E-5</v>
      </c>
      <c r="W218" s="31" t="str">
        <f t="shared" si="135"/>
        <v>1-0.101787601976309i</v>
      </c>
      <c r="X218" s="17">
        <f t="shared" si="145"/>
        <v>1.00516700896721</v>
      </c>
      <c r="Y218" s="17">
        <f t="shared" si="146"/>
        <v>-0.10143824039066934</v>
      </c>
      <c r="Z218" s="31" t="str">
        <f t="shared" si="136"/>
        <v>0.9996+0.61973092902173i</v>
      </c>
      <c r="AA218" s="17">
        <f t="shared" si="147"/>
        <v>1.1761235412940838</v>
      </c>
      <c r="AB218" s="17">
        <f t="shared" si="148"/>
        <v>0.55498050080793704</v>
      </c>
      <c r="AC218" s="66" t="str">
        <f t="shared" si="149"/>
        <v>-86.8244503776531-121.025872180499i</v>
      </c>
      <c r="AD218" s="64">
        <f t="shared" si="150"/>
        <v>43.460740545518547</v>
      </c>
      <c r="AE218" s="61">
        <f t="shared" si="151"/>
        <v>-125.65581008421319</v>
      </c>
      <c r="AF218" s="31" t="str">
        <f t="shared" si="137"/>
        <v>-1.39902068552014E-06</v>
      </c>
      <c r="AG218" s="31" t="str">
        <f t="shared" si="138"/>
        <v>0.000207772371737815i</v>
      </c>
      <c r="AH218" s="31">
        <f t="shared" si="152"/>
        <v>2.0777237173781501E-4</v>
      </c>
      <c r="AI218" s="31">
        <f t="shared" si="153"/>
        <v>1.5707963267948966</v>
      </c>
      <c r="AJ218" s="31" t="str">
        <f t="shared" si="139"/>
        <v>1+0.0150085057333902i</v>
      </c>
      <c r="AK218" s="31">
        <f t="shared" si="154"/>
        <v>1.0001126212803981</v>
      </c>
      <c r="AL218" s="31">
        <f t="shared" si="155"/>
        <v>1.5007378970796358E-2</v>
      </c>
      <c r="AM218" s="31" t="str">
        <f t="shared" si="140"/>
        <v>1+7.29854805281982i</v>
      </c>
      <c r="AN218" s="31">
        <f t="shared" si="156"/>
        <v>7.3667362976639783</v>
      </c>
      <c r="AO218" s="31">
        <f t="shared" si="157"/>
        <v>1.4346306164353351</v>
      </c>
      <c r="AP218" s="58" t="str">
        <f t="shared" si="158"/>
        <v>-0.049032157697044+0.00746932924900638i</v>
      </c>
      <c r="AQ218" s="49">
        <f t="shared" si="159"/>
        <v>-26.090748909900924</v>
      </c>
      <c r="AR218" s="61">
        <f t="shared" si="160"/>
        <v>171.33842000541631</v>
      </c>
      <c r="AS218" s="58" t="str">
        <f t="shared" si="161"/>
        <v>5.16117222984057+5.28563924344181i</v>
      </c>
      <c r="AT218" s="64">
        <f t="shared" si="162"/>
        <v>17.369991635617616</v>
      </c>
      <c r="AU218" s="61">
        <f t="shared" si="163"/>
        <v>45.682609921203117</v>
      </c>
    </row>
    <row r="219" spans="14:47" x14ac:dyDescent="0.4">
      <c r="N219" s="10">
        <v>1</v>
      </c>
      <c r="O219" s="50">
        <f>10^(3+(N219/100))</f>
        <v>1023.2929922807547</v>
      </c>
      <c r="P219" s="48" t="str">
        <f t="shared" si="132"/>
        <v>5120.19230769231</v>
      </c>
      <c r="Q219" s="17" t="str">
        <f t="shared" si="133"/>
        <v>1+30.0457326356019i</v>
      </c>
      <c r="R219" s="17">
        <f t="shared" si="141"/>
        <v>30.062369327950069</v>
      </c>
      <c r="S219" s="17">
        <f t="shared" si="142"/>
        <v>1.5375260113861493</v>
      </c>
      <c r="T219" s="17" t="str">
        <f t="shared" si="134"/>
        <v>1+0.0000642310995454424i</v>
      </c>
      <c r="U219" s="17">
        <f t="shared" si="143"/>
        <v>1.000000002062817</v>
      </c>
      <c r="V219" s="17">
        <f t="shared" si="144"/>
        <v>6.423109945711106E-5</v>
      </c>
      <c r="W219" s="31" t="str">
        <f t="shared" si="135"/>
        <v>1-0.10415853980342i</v>
      </c>
      <c r="X219" s="17">
        <f t="shared" si="145"/>
        <v>1.0054098673744856</v>
      </c>
      <c r="Y219" s="17">
        <f t="shared" si="146"/>
        <v>-0.10378430082260712</v>
      </c>
      <c r="Z219" s="31" t="str">
        <f t="shared" si="136"/>
        <v>0.99958114858078+0.634166316767577i</v>
      </c>
      <c r="AA219" s="17">
        <f t="shared" si="147"/>
        <v>1.1837775930978867</v>
      </c>
      <c r="AB219" s="17">
        <f t="shared" si="148"/>
        <v>0.56535317916871874</v>
      </c>
      <c r="AC219" s="66" t="str">
        <f t="shared" si="149"/>
        <v>-85.9000967788603-116.389421264194i</v>
      </c>
      <c r="AD219" s="64">
        <f t="shared" si="150"/>
        <v>43.206721913562518</v>
      </c>
      <c r="AE219" s="61">
        <f t="shared" si="151"/>
        <v>-126.42882469061998</v>
      </c>
      <c r="AF219" s="31" t="str">
        <f t="shared" si="137"/>
        <v>-1.39902068552014E-06</v>
      </c>
      <c r="AG219" s="31" t="str">
        <f t="shared" si="138"/>
        <v>0.000212612011988858i</v>
      </c>
      <c r="AH219" s="31">
        <f t="shared" si="152"/>
        <v>2.12612011988858E-4</v>
      </c>
      <c r="AI219" s="31">
        <f t="shared" si="153"/>
        <v>1.5707963267948966</v>
      </c>
      <c r="AJ219" s="31" t="str">
        <f t="shared" si="139"/>
        <v>1+0.0153580987415837i</v>
      </c>
      <c r="AK219" s="31">
        <f t="shared" si="154"/>
        <v>1.0001179286448956</v>
      </c>
      <c r="AL219" s="31">
        <f t="shared" si="155"/>
        <v>1.5356891401400775E-2</v>
      </c>
      <c r="AM219" s="31" t="str">
        <f t="shared" si="140"/>
        <v>1+7.46855307627486i</v>
      </c>
      <c r="AN219" s="31">
        <f t="shared" si="156"/>
        <v>7.5352030532119478</v>
      </c>
      <c r="AO219" s="31">
        <f t="shared" si="157"/>
        <v>1.4376932310424915</v>
      </c>
      <c r="AP219" s="58" t="str">
        <f t="shared" si="158"/>
        <v>-0.0490316372967291+0.00733319098074537i</v>
      </c>
      <c r="AQ219" s="49">
        <f t="shared" si="159"/>
        <v>-26.094398285959848</v>
      </c>
      <c r="AR219" s="61">
        <f t="shared" si="160"/>
        <v>171.49386930952051</v>
      </c>
      <c r="AS219" s="58" t="str">
        <f t="shared" si="161"/>
        <v>5.06532824328377+5.07684207365828i</v>
      </c>
      <c r="AT219" s="64">
        <f t="shared" si="162"/>
        <v>17.112323627602674</v>
      </c>
      <c r="AU219" s="61">
        <f t="shared" si="163"/>
        <v>45.065044618900529</v>
      </c>
    </row>
    <row r="220" spans="14:47" x14ac:dyDescent="0.4">
      <c r="N220" s="10">
        <v>2</v>
      </c>
      <c r="O220" s="50">
        <f t="shared" ref="O220:O283" si="164">10^(3+(N220/100))</f>
        <v>1047.1285480509</v>
      </c>
      <c r="P220" s="48" t="str">
        <f t="shared" si="132"/>
        <v>5120.19230769231</v>
      </c>
      <c r="Q220" s="17" t="str">
        <f t="shared" si="133"/>
        <v>1+30.7455876539526i</v>
      </c>
      <c r="R220" s="17">
        <f t="shared" si="141"/>
        <v>30.7618458514258</v>
      </c>
      <c r="S220" s="17">
        <f t="shared" si="142"/>
        <v>1.538282796402763</v>
      </c>
      <c r="T220" s="17" t="str">
        <f t="shared" si="134"/>
        <v>1+0.0000657272340513388i</v>
      </c>
      <c r="U220" s="17">
        <f t="shared" si="143"/>
        <v>1.0000000021600346</v>
      </c>
      <c r="V220" s="17">
        <f t="shared" si="144"/>
        <v>6.572723395669007E-5</v>
      </c>
      <c r="W220" s="31" t="str">
        <f t="shared" si="135"/>
        <v>1-0.106584703867036i</v>
      </c>
      <c r="X220" s="17">
        <f t="shared" si="145"/>
        <v>1.0056641084867373</v>
      </c>
      <c r="Y220" s="17">
        <f t="shared" si="146"/>
        <v>-0.10618382145456221</v>
      </c>
      <c r="Z220" s="31" t="str">
        <f t="shared" si="136"/>
        <v>0.999561408721543+0.648937947888759i</v>
      </c>
      <c r="AA220" s="17">
        <f t="shared" si="147"/>
        <v>1.1917396821518822</v>
      </c>
      <c r="AB220" s="17">
        <f t="shared" si="148"/>
        <v>0.57582858803575587</v>
      </c>
      <c r="AC220" s="66" t="str">
        <f t="shared" si="149"/>
        <v>-84.939670704784-111.864234258415i</v>
      </c>
      <c r="AD220" s="64">
        <f t="shared" si="150"/>
        <v>42.950908646310808</v>
      </c>
      <c r="AE220" s="61">
        <f t="shared" si="151"/>
        <v>-127.20977867769874</v>
      </c>
      <c r="AF220" s="31" t="str">
        <f t="shared" si="137"/>
        <v>-1.39902068552014E-06</v>
      </c>
      <c r="AG220" s="31" t="str">
        <f t="shared" si="138"/>
        <v>0.00021756438194291i</v>
      </c>
      <c r="AH220" s="31">
        <f t="shared" si="152"/>
        <v>2.1756438194291E-4</v>
      </c>
      <c r="AI220" s="31">
        <f t="shared" si="153"/>
        <v>1.5707963267948966</v>
      </c>
      <c r="AJ220" s="31" t="str">
        <f t="shared" si="139"/>
        <v>1+0.0157158348170185i</v>
      </c>
      <c r="AK220" s="31">
        <f t="shared" si="154"/>
        <v>1.0001234861075885</v>
      </c>
      <c r="AL220" s="31">
        <f t="shared" si="155"/>
        <v>1.5714541137331343E-2</v>
      </c>
      <c r="AM220" s="31" t="str">
        <f t="shared" si="140"/>
        <v>1+7.64251802542893i</v>
      </c>
      <c r="AN220" s="31">
        <f t="shared" si="156"/>
        <v>7.7076638334197041</v>
      </c>
      <c r="AO220" s="31">
        <f t="shared" si="157"/>
        <v>1.4406885610629829</v>
      </c>
      <c r="AP220" s="58" t="str">
        <f t="shared" si="158"/>
        <v>-0.0490310923825425+0.00720094011405837i</v>
      </c>
      <c r="AQ220" s="49">
        <f t="shared" si="159"/>
        <v>-26.09789045245758</v>
      </c>
      <c r="AR220" s="61">
        <f t="shared" si="160"/>
        <v>171.64499725753072</v>
      </c>
      <c r="AS220" s="58" t="str">
        <f t="shared" si="161"/>
        <v>4.97021249306885+4.87318012217373i</v>
      </c>
      <c r="AT220" s="64">
        <f t="shared" si="162"/>
        <v>16.853018193853227</v>
      </c>
      <c r="AU220" s="61">
        <f t="shared" si="163"/>
        <v>44.435218579831925</v>
      </c>
    </row>
    <row r="221" spans="14:47" x14ac:dyDescent="0.4">
      <c r="N221" s="10">
        <v>3</v>
      </c>
      <c r="O221" s="50">
        <f t="shared" si="164"/>
        <v>1071.5193052376069</v>
      </c>
      <c r="P221" s="48" t="str">
        <f t="shared" si="132"/>
        <v>5120.19230769231</v>
      </c>
      <c r="Q221" s="17" t="str">
        <f t="shared" si="133"/>
        <v>1+31.4617443898434i</v>
      </c>
      <c r="R221" s="17">
        <f t="shared" si="141"/>
        <v>31.477632694531568</v>
      </c>
      <c r="S221" s="17">
        <f t="shared" si="142"/>
        <v>1.5390223908906069</v>
      </c>
      <c r="T221" s="17" t="str">
        <f t="shared" si="134"/>
        <v>1+0.0000672582180067319i</v>
      </c>
      <c r="U221" s="17">
        <f t="shared" si="143"/>
        <v>1.0000000022618338</v>
      </c>
      <c r="V221" s="17">
        <f t="shared" si="144"/>
        <v>6.7258217905313949E-5</v>
      </c>
      <c r="W221" s="31" t="str">
        <f t="shared" si="135"/>
        <v>1-0.109067380551457i</v>
      </c>
      <c r="X221" s="17">
        <f t="shared" si="145"/>
        <v>1.005930262742083</v>
      </c>
      <c r="Y221" s="17">
        <f t="shared" si="146"/>
        <v>-0.10863796395807652</v>
      </c>
      <c r="Z221" s="31" t="str">
        <f t="shared" si="136"/>
        <v>0.999540738551401+0.66405365449962i</v>
      </c>
      <c r="AA221" s="17">
        <f t="shared" si="147"/>
        <v>1.2000203931926243</v>
      </c>
      <c r="AB221" s="17">
        <f t="shared" si="148"/>
        <v>0.58640312577507037</v>
      </c>
      <c r="AC221" s="66" t="str">
        <f t="shared" si="149"/>
        <v>-83.944339610563-107.449440644987i</v>
      </c>
      <c r="AD221" s="64">
        <f t="shared" si="150"/>
        <v>42.69326915377701</v>
      </c>
      <c r="AE221" s="61">
        <f t="shared" si="151"/>
        <v>-127.99855499202428</v>
      </c>
      <c r="AF221" s="31" t="str">
        <f t="shared" si="137"/>
        <v>-1.39902068552014E-06</v>
      </c>
      <c r="AG221" s="31" t="str">
        <f t="shared" si="138"/>
        <v>0.000222632107412073i</v>
      </c>
      <c r="AH221" s="31">
        <f t="shared" si="152"/>
        <v>2.22632107412073E-4</v>
      </c>
      <c r="AI221" s="31">
        <f t="shared" si="153"/>
        <v>1.5707963267948966</v>
      </c>
      <c r="AJ221" s="31" t="str">
        <f t="shared" si="139"/>
        <v>1+0.0160819036360969i</v>
      </c>
      <c r="AK221" s="31">
        <f t="shared" si="154"/>
        <v>1.0001293054523304</v>
      </c>
      <c r="AL221" s="31">
        <f t="shared" si="155"/>
        <v>1.6080517443016629E-2</v>
      </c>
      <c r="AM221" s="31" t="str">
        <f t="shared" si="140"/>
        <v>1+7.82053513880077i</v>
      </c>
      <c r="AN221" s="31">
        <f t="shared" si="156"/>
        <v>7.8842101606449813</v>
      </c>
      <c r="AO221" s="31">
        <f t="shared" si="157"/>
        <v>1.4436179795537194</v>
      </c>
      <c r="AP221" s="58" t="str">
        <f t="shared" si="158"/>
        <v>-0.0490305218003228+0.00707250647393316i</v>
      </c>
      <c r="AQ221" s="49">
        <f t="shared" si="159"/>
        <v>-26.101232443330098</v>
      </c>
      <c r="AR221" s="61">
        <f t="shared" si="160"/>
        <v>171.79187167575992</v>
      </c>
      <c r="AS221" s="58" t="str">
        <f t="shared" si="161"/>
        <v>4.87577163787158+4.67460525663078i</v>
      </c>
      <c r="AT221" s="64">
        <f t="shared" si="162"/>
        <v>16.592036710446923</v>
      </c>
      <c r="AU221" s="61">
        <f t="shared" si="163"/>
        <v>43.793316683735647</v>
      </c>
    </row>
    <row r="222" spans="14:47" x14ac:dyDescent="0.4">
      <c r="N222" s="10">
        <v>4</v>
      </c>
      <c r="O222" s="50">
        <f t="shared" si="164"/>
        <v>1096.4781961431863</v>
      </c>
      <c r="P222" s="48" t="str">
        <f t="shared" si="132"/>
        <v>5120.19230769231</v>
      </c>
      <c r="Q222" s="17" t="str">
        <f t="shared" si="133"/>
        <v>1+32.1945825590551i</v>
      </c>
      <c r="R222" s="17">
        <f t="shared" si="141"/>
        <v>32.210109378141127</v>
      </c>
      <c r="S222" s="17">
        <f t="shared" si="142"/>
        <v>1.5397451837541525</v>
      </c>
      <c r="T222" s="17" t="str">
        <f t="shared" si="134"/>
        <v>1+0.00006882486315958i</v>
      </c>
      <c r="U222" s="17">
        <f t="shared" si="143"/>
        <v>1.0000000023684308</v>
      </c>
      <c r="V222" s="17">
        <f t="shared" si="144"/>
        <v>6.8824863050908711E-5</v>
      </c>
      <c r="W222" s="31" t="str">
        <f t="shared" si="135"/>
        <v>1-0.111607886204724i</v>
      </c>
      <c r="X222" s="17">
        <f t="shared" si="145"/>
        <v>1.0062088850050404</v>
      </c>
      <c r="Y222" s="17">
        <f t="shared" si="146"/>
        <v>-0.11114791124084306</v>
      </c>
      <c r="Z222" s="31" t="str">
        <f t="shared" si="136"/>
        <v>0.999519094226153+0.679521451147886i</v>
      </c>
      <c r="AA222" s="17">
        <f t="shared" si="147"/>
        <v>1.2086305565774838</v>
      </c>
      <c r="AB222" s="17">
        <f t="shared" si="148"/>
        <v>0.59707298158714506</v>
      </c>
      <c r="AC222" s="66" t="str">
        <f t="shared" si="149"/>
        <v>-82.9153200730117-103.144197290512i</v>
      </c>
      <c r="AD222" s="64">
        <f t="shared" si="150"/>
        <v>42.433773045636173</v>
      </c>
      <c r="AE222" s="61">
        <f t="shared" si="151"/>
        <v>-128.7950253025607</v>
      </c>
      <c r="AF222" s="31" t="str">
        <f t="shared" si="137"/>
        <v>-1.39902068552014E-06</v>
      </c>
      <c r="AG222" s="31" t="str">
        <f t="shared" si="138"/>
        <v>0.00022781787537147i</v>
      </c>
      <c r="AH222" s="31">
        <f t="shared" si="152"/>
        <v>2.2781787537147E-4</v>
      </c>
      <c r="AI222" s="31">
        <f t="shared" si="153"/>
        <v>1.5707963267948966</v>
      </c>
      <c r="AJ222" s="31" t="str">
        <f t="shared" si="139"/>
        <v>1+0.0164564992933524i</v>
      </c>
      <c r="AK222" s="31">
        <f t="shared" si="154"/>
        <v>1.000135399018049</v>
      </c>
      <c r="AL222" s="31">
        <f t="shared" si="155"/>
        <v>1.6455013971566287E-2</v>
      </c>
      <c r="AM222" s="31" t="str">
        <f t="shared" si="140"/>
        <v>1+8.00269880342023i</v>
      </c>
      <c r="AN222" s="31">
        <f t="shared" si="156"/>
        <v>8.064935718173059</v>
      </c>
      <c r="AO222" s="31">
        <f t="shared" si="157"/>
        <v>1.4464828385139916</v>
      </c>
      <c r="AP222" s="58" t="str">
        <f t="shared" si="158"/>
        <v>-0.0490299243416251+0.00694782190545341i</v>
      </c>
      <c r="AQ222" s="49">
        <f t="shared" si="159"/>
        <v>-26.104431006109166</v>
      </c>
      <c r="AR222" s="61">
        <f t="shared" si="160"/>
        <v>171.93455893255557</v>
      </c>
      <c r="AS222" s="58" t="str">
        <f t="shared" si="161"/>
        <v>4.78195938329682+4.4810713123305i</v>
      </c>
      <c r="AT222" s="64">
        <f t="shared" si="162"/>
        <v>16.329342039527013</v>
      </c>
      <c r="AU222" s="61">
        <f t="shared" si="163"/>
        <v>43.139533629994837</v>
      </c>
    </row>
    <row r="223" spans="14:47" x14ac:dyDescent="0.4">
      <c r="N223" s="10">
        <v>5</v>
      </c>
      <c r="O223" s="50">
        <f t="shared" si="164"/>
        <v>1122.0184543019636</v>
      </c>
      <c r="P223" s="48" t="str">
        <f t="shared" si="132"/>
        <v>5120.19230769231</v>
      </c>
      <c r="Q223" s="17" t="str">
        <f t="shared" si="133"/>
        <v>1+32.9444907220852i</v>
      </c>
      <c r="R223" s="17">
        <f t="shared" si="141"/>
        <v>32.959664272221552</v>
      </c>
      <c r="S223" s="17">
        <f t="shared" si="142"/>
        <v>1.5404515552051488</v>
      </c>
      <c r="T223" s="17" t="str">
        <f t="shared" si="134"/>
        <v>1+0.00007042800016588i</v>
      </c>
      <c r="U223" s="17">
        <f t="shared" si="143"/>
        <v>1.0000000024800515</v>
      </c>
      <c r="V223" s="17">
        <f t="shared" si="144"/>
        <v>7.0428000049436621E-5</v>
      </c>
      <c r="W223" s="31" t="str">
        <f t="shared" si="135"/>
        <v>1-0.114207567836562i</v>
      </c>
      <c r="X223" s="17">
        <f t="shared" si="145"/>
        <v>1.0065005556636035</v>
      </c>
      <c r="Y223" s="17">
        <f t="shared" si="146"/>
        <v>-0.11371486754341177</v>
      </c>
      <c r="Z223" s="31" t="str">
        <f t="shared" si="136"/>
        <v>0.999496429835282+0.695349539064081i</v>
      </c>
      <c r="AA223" s="17">
        <f t="shared" si="147"/>
        <v>1.2175812476915471</v>
      </c>
      <c r="AB223" s="17">
        <f t="shared" si="148"/>
        <v>0.60783413895183092</v>
      </c>
      <c r="AC223" s="66" t="str">
        <f t="shared" si="149"/>
        <v>-81.8538788854144-98.9476822450642i</v>
      </c>
      <c r="AD223" s="64">
        <f t="shared" si="150"/>
        <v>42.172391255474146</v>
      </c>
      <c r="AE223" s="61">
        <f t="shared" si="151"/>
        <v>-129.59905021449165</v>
      </c>
      <c r="AF223" s="31" t="str">
        <f t="shared" si="137"/>
        <v>-1.39902068552014E-06</v>
      </c>
      <c r="AG223" s="31" t="str">
        <f t="shared" si="138"/>
        <v>0.000233124435383916i</v>
      </c>
      <c r="AH223" s="31">
        <f t="shared" si="152"/>
        <v>2.3312443538391601E-4</v>
      </c>
      <c r="AI223" s="31">
        <f t="shared" si="153"/>
        <v>1.5707963267948966</v>
      </c>
      <c r="AJ223" s="31" t="str">
        <f t="shared" si="139"/>
        <v>1+0.0168398204043606i</v>
      </c>
      <c r="AK223" s="31">
        <f t="shared" si="154"/>
        <v>1.0001417797248804</v>
      </c>
      <c r="AL223" s="31">
        <f t="shared" si="155"/>
        <v>1.6838228865577398E-2</v>
      </c>
      <c r="AM223" s="31" t="str">
        <f t="shared" si="140"/>
        <v>1+8.18910560487349i</v>
      </c>
      <c r="AN223" s="31">
        <f t="shared" si="156"/>
        <v>8.2499364002257867</v>
      </c>
      <c r="AO223" s="31">
        <f t="shared" si="157"/>
        <v>1.4492844687248663</v>
      </c>
      <c r="AP223" s="58" t="str">
        <f t="shared" si="158"/>
        <v>-0.0490292987411719+0.00682682023738712i</v>
      </c>
      <c r="AQ223" s="49">
        <f t="shared" si="159"/>
        <v>-26.107492613494991</v>
      </c>
      <c r="AR223" s="61">
        <f t="shared" si="160"/>
        <v>172.07312392332165</v>
      </c>
      <c r="AS223" s="58" t="str">
        <f t="shared" si="161"/>
        <v>4.68873632058984+4.29253375565622i</v>
      </c>
      <c r="AT223" s="64">
        <f t="shared" si="162"/>
        <v>16.064898641979156</v>
      </c>
      <c r="AU223" s="61">
        <f t="shared" si="163"/>
        <v>42.474073708830005</v>
      </c>
    </row>
    <row r="224" spans="14:47" x14ac:dyDescent="0.4">
      <c r="N224" s="10">
        <v>6</v>
      </c>
      <c r="O224" s="50">
        <f t="shared" si="164"/>
        <v>1148.1536214968839</v>
      </c>
      <c r="P224" s="48" t="str">
        <f t="shared" si="132"/>
        <v>5120.19230769231</v>
      </c>
      <c r="Q224" s="17" t="str">
        <f t="shared" si="133"/>
        <v>1+33.7118664901681i</v>
      </c>
      <c r="R224" s="17">
        <f t="shared" si="141"/>
        <v>33.726694801757837</v>
      </c>
      <c r="S224" s="17">
        <f t="shared" si="142"/>
        <v>1.5411418769498639</v>
      </c>
      <c r="T224" s="17" t="str">
        <f t="shared" si="134"/>
        <v>1+0.0000720684790300928i</v>
      </c>
      <c r="U224" s="17">
        <f t="shared" si="143"/>
        <v>1.0000000025969327</v>
      </c>
      <c r="V224" s="17">
        <f t="shared" si="144"/>
        <v>7.2068478905321475E-5</v>
      </c>
      <c r="W224" s="31" t="str">
        <f t="shared" si="135"/>
        <v>1-0.116867803832583i</v>
      </c>
      <c r="X224" s="17">
        <f t="shared" si="145"/>
        <v>1.0068058817729717</v>
      </c>
      <c r="Y224" s="17">
        <f t="shared" si="146"/>
        <v>-0.11634005851187981</v>
      </c>
      <c r="Z224" s="31" t="str">
        <f t="shared" si="136"/>
        <v>0.999472697304577+0.711546310509926i</v>
      </c>
      <c r="AA224" s="17">
        <f t="shared" si="147"/>
        <v>1.2268837861254727</v>
      </c>
      <c r="AB224" s="17">
        <f t="shared" si="148"/>
        <v>0.61868238004665121</v>
      </c>
      <c r="AC224" s="66" t="str">
        <f t="shared" si="149"/>
        <v>-80.7613336528812-94.8590884480444i</v>
      </c>
      <c r="AD224" s="64">
        <f t="shared" si="150"/>
        <v>41.909096164980689</v>
      </c>
      <c r="AE224" s="61">
        <f t="shared" si="151"/>
        <v>-130.41047953723768</v>
      </c>
      <c r="AF224" s="31" t="str">
        <f t="shared" si="137"/>
        <v>-1.39902068552014E-06</v>
      </c>
      <c r="AG224" s="31" t="str">
        <f t="shared" si="138"/>
        <v>0.000238554601057769i</v>
      </c>
      <c r="AH224" s="31">
        <f t="shared" si="152"/>
        <v>2.3855460105776899E-4</v>
      </c>
      <c r="AI224" s="31">
        <f t="shared" si="153"/>
        <v>1.5707963267948966</v>
      </c>
      <c r="AJ224" s="31" t="str">
        <f t="shared" si="139"/>
        <v>1+0.0172320702110487i</v>
      </c>
      <c r="AK224" s="31">
        <f t="shared" si="154"/>
        <v>1.0001484611015299</v>
      </c>
      <c r="AL224" s="31">
        <f t="shared" si="155"/>
        <v>1.7230364860189126E-2</v>
      </c>
      <c r="AM224" s="31" t="str">
        <f t="shared" si="140"/>
        <v>1+8.37985437851409i</v>
      </c>
      <c r="AN224" s="31">
        <f t="shared" si="156"/>
        <v>8.4393103631221997</v>
      </c>
      <c r="AO224" s="31">
        <f t="shared" si="157"/>
        <v>1.4520241796306892</v>
      </c>
      <c r="AP224" s="58" t="str">
        <f t="shared" si="158"/>
        <v>-0.0490286436741887+0.00670943724680753i</v>
      </c>
      <c r="AQ224" s="49">
        <f t="shared" si="159"/>
        <v>-26.11042347457504</v>
      </c>
      <c r="AR224" s="61">
        <f t="shared" si="160"/>
        <v>172.20763005782484</v>
      </c>
      <c r="AS224" s="58" t="str">
        <f t="shared" si="161"/>
        <v>4.5960697515509+4.10894934666503i</v>
      </c>
      <c r="AT224" s="64">
        <f t="shared" si="162"/>
        <v>15.798672690405661</v>
      </c>
      <c r="AU224" s="61">
        <f t="shared" si="163"/>
        <v>41.797150520587152</v>
      </c>
    </row>
    <row r="225" spans="14:47" x14ac:dyDescent="0.4">
      <c r="N225" s="10">
        <v>7</v>
      </c>
      <c r="O225" s="50">
        <f t="shared" si="164"/>
        <v>1174.8975549395295</v>
      </c>
      <c r="P225" s="48" t="str">
        <f t="shared" si="132"/>
        <v>5120.19230769231</v>
      </c>
      <c r="Q225" s="17" t="str">
        <f t="shared" si="133"/>
        <v>1+34.4971167360934i</v>
      </c>
      <c r="R225" s="17">
        <f t="shared" si="141"/>
        <v>34.511607657477441</v>
      </c>
      <c r="S225" s="17">
        <f t="shared" si="142"/>
        <v>1.541816512372769</v>
      </c>
      <c r="T225" s="17" t="str">
        <f t="shared" si="134"/>
        <v>1+0.0000737471695558264i</v>
      </c>
      <c r="U225" s="17">
        <f t="shared" si="143"/>
        <v>1.0000000027193225</v>
      </c>
      <c r="V225" s="17">
        <f t="shared" si="144"/>
        <v>7.37471694221315E-5</v>
      </c>
      <c r="W225" s="31" t="str">
        <f t="shared" si="135"/>
        <v>1-0.119590004685124i</v>
      </c>
      <c r="X225" s="17">
        <f t="shared" si="145"/>
        <v>1.0071254982476554</v>
      </c>
      <c r="Y225" s="17">
        <f t="shared" si="146"/>
        <v>-0.11902473124437928</v>
      </c>
      <c r="Z225" s="31" t="str">
        <f t="shared" si="136"/>
        <v>0.999447846294159+0.728120353228032i</v>
      </c>
      <c r="AA225" s="17">
        <f t="shared" si="147"/>
        <v>1.2365497346435148</v>
      </c>
      <c r="AB225" s="17">
        <f t="shared" si="148"/>
        <v>0.62961329115262765</v>
      </c>
      <c r="AC225" s="66" t="str">
        <f t="shared" si="149"/>
        <v>-79.6390528714226-90.8776173843402i</v>
      </c>
      <c r="AD225" s="64">
        <f t="shared" si="150"/>
        <v>41.643861727376319</v>
      </c>
      <c r="AE225" s="61">
        <f t="shared" si="151"/>
        <v>-131.22915260734965</v>
      </c>
      <c r="AF225" s="31" t="str">
        <f t="shared" si="137"/>
        <v>-1.39902068552014E-06</v>
      </c>
      <c r="AG225" s="31" t="str">
        <f t="shared" si="138"/>
        <v>0.000244111251538745i</v>
      </c>
      <c r="AH225" s="31">
        <f t="shared" si="152"/>
        <v>2.44111251538745E-4</v>
      </c>
      <c r="AI225" s="31">
        <f t="shared" si="153"/>
        <v>1.5707963267948966</v>
      </c>
      <c r="AJ225" s="31" t="str">
        <f t="shared" si="139"/>
        <v>1+0.0176334566894561i</v>
      </c>
      <c r="AK225" s="31">
        <f t="shared" si="154"/>
        <v>1.0001554573139213</v>
      </c>
      <c r="AL225" s="31">
        <f t="shared" si="155"/>
        <v>1.7631629388427418E-2</v>
      </c>
      <c r="AM225" s="31" t="str">
        <f t="shared" si="140"/>
        <v>1+8.57504626186666i</v>
      </c>
      <c r="AN225" s="31">
        <f t="shared" si="156"/>
        <v>8.633158077618722</v>
      </c>
      <c r="AO225" s="31">
        <f t="shared" si="157"/>
        <v>1.4547032592596043</v>
      </c>
      <c r="AP225" s="58" t="str">
        <f t="shared" si="158"/>
        <v>-0.0490279577536108+0.00659561062472566i</v>
      </c>
      <c r="AQ225" s="49">
        <f t="shared" si="159"/>
        <v>-26.113229545695322</v>
      </c>
      <c r="AR225" s="61">
        <f t="shared" si="160"/>
        <v>172.33813924960481</v>
      </c>
      <c r="AS225" s="58" t="str">
        <f t="shared" si="161"/>
        <v>4.50393349848759+3.93027580260639i</v>
      </c>
      <c r="AT225" s="64">
        <f t="shared" si="162"/>
        <v>15.530632181680993</v>
      </c>
      <c r="AU225" s="61">
        <f t="shared" si="163"/>
        <v>41.10898664225514</v>
      </c>
    </row>
    <row r="226" spans="14:47" x14ac:dyDescent="0.4">
      <c r="N226" s="10">
        <v>8</v>
      </c>
      <c r="O226" s="50">
        <f t="shared" si="164"/>
        <v>1202.2644346174138</v>
      </c>
      <c r="P226" s="48" t="str">
        <f t="shared" si="132"/>
        <v>5120.19230769231</v>
      </c>
      <c r="Q226" s="17" t="str">
        <f t="shared" si="133"/>
        <v>1+35.3006578099356i</v>
      </c>
      <c r="R226" s="17">
        <f t="shared" si="141"/>
        <v>35.314819011488183</v>
      </c>
      <c r="S226" s="17">
        <f t="shared" si="142"/>
        <v>1.5424758167166988</v>
      </c>
      <c r="T226" s="17" t="str">
        <f t="shared" si="134"/>
        <v>1+0.0000754649618070179i</v>
      </c>
      <c r="U226" s="17">
        <f t="shared" si="143"/>
        <v>1.0000000028474803</v>
      </c>
      <c r="V226" s="17">
        <f t="shared" si="144"/>
        <v>7.5464961663761231E-5</v>
      </c>
      <c r="W226" s="31" t="str">
        <f t="shared" si="135"/>
        <v>1-0.12237561374111i</v>
      </c>
      <c r="X226" s="17">
        <f t="shared" si="145"/>
        <v>1.0074600691037403</v>
      </c>
      <c r="Y226" s="17">
        <f t="shared" si="146"/>
        <v>-0.12177015430904548</v>
      </c>
      <c r="Z226" s="31" t="str">
        <f t="shared" si="136"/>
        <v>0.999421824091702+0.745080454995234i</v>
      </c>
      <c r="AA226" s="17">
        <f t="shared" si="147"/>
        <v>1.2465908979639992</v>
      </c>
      <c r="AB226" s="17">
        <f t="shared" si="148"/>
        <v>0.64062226905382813</v>
      </c>
      <c r="AC226" s="66" t="str">
        <f t="shared" si="149"/>
        <v>-78.4884554782434-87.0024727369377i</v>
      </c>
      <c r="AD226" s="64">
        <f t="shared" si="150"/>
        <v>41.376663589337127</v>
      </c>
      <c r="AE226" s="61">
        <f t="shared" si="151"/>
        <v>-132.05489866650078</v>
      </c>
      <c r="AF226" s="31" t="str">
        <f t="shared" si="137"/>
        <v>-1.39902068552014E-06</v>
      </c>
      <c r="AG226" s="31" t="str">
        <f t="shared" si="138"/>
        <v>0.000249797333036483i</v>
      </c>
      <c r="AH226" s="31">
        <f t="shared" si="152"/>
        <v>2.49797333036483E-4</v>
      </c>
      <c r="AI226" s="31">
        <f t="shared" si="153"/>
        <v>1.5707963267948966</v>
      </c>
      <c r="AJ226" s="31" t="str">
        <f t="shared" si="139"/>
        <v>1+0.0180441926600066i</v>
      </c>
      <c r="AK226" s="31">
        <f t="shared" si="154"/>
        <v>1.0001627831951914</v>
      </c>
      <c r="AL226" s="31">
        <f t="shared" si="155"/>
        <v>1.8042234688888797E-2</v>
      </c>
      <c r="AM226" s="31" t="str">
        <f t="shared" si="140"/>
        <v>1+8.77478474825144i</v>
      </c>
      <c r="AN226" s="31">
        <f t="shared" si="156"/>
        <v>8.8315823824582029</v>
      </c>
      <c r="AO226" s="31">
        <f t="shared" si="157"/>
        <v>1.4573229741801825</v>
      </c>
      <c r="AP226" s="58" t="str">
        <f t="shared" si="158"/>
        <v>-0.0490272395271619+0.00648527994271536i</v>
      </c>
      <c r="AQ226" s="49">
        <f t="shared" si="159"/>
        <v>-26.11591654098882</v>
      </c>
      <c r="AR226" s="61">
        <f t="shared" si="160"/>
        <v>172.46471190731924</v>
      </c>
      <c r="AS226" s="58" t="str">
        <f t="shared" si="161"/>
        <v>4.41230769825632+3.75647146428146i</v>
      </c>
      <c r="AT226" s="64">
        <f t="shared" si="162"/>
        <v>15.260747048348303</v>
      </c>
      <c r="AU226" s="61">
        <f t="shared" si="163"/>
        <v>40.40981324081848</v>
      </c>
    </row>
    <row r="227" spans="14:47" x14ac:dyDescent="0.4">
      <c r="N227" s="10">
        <v>9</v>
      </c>
      <c r="O227" s="50">
        <f t="shared" si="164"/>
        <v>1230.2687708123824</v>
      </c>
      <c r="P227" s="48" t="str">
        <f t="shared" si="132"/>
        <v>5120.19230769231</v>
      </c>
      <c r="Q227" s="17" t="str">
        <f t="shared" si="133"/>
        <v>1+36.1229157598079i</v>
      </c>
      <c r="R227" s="17">
        <f t="shared" si="141"/>
        <v>36.136754737942063</v>
      </c>
      <c r="S227" s="17">
        <f t="shared" si="142"/>
        <v>1.543120137259528</v>
      </c>
      <c r="T227" s="17" t="str">
        <f t="shared" si="134"/>
        <v>1+0.0000772227665798561i</v>
      </c>
      <c r="U227" s="17">
        <f t="shared" si="143"/>
        <v>1.0000000029816778</v>
      </c>
      <c r="V227" s="17">
        <f t="shared" si="144"/>
        <v>7.722276642635382E-5</v>
      </c>
      <c r="W227" s="31" t="str">
        <f t="shared" si="135"/>
        <v>1-0.125226107967334i</v>
      </c>
      <c r="X227" s="17">
        <f t="shared" si="145"/>
        <v>1.0078102887531197</v>
      </c>
      <c r="Y227" s="17">
        <f t="shared" si="146"/>
        <v>-0.1245776177309969</v>
      </c>
      <c r="Z227" s="31" t="str">
        <f t="shared" si="136"/>
        <v>0.999394575500625+0.762435608281978i</v>
      </c>
      <c r="AA227" s="17">
        <f t="shared" si="147"/>
        <v>1.2570193213775134</v>
      </c>
      <c r="AB227" s="17">
        <f t="shared" si="148"/>
        <v>0.65170452842844706</v>
      </c>
      <c r="AC227" s="66" t="str">
        <f t="shared" si="149"/>
        <v>-77.3110098655906-83.2328540846072i</v>
      </c>
      <c r="AD227" s="64">
        <f t="shared" si="150"/>
        <v>41.107479210663122</v>
      </c>
      <c r="AE227" s="61">
        <f t="shared" si="151"/>
        <v>-132.8875372943146</v>
      </c>
      <c r="AF227" s="31" t="str">
        <f t="shared" si="137"/>
        <v>-1.39902068552014E-06</v>
      </c>
      <c r="AG227" s="31" t="str">
        <f t="shared" si="138"/>
        <v>0.000255615860386654i</v>
      </c>
      <c r="AH227" s="31">
        <f t="shared" si="152"/>
        <v>2.5561586038665401E-4</v>
      </c>
      <c r="AI227" s="31">
        <f t="shared" si="153"/>
        <v>1.5707963267948966</v>
      </c>
      <c r="AJ227" s="31" t="str">
        <f t="shared" si="139"/>
        <v>1+0.0184644959003486i</v>
      </c>
      <c r="AK227" s="31">
        <f t="shared" si="154"/>
        <v>1.0001704542770966</v>
      </c>
      <c r="AL227" s="31">
        <f t="shared" si="155"/>
        <v>1.8462397915807328E-2</v>
      </c>
      <c r="AM227" s="31" t="str">
        <f t="shared" si="140"/>
        <v>1+8.97917574165774i</v>
      </c>
      <c r="AN227" s="31">
        <f t="shared" si="156"/>
        <v>9.0346885391569973</v>
      </c>
      <c r="AO227" s="31">
        <f t="shared" si="157"/>
        <v>1.4598845694913958</v>
      </c>
      <c r="AP227" s="58" t="str">
        <f t="shared" si="158"/>
        <v>-0.0490264874742973+0.00637838662051148i</v>
      </c>
      <c r="AQ227" s="49">
        <f t="shared" si="159"/>
        <v>-26.118489942567571</v>
      </c>
      <c r="AR227" s="61">
        <f t="shared" si="160"/>
        <v>172.58740692786324</v>
      </c>
      <c r="AS227" s="58" t="str">
        <f t="shared" si="161"/>
        <v>4.3211785796809+3.5874949672841i</v>
      </c>
      <c r="AT227" s="64">
        <f t="shared" si="162"/>
        <v>14.98898926809556</v>
      </c>
      <c r="AU227" s="61">
        <f t="shared" si="163"/>
        <v>39.699869633548658</v>
      </c>
    </row>
    <row r="228" spans="14:47" x14ac:dyDescent="0.4">
      <c r="N228" s="10">
        <v>10</v>
      </c>
      <c r="O228" s="50">
        <f t="shared" si="164"/>
        <v>1258.925411794168</v>
      </c>
      <c r="P228" s="48" t="str">
        <f t="shared" si="132"/>
        <v>5120.19230769231</v>
      </c>
      <c r="Q228" s="17" t="str">
        <f t="shared" si="133"/>
        <v>1+36.9643265577595i</v>
      </c>
      <c r="R228" s="17">
        <f t="shared" si="141"/>
        <v>36.977850638844387</v>
      </c>
      <c r="S228" s="17">
        <f t="shared" si="142"/>
        <v>1.5437498134874001</v>
      </c>
      <c r="T228" s="17" t="str">
        <f t="shared" si="134"/>
        <v>1+0.0000790215158856992i</v>
      </c>
      <c r="U228" s="17">
        <f t="shared" si="143"/>
        <v>1.0000000031221998</v>
      </c>
      <c r="V228" s="17">
        <f t="shared" si="144"/>
        <v>7.9021515721218553E-5</v>
      </c>
      <c r="W228" s="31" t="str">
        <f t="shared" si="135"/>
        <v>1-0.128142998733566i</v>
      </c>
      <c r="X228" s="17">
        <f t="shared" si="145"/>
        <v>1.008176883351543</v>
      </c>
      <c r="Y228" s="17">
        <f t="shared" si="146"/>
        <v>-0.12744843294571939</v>
      </c>
      <c r="Z228" s="31" t="str">
        <f t="shared" si="136"/>
        <v>0.999366042723016+0.780195015020263i</v>
      </c>
      <c r="AA228" s="17">
        <f t="shared" si="147"/>
        <v>1.2678472892309742</v>
      </c>
      <c r="AB228" s="17">
        <f t="shared" si="148"/>
        <v>0.6628551102204433</v>
      </c>
      <c r="AC228" s="66" t="str">
        <f t="shared" si="149"/>
        <v>-76.108232355743-79.567950695184i</v>
      </c>
      <c r="AD228" s="64">
        <f t="shared" si="150"/>
        <v>40.836287980923117</v>
      </c>
      <c r="AE228" s="61">
        <f t="shared" si="151"/>
        <v>-133.72687889525068</v>
      </c>
      <c r="AF228" s="31" t="str">
        <f t="shared" si="137"/>
        <v>-1.39902068552014E-06</v>
      </c>
      <c r="AG228" s="31" t="str">
        <f t="shared" si="138"/>
        <v>0.000261569918649479i</v>
      </c>
      <c r="AH228" s="31">
        <f t="shared" si="152"/>
        <v>2.6156991864947899E-4</v>
      </c>
      <c r="AI228" s="31">
        <f t="shared" si="153"/>
        <v>1.5707963267948966</v>
      </c>
      <c r="AJ228" s="31" t="str">
        <f t="shared" si="139"/>
        <v>1+0.0188945892608234i</v>
      </c>
      <c r="AK228" s="31">
        <f t="shared" si="154"/>
        <v>1.0001784868228947</v>
      </c>
      <c r="AL228" s="31">
        <f t="shared" si="155"/>
        <v>1.8892341251551644E-2</v>
      </c>
      <c r="AM228" s="31" t="str">
        <f t="shared" si="140"/>
        <v>1+9.18832761289571i</v>
      </c>
      <c r="AN228" s="31">
        <f t="shared" si="156"/>
        <v>9.2425842880604439</v>
      </c>
      <c r="AO228" s="31">
        <f t="shared" si="157"/>
        <v>1.4623892688433429</v>
      </c>
      <c r="AP228" s="58" t="str">
        <f t="shared" si="158"/>
        <v>-0.0490257000030013+0.00627487389456179i</v>
      </c>
      <c r="AQ228" s="49">
        <f t="shared" si="159"/>
        <v>-26.120955010386034</v>
      </c>
      <c r="AR228" s="61">
        <f t="shared" si="160"/>
        <v>172.70628169111103</v>
      </c>
      <c r="AS228" s="58" t="str">
        <f t="shared" si="161"/>
        <v>4.23053822389236+3.42330492026539i</v>
      </c>
      <c r="AT228" s="64">
        <f t="shared" si="162"/>
        <v>14.715332970537068</v>
      </c>
      <c r="AU228" s="61">
        <f t="shared" si="163"/>
        <v>38.979402795860338</v>
      </c>
    </row>
    <row r="229" spans="14:47" x14ac:dyDescent="0.4">
      <c r="N229" s="10">
        <v>11</v>
      </c>
      <c r="O229" s="50">
        <f t="shared" si="164"/>
        <v>1288.2495516931347</v>
      </c>
      <c r="P229" s="48" t="str">
        <f t="shared" si="132"/>
        <v>5120.19230769231</v>
      </c>
      <c r="Q229" s="17" t="str">
        <f t="shared" si="133"/>
        <v>1+37.8253363309326i</v>
      </c>
      <c r="R229" s="17">
        <f t="shared" si="141"/>
        <v>37.838552675124475</v>
      </c>
      <c r="S229" s="17">
        <f t="shared" si="142"/>
        <v>1.5443651772645492</v>
      </c>
      <c r="T229" s="17" t="str">
        <f t="shared" si="134"/>
        <v>1+0.0000808621634452382i</v>
      </c>
      <c r="U229" s="17">
        <f t="shared" si="143"/>
        <v>1.0000000032693446</v>
      </c>
      <c r="V229" s="17">
        <f t="shared" si="144"/>
        <v>8.0862163268994013E-5</v>
      </c>
      <c r="W229" s="31" t="str">
        <f t="shared" si="135"/>
        <v>1-0.1311278326139i</v>
      </c>
      <c r="X229" s="17">
        <f t="shared" si="145"/>
        <v>1.0085606122023698</v>
      </c>
      <c r="Y229" s="17">
        <f t="shared" si="146"/>
        <v>-0.13038393271607837</v>
      </c>
      <c r="Z229" s="31" t="str">
        <f t="shared" si="136"/>
        <v>0.999336165237025+0.798368091482612i</v>
      </c>
      <c r="AA229" s="17">
        <f t="shared" si="147"/>
        <v>1.2790873233083935</v>
      </c>
      <c r="AB229" s="17">
        <f t="shared" si="148"/>
        <v>0.67406889097160838</v>
      </c>
      <c r="AC229" s="66" t="str">
        <f t="shared" si="149"/>
        <v>-74.8816851403645-76.0069354662505i</v>
      </c>
      <c r="AD229" s="64">
        <f t="shared" si="150"/>
        <v>40.563071332309079</v>
      </c>
      <c r="AE229" s="61">
        <f t="shared" si="151"/>
        <v>-134.57272523824048</v>
      </c>
      <c r="AF229" s="31" t="str">
        <f t="shared" si="137"/>
        <v>-1.39902068552014E-06</v>
      </c>
      <c r="AG229" s="31" t="str">
        <f t="shared" si="138"/>
        <v>0.000267662664745459i</v>
      </c>
      <c r="AH229" s="31">
        <f t="shared" si="152"/>
        <v>2.6766266474545898E-4</v>
      </c>
      <c r="AI229" s="31">
        <f t="shared" si="153"/>
        <v>1.5707963267948966</v>
      </c>
      <c r="AJ229" s="31" t="str">
        <f t="shared" si="139"/>
        <v>1+0.0193347007826238i</v>
      </c>
      <c r="AK229" s="31">
        <f t="shared" si="154"/>
        <v>1.0001868978617714</v>
      </c>
      <c r="AL229" s="31">
        <f t="shared" si="155"/>
        <v>1.9332292021600181E-2</v>
      </c>
      <c r="AM229" s="31" t="str">
        <f t="shared" si="140"/>
        <v>1+9.40235125705592i</v>
      </c>
      <c r="AN229" s="31">
        <f t="shared" si="156"/>
        <v>9.4553799056971286</v>
      </c>
      <c r="AO229" s="31">
        <f t="shared" si="157"/>
        <v>1.4648382744862731</v>
      </c>
      <c r="AP229" s="58" t="str">
        <f t="shared" si="158"/>
        <v>-0.0490248754464393+0.0061746867875149i</v>
      </c>
      <c r="AQ229" s="49">
        <f t="shared" si="159"/>
        <v>-26.123316791781971</v>
      </c>
      <c r="AR229" s="61">
        <f t="shared" si="160"/>
        <v>172.82139205613734</v>
      </c>
      <c r="AS229" s="58" t="str">
        <f t="shared" si="161"/>
        <v>4.14038430740881+3.26385959243542i</v>
      </c>
      <c r="AT229" s="64">
        <f t="shared" si="162"/>
        <v>14.439754540527108</v>
      </c>
      <c r="AU229" s="61">
        <f t="shared" si="163"/>
        <v>38.248666817896861</v>
      </c>
    </row>
    <row r="230" spans="14:47" x14ac:dyDescent="0.4">
      <c r="N230" s="10">
        <v>12</v>
      </c>
      <c r="O230" s="50">
        <f t="shared" si="164"/>
        <v>1318.2567385564089</v>
      </c>
      <c r="P230" s="48" t="str">
        <f t="shared" si="132"/>
        <v>5120.19230769231</v>
      </c>
      <c r="Q230" s="17" t="str">
        <f t="shared" si="133"/>
        <v>1+38.706401598106i</v>
      </c>
      <c r="R230" s="17">
        <f t="shared" si="141"/>
        <v>38.719317203094668</v>
      </c>
      <c r="S230" s="17">
        <f t="shared" si="142"/>
        <v>1.5449665529997565</v>
      </c>
      <c r="T230" s="17" t="str">
        <f t="shared" si="134"/>
        <v>1+0.0000827456851941733i</v>
      </c>
      <c r="U230" s="17">
        <f t="shared" si="143"/>
        <v>1.0000000034234242</v>
      </c>
      <c r="V230" s="17">
        <f t="shared" si="144"/>
        <v>8.2745685005324241E-5</v>
      </c>
      <c r="W230" s="31" t="str">
        <f t="shared" si="135"/>
        <v>1-0.134182192206767i</v>
      </c>
      <c r="X230" s="17">
        <f t="shared" si="145"/>
        <v>1.0089622692179394</v>
      </c>
      <c r="Y230" s="17">
        <f t="shared" si="146"/>
        <v>-0.1333854710100304</v>
      </c>
      <c r="Z230" s="31" t="str">
        <f t="shared" si="136"/>
        <v>0.9993048796685+0.816964473274718i</v>
      </c>
      <c r="AA230" s="17">
        <f t="shared" si="147"/>
        <v>1.2907521811417995</v>
      </c>
      <c r="AB230" s="17">
        <f t="shared" si="148"/>
        <v>0.68534059308472017</v>
      </c>
      <c r="AC230" s="66" t="str">
        <f t="shared" si="149"/>
        <v>-73.632973693294-72.5489590655321i</v>
      </c>
      <c r="AD230" s="64">
        <f t="shared" si="150"/>
        <v>40.287812847935164</v>
      </c>
      <c r="AE230" s="61">
        <f t="shared" si="151"/>
        <v>-135.42487004722366</v>
      </c>
      <c r="AF230" s="31" t="str">
        <f t="shared" si="137"/>
        <v>-1.39902068552014E-06</v>
      </c>
      <c r="AG230" s="31" t="str">
        <f t="shared" si="138"/>
        <v>0.000273897329129221i</v>
      </c>
      <c r="AH230" s="31">
        <f t="shared" si="152"/>
        <v>2.73897329129221E-4</v>
      </c>
      <c r="AI230" s="31">
        <f t="shared" si="153"/>
        <v>1.5707963267948966</v>
      </c>
      <c r="AJ230" s="31" t="str">
        <f t="shared" si="139"/>
        <v>1+0.0197850638187041i</v>
      </c>
      <c r="AK230" s="31">
        <f t="shared" si="154"/>
        <v>1.0001957052248875</v>
      </c>
      <c r="AL230" s="31">
        <f t="shared" si="155"/>
        <v>1.978248281204054E-2</v>
      </c>
      <c r="AM230" s="31" t="str">
        <f t="shared" si="140"/>
        <v>1+9.62136015230747i</v>
      </c>
      <c r="AN230" s="31">
        <f t="shared" si="156"/>
        <v>9.6731882634636044</v>
      </c>
      <c r="AO230" s="31">
        <f t="shared" si="157"/>
        <v>1.4672327673456036</v>
      </c>
      <c r="AP230" s="58" t="str">
        <f t="shared" si="158"/>
        <v>-0.0490240120594512+0.0060777720786253i</v>
      </c>
      <c r="AQ230" s="49">
        <f t="shared" si="159"/>
        <v>-26.125580130703653</v>
      </c>
      <c r="AR230" s="61">
        <f t="shared" si="160"/>
        <v>172.93279235878327</v>
      </c>
      <c r="AS230" s="58" t="str">
        <f t="shared" si="161"/>
        <v>4.05071982805512+3.10911661255002i</v>
      </c>
      <c r="AT230" s="64">
        <f t="shared" si="162"/>
        <v>14.162232717231509</v>
      </c>
      <c r="AU230" s="61">
        <f t="shared" si="163"/>
        <v>37.507922311559561</v>
      </c>
    </row>
    <row r="231" spans="14:47" x14ac:dyDescent="0.4">
      <c r="N231" s="10">
        <v>13</v>
      </c>
      <c r="O231" s="50">
        <f t="shared" si="164"/>
        <v>1348.9628825916541</v>
      </c>
      <c r="P231" s="48" t="str">
        <f t="shared" si="132"/>
        <v>5120.19230769231</v>
      </c>
      <c r="Q231" s="17" t="str">
        <f t="shared" si="133"/>
        <v>1+39.6079895117464i</v>
      </c>
      <c r="R231" s="17">
        <f t="shared" si="141"/>
        <v>39.620611216418816</v>
      </c>
      <c r="S231" s="17">
        <f t="shared" si="142"/>
        <v>1.545554257809487</v>
      </c>
      <c r="T231" s="17" t="str">
        <f t="shared" si="134"/>
        <v>1+0.0000846730798006668i</v>
      </c>
      <c r="U231" s="17">
        <f t="shared" si="143"/>
        <v>1.0000000035847652</v>
      </c>
      <c r="V231" s="17">
        <f t="shared" si="144"/>
        <v>8.4673079598311389E-5</v>
      </c>
      <c r="W231" s="31" t="str">
        <f t="shared" si="135"/>
        <v>1-0.137307696974054i</v>
      </c>
      <c r="X231" s="17">
        <f t="shared" si="145"/>
        <v>1.0093826844405043</v>
      </c>
      <c r="Y231" s="17">
        <f t="shared" si="146"/>
        <v>-0.13645442283593878</v>
      </c>
      <c r="Z231" s="31" t="str">
        <f t="shared" si="136"/>
        <v>0.999272119656556+0.835994020444355i</v>
      </c>
      <c r="AA231" s="17">
        <f t="shared" si="147"/>
        <v>1.3028548542879299</v>
      </c>
      <c r="AB231" s="17">
        <f t="shared" si="148"/>
        <v>0.69666479597908082</v>
      </c>
      <c r="AC231" s="66" t="str">
        <f t="shared" si="149"/>
        <v>-72.3637436719413-69.1931443231492i</v>
      </c>
      <c r="AD231" s="64">
        <f t="shared" si="150"/>
        <v>40.010498364836913</v>
      </c>
      <c r="AE231" s="61">
        <f t="shared" si="151"/>
        <v>-136.28309964019539</v>
      </c>
      <c r="AF231" s="31" t="str">
        <f t="shared" si="137"/>
        <v>-1.39902068552014E-06</v>
      </c>
      <c r="AG231" s="31" t="str">
        <f t="shared" si="138"/>
        <v>0.000280277217502347i</v>
      </c>
      <c r="AH231" s="31">
        <f t="shared" si="152"/>
        <v>2.8027721750234703E-4</v>
      </c>
      <c r="AI231" s="31">
        <f t="shared" si="153"/>
        <v>1.5707963267948966</v>
      </c>
      <c r="AJ231" s="31" t="str">
        <f t="shared" si="139"/>
        <v>1+0.0202459171575074i</v>
      </c>
      <c r="AK231" s="31">
        <f t="shared" si="154"/>
        <v>1.0002049275831173</v>
      </c>
      <c r="AL231" s="31">
        <f t="shared" si="155"/>
        <v>2.0243151589642659E-2</v>
      </c>
      <c r="AM231" s="31" t="str">
        <f t="shared" si="140"/>
        <v>1+9.84547042006552i</v>
      </c>
      <c r="AN231" s="31">
        <f t="shared" si="156"/>
        <v>9.8961248876711903</v>
      </c>
      <c r="AO231" s="31">
        <f t="shared" si="157"/>
        <v>1.4695739071207568</v>
      </c>
      <c r="AP231" s="58" t="str">
        <f t="shared" si="158"/>
        <v>-0.0490231080148815+0.0059840782750582i</v>
      </c>
      <c r="AQ231" s="49">
        <f t="shared" si="159"/>
        <v>-26.12774967663124</v>
      </c>
      <c r="AR231" s="61">
        <f t="shared" si="160"/>
        <v>173.04053541043973</v>
      </c>
      <c r="AS231" s="58" t="str">
        <f t="shared" si="161"/>
        <v>3.9615528141179+2.95903268163388i</v>
      </c>
      <c r="AT231" s="64">
        <f t="shared" si="162"/>
        <v>13.882748688205677</v>
      </c>
      <c r="AU231" s="61">
        <f t="shared" si="163"/>
        <v>36.757435770244314</v>
      </c>
    </row>
    <row r="232" spans="14:47" x14ac:dyDescent="0.4">
      <c r="N232" s="10">
        <v>14</v>
      </c>
      <c r="O232" s="50">
        <f t="shared" si="164"/>
        <v>1380.3842646028863</v>
      </c>
      <c r="P232" s="48" t="str">
        <f t="shared" si="132"/>
        <v>5120.19230769231</v>
      </c>
      <c r="Q232" s="17" t="str">
        <f t="shared" si="133"/>
        <v>1+40.5305781056997i</v>
      </c>
      <c r="R232" s="17">
        <f t="shared" si="141"/>
        <v>40.542912593722519</v>
      </c>
      <c r="S232" s="17">
        <f t="shared" si="142"/>
        <v>1.546128601677748</v>
      </c>
      <c r="T232" s="17" t="str">
        <f t="shared" si="134"/>
        <v>1+0.0000866453691948514i</v>
      </c>
      <c r="U232" s="17">
        <f t="shared" si="143"/>
        <v>1.00000000375371</v>
      </c>
      <c r="V232" s="17">
        <f t="shared" si="144"/>
        <v>8.664536897802368E-5</v>
      </c>
      <c r="W232" s="31" t="str">
        <f t="shared" si="135"/>
        <v>1-0.140506004099759i</v>
      </c>
      <c r="X232" s="17">
        <f t="shared" si="145"/>
        <v>1.0098227256246919</v>
      </c>
      <c r="Y232" s="17">
        <f t="shared" si="146"/>
        <v>-0.139592184032205</v>
      </c>
      <c r="Z232" s="31" t="str">
        <f t="shared" si="136"/>
        <v>0.999237815712815+0.855466822709323i</v>
      </c>
      <c r="AA232" s="17">
        <f t="shared" si="147"/>
        <v>1.3154085666084516</v>
      </c>
      <c r="AB232" s="17">
        <f t="shared" si="148"/>
        <v>0.70803594809057557</v>
      </c>
      <c r="AC232" s="66" t="str">
        <f t="shared" si="149"/>
        <v>-71.0756773285246-65.9385809268075i</v>
      </c>
      <c r="AD232" s="64">
        <f t="shared" si="150"/>
        <v>39.731116070946328</v>
      </c>
      <c r="AE232" s="61">
        <f t="shared" si="151"/>
        <v>-137.14719361383442</v>
      </c>
      <c r="AF232" s="31" t="str">
        <f t="shared" si="137"/>
        <v>-1.39902068552014E-06</v>
      </c>
      <c r="AG232" s="31" t="str">
        <f t="shared" si="138"/>
        <v>0.000286805712566101i</v>
      </c>
      <c r="AH232" s="31">
        <f t="shared" si="152"/>
        <v>2.8680571256610102E-4</v>
      </c>
      <c r="AI232" s="31">
        <f t="shared" si="153"/>
        <v>1.5707963267948966</v>
      </c>
      <c r="AJ232" s="31" t="str">
        <f t="shared" si="139"/>
        <v>1+0.020717505149574i</v>
      </c>
      <c r="AK232" s="31">
        <f t="shared" si="154"/>
        <v>1.0002145844865604</v>
      </c>
      <c r="AL232" s="31">
        <f t="shared" si="155"/>
        <v>2.0714541824552301E-2</v>
      </c>
      <c r="AM232" s="31" t="str">
        <f t="shared" si="140"/>
        <v>1+10.0748008865605i</v>
      </c>
      <c r="AN232" s="31">
        <f t="shared" si="156"/>
        <v>10.124308020987915</v>
      </c>
      <c r="AO232" s="31">
        <f t="shared" si="157"/>
        <v>1.4718628324057839</v>
      </c>
      <c r="AP232" s="58" t="str">
        <f t="shared" si="158"/>
        <v>-0.0490221613997398+0.00589355558407661i</v>
      </c>
      <c r="AQ232" s="49">
        <f t="shared" si="159"/>
        <v>-26.129829893200338</v>
      </c>
      <c r="AR232" s="61">
        <f t="shared" si="160"/>
        <v>173.14467249792855</v>
      </c>
      <c r="AS232" s="58" t="str">
        <f t="shared" si="161"/>
        <v>3.87289601742203+2.81356330165221i</v>
      </c>
      <c r="AT232" s="64">
        <f t="shared" si="162"/>
        <v>13.601286177745987</v>
      </c>
      <c r="AU232" s="61">
        <f t="shared" si="163"/>
        <v>35.997478884094164</v>
      </c>
    </row>
    <row r="233" spans="14:47" x14ac:dyDescent="0.4">
      <c r="N233" s="10">
        <v>15</v>
      </c>
      <c r="O233" s="50">
        <f t="shared" si="164"/>
        <v>1412.5375446227545</v>
      </c>
      <c r="P233" s="48" t="str">
        <f t="shared" si="132"/>
        <v>5120.19230769231</v>
      </c>
      <c r="Q233" s="17" t="str">
        <f t="shared" si="133"/>
        <v>1+41.4746565486503i</v>
      </c>
      <c r="R233" s="17">
        <f t="shared" si="141"/>
        <v>41.486710351972974</v>
      </c>
      <c r="S233" s="17">
        <f t="shared" si="142"/>
        <v>1.5466898876127184</v>
      </c>
      <c r="T233" s="17" t="str">
        <f t="shared" si="134"/>
        <v>1+0.0000886635991106701i</v>
      </c>
      <c r="U233" s="17">
        <f t="shared" si="143"/>
        <v>1.0000000039306169</v>
      </c>
      <c r="V233" s="17">
        <f t="shared" si="144"/>
        <v>8.8663598878335013E-5</v>
      </c>
      <c r="W233" s="31" t="str">
        <f t="shared" si="135"/>
        <v>1-0.143778809368654i</v>
      </c>
      <c r="X233" s="17">
        <f t="shared" si="145"/>
        <v>1.010283299883487</v>
      </c>
      <c r="Y233" s="17">
        <f t="shared" si="146"/>
        <v>-0.14280017100777972</v>
      </c>
      <c r="Z233" s="31" t="str">
        <f t="shared" si="136"/>
        <v>0.999201895074012+0.875393204807132i</v>
      </c>
      <c r="AA233" s="17">
        <f t="shared" si="147"/>
        <v>1.3284267725930543</v>
      </c>
      <c r="AB233" s="17">
        <f t="shared" si="148"/>
        <v>0.71944837965936703</v>
      </c>
      <c r="AC233" s="66" t="str">
        <f t="shared" si="149"/>
        <v>-69.770489458481-62.7843204692209i</v>
      </c>
      <c r="AD233" s="64">
        <f t="shared" si="150"/>
        <v>39.449656595357439</v>
      </c>
      <c r="AE233" s="61">
        <f t="shared" si="151"/>
        <v>-138.01692557025987</v>
      </c>
      <c r="AF233" s="31" t="str">
        <f t="shared" si="137"/>
        <v>-1.39902068552014E-06</v>
      </c>
      <c r="AG233" s="31" t="str">
        <f t="shared" si="138"/>
        <v>0.000293486275814979i</v>
      </c>
      <c r="AH233" s="31">
        <f t="shared" si="152"/>
        <v>2.9348627581497901E-4</v>
      </c>
      <c r="AI233" s="31">
        <f t="shared" si="153"/>
        <v>1.5707963267948966</v>
      </c>
      <c r="AJ233" s="31" t="str">
        <f t="shared" si="139"/>
        <v>1+0.0212000778370995i</v>
      </c>
      <c r="AK233" s="31">
        <f t="shared" si="154"/>
        <v>1.0002246964059121</v>
      </c>
      <c r="AL233" s="31">
        <f t="shared" si="155"/>
        <v>2.1196902615654829E-2</v>
      </c>
      <c r="AM233" s="31" t="str">
        <f t="shared" si="140"/>
        <v>1+10.3094731458413i</v>
      </c>
      <c r="AN233" s="31">
        <f t="shared" si="156"/>
        <v>10.357858685308605</v>
      </c>
      <c r="AO233" s="31">
        <f t="shared" si="157"/>
        <v>1.4741006608298546</v>
      </c>
      <c r="AP233" s="58" t="str">
        <f t="shared" si="158"/>
        <v>-0.0490211702111828+0.00580615588609333i</v>
      </c>
      <c r="AQ233" s="49">
        <f t="shared" si="159"/>
        <v>-26.131825066536774</v>
      </c>
      <c r="AR233" s="61">
        <f t="shared" si="160"/>
        <v>173.24525338436945</v>
      </c>
      <c r="AS233" s="58" t="str">
        <f t="shared" si="161"/>
        <v>3.78476659130847+2.67266252227015i</v>
      </c>
      <c r="AT233" s="64">
        <f t="shared" si="162"/>
        <v>13.31783152882066</v>
      </c>
      <c r="AU233" s="61">
        <f t="shared" si="163"/>
        <v>35.22832781410952</v>
      </c>
    </row>
    <row r="234" spans="14:47" x14ac:dyDescent="0.4">
      <c r="N234" s="10">
        <v>16</v>
      </c>
      <c r="O234" s="50">
        <f t="shared" si="164"/>
        <v>1445.4397707459289</v>
      </c>
      <c r="P234" s="48" t="str">
        <f t="shared" si="132"/>
        <v>5120.19230769231</v>
      </c>
      <c r="Q234" s="17" t="str">
        <f t="shared" si="133"/>
        <v>1+42.4407254034849i</v>
      </c>
      <c r="R234" s="17">
        <f t="shared" si="141"/>
        <v>42.452504905765075</v>
      </c>
      <c r="S234" s="17">
        <f t="shared" si="142"/>
        <v>1.5472384118001909</v>
      </c>
      <c r="T234" s="17" t="str">
        <f t="shared" si="134"/>
        <v>1+0.0000907288396403389i</v>
      </c>
      <c r="U234" s="17">
        <f t="shared" si="143"/>
        <v>1.0000000041158612</v>
      </c>
      <c r="V234" s="17">
        <f t="shared" si="144"/>
        <v>9.072883939138736E-5</v>
      </c>
      <c r="W234" s="31" t="str">
        <f t="shared" si="135"/>
        <v>1-0.147127848065414i</v>
      </c>
      <c r="X234" s="17">
        <f t="shared" si="145"/>
        <v>1.0107653553997384</v>
      </c>
      <c r="Y234" s="17">
        <f t="shared" si="146"/>
        <v>-0.14607982042990766</v>
      </c>
      <c r="Z234" s="31" t="str">
        <f t="shared" si="136"/>
        <v>0.999164281547658+0.89578373196933i</v>
      </c>
      <c r="AA234" s="17">
        <f t="shared" si="147"/>
        <v>1.3419231557662117</v>
      </c>
      <c r="AB234" s="17">
        <f t="shared" si="148"/>
        <v>0.73089631623984264</v>
      </c>
      <c r="AC234" s="66" t="str">
        <f t="shared" si="149"/>
        <v>-68.4499229192318-59.7293718943799i</v>
      </c>
      <c r="AD234" s="64">
        <f t="shared" si="150"/>
        <v>39.166113091237364</v>
      </c>
      <c r="AE234" s="61">
        <f t="shared" si="151"/>
        <v>-138.89206388196288</v>
      </c>
      <c r="AF234" s="31" t="str">
        <f t="shared" si="137"/>
        <v>-1.39902068552014E-06</v>
      </c>
      <c r="AG234" s="31" t="str">
        <f t="shared" si="138"/>
        <v>0.000300322449372045i</v>
      </c>
      <c r="AH234" s="31">
        <f t="shared" si="152"/>
        <v>3.00322449372045E-4</v>
      </c>
      <c r="AI234" s="31">
        <f t="shared" si="153"/>
        <v>1.5707963267948966</v>
      </c>
      <c r="AJ234" s="31" t="str">
        <f t="shared" si="139"/>
        <v>1+0.0216938910865105i</v>
      </c>
      <c r="AK234" s="31">
        <f t="shared" si="154"/>
        <v>1.0002352847757738</v>
      </c>
      <c r="AL234" s="31">
        <f t="shared" si="155"/>
        <v>2.169048881865724E-2</v>
      </c>
      <c r="AM234" s="31" t="str">
        <f t="shared" si="140"/>
        <v>1+10.549611624246i</v>
      </c>
      <c r="AN234" s="31">
        <f t="shared" si="156"/>
        <v>10.596900746087334</v>
      </c>
      <c r="AO234" s="31">
        <f t="shared" si="157"/>
        <v>1.4762884892158212</v>
      </c>
      <c r="AP234" s="58" t="str">
        <f t="shared" si="158"/>
        <v>-0.0490201323523073+0.00572183270857101i</v>
      </c>
      <c r="AQ234" s="49">
        <f t="shared" si="159"/>
        <v>-26.133739313311565</v>
      </c>
      <c r="AR234" s="61">
        <f t="shared" si="160"/>
        <v>173.34232631092632</v>
      </c>
      <c r="AS234" s="58" t="str">
        <f t="shared" si="161"/>
        <v>3.69718575477364+2.53628270772426i</v>
      </c>
      <c r="AT234" s="64">
        <f t="shared" si="162"/>
        <v>13.032373777925796</v>
      </c>
      <c r="AU234" s="61">
        <f t="shared" si="163"/>
        <v>34.450262428963441</v>
      </c>
    </row>
    <row r="235" spans="14:47" x14ac:dyDescent="0.4">
      <c r="N235" s="10">
        <v>17</v>
      </c>
      <c r="O235" s="50">
        <f t="shared" si="164"/>
        <v>1479.1083881682086</v>
      </c>
      <c r="P235" s="48" t="str">
        <f t="shared" si="132"/>
        <v>5120.19230769231</v>
      </c>
      <c r="Q235" s="17" t="str">
        <f t="shared" si="133"/>
        <v>1+43.4292968926979i</v>
      </c>
      <c r="R235" s="17">
        <f t="shared" si="141"/>
        <v>43.440808332650754</v>
      </c>
      <c r="S235" s="17">
        <f t="shared" si="142"/>
        <v>1.5477744637538795</v>
      </c>
      <c r="T235" s="17" t="str">
        <f t="shared" si="134"/>
        <v>1+0.0000928421858017231i</v>
      </c>
      <c r="U235" s="17">
        <f t="shared" si="143"/>
        <v>1.0000000043098356</v>
      </c>
      <c r="V235" s="17">
        <f t="shared" si="144"/>
        <v>9.284218553496672E-5</v>
      </c>
      <c r="W235" s="31" t="str">
        <f t="shared" si="135"/>
        <v>1-0.150554895894686i</v>
      </c>
      <c r="X235" s="17">
        <f t="shared" si="145"/>
        <v>1.0112698832052005</v>
      </c>
      <c r="Y235" s="17">
        <f t="shared" si="146"/>
        <v>-0.14943258885527846</v>
      </c>
      <c r="Z235" s="31" t="str">
        <f t="shared" si="136"/>
        <v>0.99912489535042+0.916649215523316i</v>
      </c>
      <c r="AA235" s="17">
        <f t="shared" si="147"/>
        <v>1.3559116272193033</v>
      </c>
      <c r="AB235" s="17">
        <f t="shared" si="148"/>
        <v>0.74237389285934763</v>
      </c>
      <c r="AC235" s="66" t="str">
        <f t="shared" si="149"/>
        <v>-67.1157437580819-56.772697385855i</v>
      </c>
      <c r="AD235" s="64">
        <f t="shared" si="150"/>
        <v>38.880481310792533</v>
      </c>
      <c r="AE235" s="61">
        <f t="shared" si="151"/>
        <v>-139.77237249048849</v>
      </c>
      <c r="AF235" s="31" t="str">
        <f t="shared" si="137"/>
        <v>-1.39902068552014E-06</v>
      </c>
      <c r="AG235" s="31" t="str">
        <f t="shared" si="138"/>
        <v>0.000307317857867005i</v>
      </c>
      <c r="AH235" s="31">
        <f t="shared" si="152"/>
        <v>3.0731785786700501E-4</v>
      </c>
      <c r="AI235" s="31">
        <f t="shared" si="153"/>
        <v>1.5707963267948966</v>
      </c>
      <c r="AJ235" s="31" t="str">
        <f t="shared" si="139"/>
        <v>1+0.0221992067241281i</v>
      </c>
      <c r="AK235" s="31">
        <f t="shared" si="154"/>
        <v>1.0002463720399992</v>
      </c>
      <c r="AL235" s="31">
        <f t="shared" si="155"/>
        <v>2.2195561176937363E-2</v>
      </c>
      <c r="AM235" s="31" t="str">
        <f t="shared" si="140"/>
        <v>1+10.7953436463745i</v>
      </c>
      <c r="AN235" s="31">
        <f t="shared" si="156"/>
        <v>10.841560978167225</v>
      </c>
      <c r="AO235" s="31">
        <f t="shared" si="157"/>
        <v>1.4784273937551771</v>
      </c>
      <c r="AP235" s="58" t="str">
        <f t="shared" si="158"/>
        <v>-0.0490190456277507+0.00564054120075408i</v>
      </c>
      <c r="AQ235" s="49">
        <f t="shared" si="159"/>
        <v>-26.135576588524341</v>
      </c>
      <c r="AR235" s="61">
        <f t="shared" si="160"/>
        <v>173.43593799933461</v>
      </c>
      <c r="AS235" s="58" t="str">
        <f t="shared" si="161"/>
        <v>3.6101784443007+2.40437432568099i</v>
      </c>
      <c r="AT235" s="64">
        <f t="shared" si="162"/>
        <v>12.744904722268185</v>
      </c>
      <c r="AU235" s="61">
        <f t="shared" si="163"/>
        <v>33.663565508846062</v>
      </c>
    </row>
    <row r="236" spans="14:47" x14ac:dyDescent="0.4">
      <c r="N236" s="10">
        <v>18</v>
      </c>
      <c r="O236" s="50">
        <f t="shared" si="164"/>
        <v>1513.5612484362093</v>
      </c>
      <c r="P236" s="48" t="str">
        <f t="shared" si="132"/>
        <v>5120.19230769231</v>
      </c>
      <c r="Q236" s="17" t="str">
        <f t="shared" si="133"/>
        <v>1+44.4408951699781i</v>
      </c>
      <c r="R236" s="17">
        <f t="shared" si="141"/>
        <v>44.452144644651092</v>
      </c>
      <c r="S236" s="17">
        <f t="shared" si="142"/>
        <v>1.5482983264626362</v>
      </c>
      <c r="T236" s="17" t="str">
        <f t="shared" si="134"/>
        <v>1+0.000095004758118931i</v>
      </c>
      <c r="U236" s="17">
        <f t="shared" si="143"/>
        <v>1.000000004512952</v>
      </c>
      <c r="V236" s="17">
        <f t="shared" si="144"/>
        <v>9.500475783309638E-5</v>
      </c>
      <c r="W236" s="31" t="str">
        <f t="shared" si="135"/>
        <v>1-0.154061769922591i</v>
      </c>
      <c r="X236" s="17">
        <f t="shared" si="145"/>
        <v>1.0117979190291317</v>
      </c>
      <c r="Y236" s="17">
        <f t="shared" si="146"/>
        <v>-0.1528599523005694</v>
      </c>
      <c r="Z236" s="31" t="str">
        <f t="shared" si="136"/>
        <v>0.999083652938893+0.93800071862466i</v>
      </c>
      <c r="AA236" s="17">
        <f t="shared" si="147"/>
        <v>1.3704063243104583</v>
      </c>
      <c r="AB236" s="17">
        <f t="shared" si="148"/>
        <v>0.75387516874493188</v>
      </c>
      <c r="AC236" s="66" t="str">
        <f t="shared" si="149"/>
        <v>-65.769735993193-53.9132087361118i</v>
      </c>
      <c r="AD236" s="64">
        <f t="shared" si="150"/>
        <v>38.592759671759907</v>
      </c>
      <c r="AE236" s="61">
        <f t="shared" si="151"/>
        <v>-140.65761173401106</v>
      </c>
      <c r="AF236" s="31" t="str">
        <f t="shared" si="137"/>
        <v>-1.39902068552014E-06</v>
      </c>
      <c r="AG236" s="31" t="str">
        <f t="shared" si="138"/>
        <v>0.000314476210358039i</v>
      </c>
      <c r="AH236" s="31">
        <f t="shared" si="152"/>
        <v>3.1447621035803899E-4</v>
      </c>
      <c r="AI236" s="31">
        <f t="shared" si="153"/>
        <v>1.5707963267948966</v>
      </c>
      <c r="AJ236" s="31" t="str">
        <f t="shared" si="139"/>
        <v>1+0.0227162926749921i</v>
      </c>
      <c r="AK236" s="31">
        <f t="shared" si="154"/>
        <v>1.0002579816991695</v>
      </c>
      <c r="AL236" s="31">
        <f t="shared" si="155"/>
        <v>2.2712386455210291E-2</v>
      </c>
      <c r="AM236" s="31" t="str">
        <f t="shared" si="140"/>
        <v>1+11.0467995025976i</v>
      </c>
      <c r="AN236" s="31">
        <f t="shared" si="156"/>
        <v>11.091969133142706</v>
      </c>
      <c r="AO236" s="31">
        <f t="shared" si="157"/>
        <v>1.4805184301978285</v>
      </c>
      <c r="AP236" s="58" t="str">
        <f t="shared" si="158"/>
        <v>-0.0490179077390853+0.00556223810921537i</v>
      </c>
      <c r="AQ236" s="49">
        <f t="shared" si="159"/>
        <v>-26.137340693024939</v>
      </c>
      <c r="AR236" s="61">
        <f t="shared" si="160"/>
        <v>173.5261336551159</v>
      </c>
      <c r="AS236" s="58" t="str">
        <f t="shared" si="161"/>
        <v>3.52377295516042+2.2768857597704i</v>
      </c>
      <c r="AT236" s="64">
        <f t="shared" si="162"/>
        <v>12.455418978734976</v>
      </c>
      <c r="AU236" s="61">
        <f t="shared" si="163"/>
        <v>32.868521921104744</v>
      </c>
    </row>
    <row r="237" spans="14:47" x14ac:dyDescent="0.4">
      <c r="N237" s="10">
        <v>19</v>
      </c>
      <c r="O237" s="50">
        <f t="shared" si="164"/>
        <v>1548.8166189124822</v>
      </c>
      <c r="P237" s="48" t="str">
        <f t="shared" si="132"/>
        <v>5120.19230769231</v>
      </c>
      <c r="Q237" s="17" t="str">
        <f t="shared" si="133"/>
        <v>1+45.4760565981222i</v>
      </c>
      <c r="R237" s="17">
        <f t="shared" si="141"/>
        <v>45.487050066096984</v>
      </c>
      <c r="S237" s="17">
        <f t="shared" si="142"/>
        <v>1.5488102765346254</v>
      </c>
      <c r="T237" s="17" t="str">
        <f t="shared" si="134"/>
        <v>1+0.0000972177032164301i</v>
      </c>
      <c r="U237" s="17">
        <f t="shared" si="143"/>
        <v>1.0000000047256408</v>
      </c>
      <c r="V237" s="17">
        <f t="shared" si="144"/>
        <v>9.72177029101528E-5</v>
      </c>
      <c r="W237" s="31" t="str">
        <f t="shared" si="135"/>
        <v>1-0.157650329540157i</v>
      </c>
      <c r="X237" s="17">
        <f t="shared" si="145"/>
        <v>1.0123505452184633</v>
      </c>
      <c r="Y237" s="17">
        <f t="shared" si="146"/>
        <v>-0.15636340574816368</v>
      </c>
      <c r="Z237" s="31" t="str">
        <f t="shared" si="136"/>
        <v>0.999040466832392+0.959849562122926i</v>
      </c>
      <c r="AA237" s="17">
        <f t="shared" si="147"/>
        <v>1.3854216095745933</v>
      </c>
      <c r="AB237" s="17">
        <f t="shared" si="148"/>
        <v>0.76539414253077254</v>
      </c>
      <c r="AC237" s="66" t="str">
        <f t="shared" si="149"/>
        <v>-64.4136960962031-51.1497642309098i</v>
      </c>
      <c r="AD237" s="64">
        <f t="shared" si="150"/>
        <v>38.30294931496163</v>
      </c>
      <c r="AE237" s="61">
        <f t="shared" si="151"/>
        <v>-141.5475391985625</v>
      </c>
      <c r="AF237" s="31" t="str">
        <f t="shared" si="137"/>
        <v>-1.39902068552014E-06</v>
      </c>
      <c r="AG237" s="31" t="str">
        <f t="shared" si="138"/>
        <v>0.000321801302298389i</v>
      </c>
      <c r="AH237" s="31">
        <f t="shared" si="152"/>
        <v>3.2180130229838899E-4</v>
      </c>
      <c r="AI237" s="31">
        <f t="shared" si="153"/>
        <v>1.5707963267948966</v>
      </c>
      <c r="AJ237" s="31" t="str">
        <f t="shared" si="139"/>
        <v>1+0.023245423104918i</v>
      </c>
      <c r="AK237" s="31">
        <f t="shared" si="154"/>
        <v>1.0002701383602965</v>
      </c>
      <c r="AL237" s="31">
        <f t="shared" si="155"/>
        <v>2.3241237576059608E-2</v>
      </c>
      <c r="AM237" s="31" t="str">
        <f t="shared" si="140"/>
        <v>1+11.3041125181387i</v>
      </c>
      <c r="AN237" s="31">
        <f t="shared" si="156"/>
        <v>11.348258008290966</v>
      </c>
      <c r="AO237" s="31">
        <f t="shared" si="157"/>
        <v>1.4825626340552143</v>
      </c>
      <c r="AP237" s="58" t="str">
        <f t="shared" si="158"/>
        <v>-0.0490167162799994+0.00548688175420226i</v>
      </c>
      <c r="AQ237" s="49">
        <f t="shared" si="159"/>
        <v>-26.139035280781933</v>
      </c>
      <c r="AR237" s="61">
        <f t="shared" si="160"/>
        <v>173.612956971393</v>
      </c>
      <c r="AS237" s="58" t="str">
        <f t="shared" si="161"/>
        <v>3.43800057418402+2.15376314726438i</v>
      </c>
      <c r="AT237" s="64">
        <f t="shared" si="162"/>
        <v>12.163914034179697</v>
      </c>
      <c r="AU237" s="61">
        <f t="shared" si="163"/>
        <v>32.065417772830472</v>
      </c>
    </row>
    <row r="238" spans="14:47" x14ac:dyDescent="0.4">
      <c r="N238" s="10">
        <v>20</v>
      </c>
      <c r="O238" s="50">
        <f t="shared" si="164"/>
        <v>1584.8931924611156</v>
      </c>
      <c r="P238" s="48" t="str">
        <f t="shared" si="132"/>
        <v>5120.19230769231</v>
      </c>
      <c r="Q238" s="17" t="str">
        <f t="shared" si="133"/>
        <v>1+46.5353300334214i</v>
      </c>
      <c r="R238" s="17">
        <f t="shared" si="141"/>
        <v>46.546073317944362</v>
      </c>
      <c r="S238" s="17">
        <f t="shared" si="142"/>
        <v>1.5493105843385093</v>
      </c>
      <c r="T238" s="17" t="str">
        <f t="shared" si="134"/>
        <v>1+0.0000994821944270032i</v>
      </c>
      <c r="U238" s="17">
        <f t="shared" si="143"/>
        <v>1.0000000049483535</v>
      </c>
      <c r="V238" s="17">
        <f t="shared" si="144"/>
        <v>9.9482194098821157E-5</v>
      </c>
      <c r="W238" s="31" t="str">
        <f t="shared" si="135"/>
        <v>1-0.161322477449194i</v>
      </c>
      <c r="X238" s="17">
        <f t="shared" si="145"/>
        <v>1.012928892731541</v>
      </c>
      <c r="Y238" s="17">
        <f t="shared" si="146"/>
        <v>-0.15994446258263051</v>
      </c>
      <c r="Z238" s="31" t="str">
        <f t="shared" si="136"/>
        <v>0.998995245427396+0.982207330564141i</v>
      </c>
      <c r="AA238" s="17">
        <f t="shared" si="147"/>
        <v>1.4009720698859343</v>
      </c>
      <c r="AB238" s="17">
        <f t="shared" si="148"/>
        <v>0.77692476785335962</v>
      </c>
      <c r="AC238" s="66" t="str">
        <f t="shared" si="149"/>
        <v>-63.0494272290702-48.481166077336i</v>
      </c>
      <c r="AD238" s="64">
        <f t="shared" si="150"/>
        <v>38.011054152537</v>
      </c>
      <c r="AE238" s="61">
        <f t="shared" si="151"/>
        <v>-142.44191058733702</v>
      </c>
      <c r="AF238" s="31" t="str">
        <f t="shared" si="137"/>
        <v>-1.39902068552014E-06</v>
      </c>
      <c r="AG238" s="31" t="str">
        <f t="shared" si="138"/>
        <v>0.000329297017548763i</v>
      </c>
      <c r="AH238" s="31">
        <f t="shared" si="152"/>
        <v>3.29297017548763E-4</v>
      </c>
      <c r="AI238" s="31">
        <f t="shared" si="153"/>
        <v>1.5707963267948966</v>
      </c>
      <c r="AJ238" s="31" t="str">
        <f t="shared" si="139"/>
        <v>1+0.0237868785658638i</v>
      </c>
      <c r="AK238" s="31">
        <f t="shared" si="154"/>
        <v>1.0002828677888604</v>
      </c>
      <c r="AL238" s="31">
        <f t="shared" si="155"/>
        <v>2.3782393759384311E-2</v>
      </c>
      <c r="AM238" s="31" t="str">
        <f t="shared" si="140"/>
        <v>1+11.5674191237645i</v>
      </c>
      <c r="AN238" s="31">
        <f t="shared" si="156"/>
        <v>11.610563517109439</v>
      </c>
      <c r="AO238" s="31">
        <f t="shared" si="157"/>
        <v>1.4845610208153934</v>
      </c>
      <c r="AP238" s="58" t="str">
        <f t="shared" si="158"/>
        <v>-0.0490154687312545+0.00541443200676547i</v>
      </c>
      <c r="AQ238" s="49">
        <f t="shared" si="159"/>
        <v>-26.140663865907342</v>
      </c>
      <c r="AR238" s="61">
        <f t="shared" si="160"/>
        <v>173.6964501332242</v>
      </c>
      <c r="AS238" s="58" t="str">
        <f t="shared" si="161"/>
        <v>3.35289520620444+2.03495024312111i</v>
      </c>
      <c r="AT238" s="64">
        <f t="shared" si="162"/>
        <v>11.870390286629656</v>
      </c>
      <c r="AU238" s="61">
        <f t="shared" si="163"/>
        <v>31.254539545887173</v>
      </c>
    </row>
    <row r="239" spans="14:47" x14ac:dyDescent="0.4">
      <c r="N239" s="10">
        <v>21</v>
      </c>
      <c r="O239" s="50">
        <f t="shared" si="164"/>
        <v>1621.8100973589308</v>
      </c>
      <c r="P239" s="48" t="str">
        <f t="shared" si="132"/>
        <v>5120.19230769231</v>
      </c>
      <c r="Q239" s="17" t="str">
        <f t="shared" si="133"/>
        <v>1+47.6192771166721i</v>
      </c>
      <c r="R239" s="17">
        <f t="shared" si="141"/>
        <v>47.629775908715033</v>
      </c>
      <c r="S239" s="17">
        <f t="shared" si="142"/>
        <v>1.5497995141416854</v>
      </c>
      <c r="T239" s="17" t="str">
        <f t="shared" si="134"/>
        <v>1+0.000101799432413863i</v>
      </c>
      <c r="U239" s="17">
        <f t="shared" si="143"/>
        <v>1.0000000051815621</v>
      </c>
      <c r="V239" s="17">
        <f t="shared" si="144"/>
        <v>1.017994320622096E-4</v>
      </c>
      <c r="W239" s="31" t="str">
        <f t="shared" si="135"/>
        <v>1-0.16508016067113i</v>
      </c>
      <c r="X239" s="17">
        <f t="shared" si="145"/>
        <v>1.0135341432074236</v>
      </c>
      <c r="Y239" s="17">
        <f t="shared" si="146"/>
        <v>-0.16360465395334953</v>
      </c>
      <c r="Z239" s="31" t="str">
        <f t="shared" si="136"/>
        <v>0.998947892803242+1.00508587833307i</v>
      </c>
      <c r="AA239" s="17">
        <f t="shared" si="147"/>
        <v>1.4170725159146218</v>
      </c>
      <c r="AB239" s="17">
        <f t="shared" si="148"/>
        <v>0.78846096923694564</v>
      </c>
      <c r="AC239" s="66" t="str">
        <f t="shared" si="149"/>
        <v>-61.6787332909899-45.9061583979565i</v>
      </c>
      <c r="AD239" s="64">
        <f t="shared" si="150"/>
        <v>37.717080906546116</v>
      </c>
      <c r="AE239" s="61">
        <f t="shared" si="151"/>
        <v>-143.34048060222665</v>
      </c>
      <c r="AF239" s="31" t="str">
        <f t="shared" si="137"/>
        <v>-1.39902068552014E-06</v>
      </c>
      <c r="AG239" s="31" t="str">
        <f t="shared" si="138"/>
        <v>0.000336967330436601i</v>
      </c>
      <c r="AH239" s="31">
        <f t="shared" si="152"/>
        <v>3.3696733043660102E-4</v>
      </c>
      <c r="AI239" s="31">
        <f t="shared" si="153"/>
        <v>1.5707963267948966</v>
      </c>
      <c r="AJ239" s="31" t="str">
        <f t="shared" si="139"/>
        <v>1+0.0243409461446816i</v>
      </c>
      <c r="AK239" s="31">
        <f t="shared" si="154"/>
        <v>1.0002961969632886</v>
      </c>
      <c r="AL239" s="31">
        <f t="shared" si="155"/>
        <v>2.433614066480826E-2</v>
      </c>
      <c r="AM239" s="31" t="str">
        <f t="shared" si="140"/>
        <v>1+11.8368589281225i</v>
      </c>
      <c r="AN239" s="31">
        <f t="shared" si="156"/>
        <v>11.879024761497609</v>
      </c>
      <c r="AO239" s="31">
        <f t="shared" si="157"/>
        <v>1.4865145861688209</v>
      </c>
      <c r="AP239" s="58" t="str">
        <f t="shared" si="158"/>
        <v>-0.0490141624554102+0.00534485026665561i</v>
      </c>
      <c r="AQ239" s="49">
        <f t="shared" si="159"/>
        <v>-26.142229829446361</v>
      </c>
      <c r="AR239" s="61">
        <f t="shared" si="160"/>
        <v>173.77665382237936</v>
      </c>
      <c r="AS239" s="58" t="str">
        <f t="shared" si="161"/>
        <v>3.26849299652295+1.92038831134391i</v>
      </c>
      <c r="AT239" s="64">
        <f t="shared" si="162"/>
        <v>11.574851077099757</v>
      </c>
      <c r="AU239" s="61">
        <f t="shared" si="163"/>
        <v>30.436173220152789</v>
      </c>
    </row>
    <row r="240" spans="14:47" x14ac:dyDescent="0.4">
      <c r="N240" s="10">
        <v>22</v>
      </c>
      <c r="O240" s="50">
        <f t="shared" si="164"/>
        <v>1659.5869074375626</v>
      </c>
      <c r="P240" s="48" t="str">
        <f t="shared" si="132"/>
        <v>5120.19230769231</v>
      </c>
      <c r="Q240" s="17" t="str">
        <f t="shared" si="133"/>
        <v>1+48.728472570966i</v>
      </c>
      <c r="R240" s="17">
        <f t="shared" si="141"/>
        <v>48.738732432218484</v>
      </c>
      <c r="S240" s="17">
        <f t="shared" si="142"/>
        <v>1.5502773242456325</v>
      </c>
      <c r="T240" s="17" t="str">
        <f t="shared" si="134"/>
        <v>1+0.000104170645807265i</v>
      </c>
      <c r="U240" s="17">
        <f t="shared" si="143"/>
        <v>1.0000000054257616</v>
      </c>
      <c r="V240" s="17">
        <f t="shared" si="144"/>
        <v>1.0417064543046161E-4</v>
      </c>
      <c r="W240" s="31" t="str">
        <f t="shared" si="135"/>
        <v>1-0.168925371579349i</v>
      </c>
      <c r="X240" s="17">
        <f t="shared" si="145"/>
        <v>1.0141675311126961</v>
      </c>
      <c r="Y240" s="17">
        <f t="shared" si="146"/>
        <v>-0.16734552805847042</v>
      </c>
      <c r="Z240" s="31" t="str">
        <f t="shared" si="136"/>
        <v>0.998898308518665+1.02849733593858i</v>
      </c>
      <c r="AA240" s="17">
        <f t="shared" si="147"/>
        <v>1.4337379819179676</v>
      </c>
      <c r="AB240" s="17">
        <f t="shared" si="148"/>
        <v>0.79999665816832566</v>
      </c>
      <c r="AC240" s="66" t="str">
        <f t="shared" si="149"/>
        <v>-60.3034128337102-43.4234258070935i</v>
      </c>
      <c r="AD240" s="64">
        <f t="shared" si="150"/>
        <v>37.421039137724463</v>
      </c>
      <c r="AE240" s="61">
        <f t="shared" si="151"/>
        <v>-144.24300383153013</v>
      </c>
      <c r="AF240" s="31" t="str">
        <f t="shared" si="137"/>
        <v>-1.39902068552014E-06</v>
      </c>
      <c r="AG240" s="31" t="str">
        <f t="shared" si="138"/>
        <v>0.000344816307863327i</v>
      </c>
      <c r="AH240" s="31">
        <f t="shared" si="152"/>
        <v>3.4481630786332702E-4</v>
      </c>
      <c r="AI240" s="31">
        <f t="shared" si="153"/>
        <v>1.5707963267948966</v>
      </c>
      <c r="AJ240" s="31" t="str">
        <f t="shared" si="139"/>
        <v>1+0.024907919615336i</v>
      </c>
      <c r="AK240" s="31">
        <f t="shared" si="154"/>
        <v>1.0003101541319892</v>
      </c>
      <c r="AL240" s="31">
        <f t="shared" si="155"/>
        <v>2.4902770537104196E-2</v>
      </c>
      <c r="AM240" s="31" t="str">
        <f t="shared" si="140"/>
        <v>1+12.1125747917637i</v>
      </c>
      <c r="AN240" s="31">
        <f t="shared" si="156"/>
        <v>12.153784105621979</v>
      </c>
      <c r="AO240" s="31">
        <f t="shared" si="157"/>
        <v>1.4884243062436104</v>
      </c>
      <c r="AP240" s="58" t="str">
        <f t="shared" si="158"/>
        <v>-0.0490127946913051+0.00527809944097109i</v>
      </c>
      <c r="AQ240" s="49">
        <f t="shared" si="159"/>
        <v>-26.143736425941331</v>
      </c>
      <c r="AR240" s="61">
        <f t="shared" si="160"/>
        <v>173.85360722248762</v>
      </c>
      <c r="AS240" s="58" t="str">
        <f t="shared" si="161"/>
        <v>3.18483195188112+1.81001604430994i</v>
      </c>
      <c r="AT240" s="64">
        <f t="shared" si="162"/>
        <v>11.277302711783131</v>
      </c>
      <c r="AU240" s="61">
        <f t="shared" si="163"/>
        <v>29.610603390957493</v>
      </c>
    </row>
    <row r="241" spans="14:47" x14ac:dyDescent="0.4">
      <c r="N241" s="10">
        <v>23</v>
      </c>
      <c r="O241" s="50">
        <f t="shared" si="164"/>
        <v>1698.2436524617447</v>
      </c>
      <c r="P241" s="48" t="str">
        <f t="shared" si="132"/>
        <v>5120.19230769231</v>
      </c>
      <c r="Q241" s="17" t="str">
        <f t="shared" si="133"/>
        <v>1+49.8635045064143i</v>
      </c>
      <c r="R241" s="17">
        <f t="shared" si="141"/>
        <v>49.873530872209152</v>
      </c>
      <c r="S241" s="17">
        <f t="shared" si="142"/>
        <v>1.55074426711841</v>
      </c>
      <c r="T241" s="17" t="str">
        <f t="shared" si="134"/>
        <v>1+0.000106597091855935i</v>
      </c>
      <c r="U241" s="17">
        <f t="shared" si="143"/>
        <v>1.00000000568147</v>
      </c>
      <c r="V241" s="17">
        <f t="shared" si="144"/>
        <v>1.0659709145218289E-4</v>
      </c>
      <c r="W241" s="31" t="str">
        <f t="shared" si="135"/>
        <v>1-0.172860148955569i</v>
      </c>
      <c r="X241" s="17">
        <f t="shared" si="145"/>
        <v>1.0148303459677097</v>
      </c>
      <c r="Y241" s="17">
        <f t="shared" si="146"/>
        <v>-0.17116864934518355</v>
      </c>
      <c r="Z241" s="31" t="str">
        <f t="shared" si="136"/>
        <v>0.998846387398749+1.05245411644537i</v>
      </c>
      <c r="AA241" s="17">
        <f t="shared" si="147"/>
        <v>1.4509837259054066</v>
      </c>
      <c r="AB241" s="17">
        <f t="shared" si="148"/>
        <v>0.81152574925772369</v>
      </c>
      <c r="AC241" s="66" t="str">
        <f t="shared" si="149"/>
        <v>-58.9252529051877-41.0315925784542i</v>
      </c>
      <c r="AD241" s="64">
        <f t="shared" si="150"/>
        <v>37.122941264257115</v>
      </c>
      <c r="AE241" s="61">
        <f t="shared" si="151"/>
        <v>-145.14923563763742</v>
      </c>
      <c r="AF241" s="31" t="str">
        <f t="shared" si="137"/>
        <v>-1.39902068552014E-06</v>
      </c>
      <c r="AG241" s="31" t="str">
        <f t="shared" si="138"/>
        <v>0.000352848111460666i</v>
      </c>
      <c r="AH241" s="31">
        <f t="shared" si="152"/>
        <v>3.5284811146066601E-4</v>
      </c>
      <c r="AI241" s="31">
        <f t="shared" si="153"/>
        <v>1.5707963267948966</v>
      </c>
      <c r="AJ241" s="31" t="str">
        <f t="shared" si="139"/>
        <v>1+0.0254880995946655i</v>
      </c>
      <c r="AK241" s="31">
        <f t="shared" si="154"/>
        <v>1.0003247688730632</v>
      </c>
      <c r="AL241" s="31">
        <f t="shared" si="155"/>
        <v>2.548258235467625E-2</v>
      </c>
      <c r="AM241" s="31" t="str">
        <f t="shared" si="140"/>
        <v>1+12.3947129028882i</v>
      </c>
      <c r="AN241" s="31">
        <f t="shared" si="156"/>
        <v>12.434987251502239</v>
      </c>
      <c r="AO241" s="31">
        <f t="shared" si="157"/>
        <v>1.4902911378491657</v>
      </c>
      <c r="AP241" s="58" t="str">
        <f t="shared" si="158"/>
        <v>-0.0490113625482779+0.00521414392354237i</v>
      </c>
      <c r="AQ241" s="49">
        <f t="shared" si="159"/>
        <v>-26.145186789779938</v>
      </c>
      <c r="AR241" s="61">
        <f t="shared" si="160"/>
        <v>173.92734802448885</v>
      </c>
      <c r="AS241" s="58" t="str">
        <f t="shared" si="161"/>
        <v>3.10195156250133+1.70376951041707i</v>
      </c>
      <c r="AT241" s="64">
        <f t="shared" si="162"/>
        <v>10.977754474477168</v>
      </c>
      <c r="AU241" s="61">
        <f t="shared" si="163"/>
        <v>28.778112386851522</v>
      </c>
    </row>
    <row r="242" spans="14:47" x14ac:dyDescent="0.4">
      <c r="N242" s="10">
        <v>24</v>
      </c>
      <c r="O242" s="50">
        <f t="shared" si="164"/>
        <v>1737.8008287493772</v>
      </c>
      <c r="P242" s="48" t="str">
        <f t="shared" si="132"/>
        <v>5120.19230769231</v>
      </c>
      <c r="Q242" s="17" t="str">
        <f t="shared" si="133"/>
        <v>1+51.0249747319737i</v>
      </c>
      <c r="R242" s="17">
        <f t="shared" si="141"/>
        <v>51.03477291414702</v>
      </c>
      <c r="S242" s="17">
        <f t="shared" si="142"/>
        <v>1.551200589524361</v>
      </c>
      <c r="T242" s="17" t="str">
        <f t="shared" si="134"/>
        <v>1+0.000109080057093686i</v>
      </c>
      <c r="U242" s="17">
        <f t="shared" si="143"/>
        <v>1.0000000059492293</v>
      </c>
      <c r="V242" s="17">
        <f t="shared" si="144"/>
        <v>1.0908005666105781E-4</v>
      </c>
      <c r="W242" s="31" t="str">
        <f t="shared" si="135"/>
        <v>1-0.176886579070842i</v>
      </c>
      <c r="X242" s="17">
        <f t="shared" si="145"/>
        <v>1.0155239346541198</v>
      </c>
      <c r="Y242" s="17">
        <f t="shared" si="146"/>
        <v>-0.17507559762111111</v>
      </c>
      <c r="Z242" s="31" t="str">
        <f t="shared" si="136"/>
        <v>0.998792019311839+1.07696892205558i</v>
      </c>
      <c r="AA242" s="17">
        <f t="shared" si="147"/>
        <v>1.468825230214466</v>
      </c>
      <c r="AB242" s="17">
        <f t="shared" si="148"/>
        <v>0.82304217638160437</v>
      </c>
      <c r="AC242" s="66" t="str">
        <f t="shared" si="149"/>
        <v>-57.5460228822267-38.7292224063615i</v>
      </c>
      <c r="AD242" s="64">
        <f t="shared" si="150"/>
        <v>36.822802570528182</v>
      </c>
      <c r="AE242" s="61">
        <f t="shared" si="151"/>
        <v>-146.05893303842345</v>
      </c>
      <c r="AF242" s="31" t="str">
        <f t="shared" si="137"/>
        <v>-1.39902068552014E-06</v>
      </c>
      <c r="AG242" s="31" t="str">
        <f t="shared" si="138"/>
        <v>0.000361066999797198i</v>
      </c>
      <c r="AH242" s="31">
        <f t="shared" si="152"/>
        <v>3.61066999797198E-4</v>
      </c>
      <c r="AI242" s="31">
        <f t="shared" si="153"/>
        <v>1.5707963267948966</v>
      </c>
      <c r="AJ242" s="31" t="str">
        <f t="shared" si="139"/>
        <v>1+0.0260817937017753i</v>
      </c>
      <c r="AK242" s="31">
        <f t="shared" si="154"/>
        <v>1.0003400721568152</v>
      </c>
      <c r="AL242" s="31">
        <f t="shared" si="155"/>
        <v>2.6075881981154962E-2</v>
      </c>
      <c r="AM242" s="31" t="str">
        <f t="shared" si="140"/>
        <v>1+12.6834228548574i</v>
      </c>
      <c r="AN242" s="31">
        <f t="shared" si="156"/>
        <v>12.722783316362777</v>
      </c>
      <c r="AO242" s="31">
        <f t="shared" si="157"/>
        <v>1.4921160187271574</v>
      </c>
      <c r="AP242" s="58" t="str">
        <f t="shared" si="158"/>
        <v>-0.0490098630001305+0.00515294957503725i</v>
      </c>
      <c r="AQ242" s="49">
        <f t="shared" si="159"/>
        <v>-26.146583941334196</v>
      </c>
      <c r="AR242" s="61">
        <f t="shared" si="160"/>
        <v>173.99791243232801</v>
      </c>
      <c r="AS242" s="58" t="str">
        <f t="shared" si="161"/>
        <v>3.01989242780069+1.60158213008131i</v>
      </c>
      <c r="AT242" s="64">
        <f t="shared" si="162"/>
        <v>10.676218629193992</v>
      </c>
      <c r="AU242" s="61">
        <f t="shared" si="163"/>
        <v>27.938979393904592</v>
      </c>
    </row>
    <row r="243" spans="14:47" x14ac:dyDescent="0.4">
      <c r="N243" s="10">
        <v>25</v>
      </c>
      <c r="O243" s="50">
        <f t="shared" si="164"/>
        <v>1778.2794100389244</v>
      </c>
      <c r="P243" s="48" t="str">
        <f t="shared" si="132"/>
        <v>5120.19230769231</v>
      </c>
      <c r="Q243" s="17" t="str">
        <f t="shared" si="133"/>
        <v>1+52.2134990745314i</v>
      </c>
      <c r="R243" s="17">
        <f t="shared" si="141"/>
        <v>52.223074264218596</v>
      </c>
      <c r="S243" s="17">
        <f t="shared" si="142"/>
        <v>1.5516465326510691</v>
      </c>
      <c r="T243" s="17" t="str">
        <f t="shared" si="134"/>
        <v>1+0.000111620858021554i</v>
      </c>
      <c r="U243" s="17">
        <f t="shared" si="143"/>
        <v>1.0000000062296079</v>
      </c>
      <c r="V243" s="17">
        <f t="shared" si="144"/>
        <v>1.1162085755798455E-4</v>
      </c>
      <c r="W243" s="31" t="str">
        <f t="shared" si="135"/>
        <v>1-0.181006796791709i</v>
      </c>
      <c r="X243" s="17">
        <f t="shared" si="145"/>
        <v>1.016249703805514</v>
      </c>
      <c r="Y243" s="17">
        <f t="shared" si="146"/>
        <v>-0.17906796707137376</v>
      </c>
      <c r="Z243" s="31" t="str">
        <f t="shared" si="136"/>
        <v>0.998735088935933+1.10205475084364i</v>
      </c>
      <c r="AA243" s="17">
        <f t="shared" si="147"/>
        <v>1.4872782025327016</v>
      </c>
      <c r="AB243" s="17">
        <f t="shared" si="148"/>
        <v>0.83453990870333661</v>
      </c>
      <c r="AC243" s="66" t="str">
        <f t="shared" si="149"/>
        <v>-56.1674683525632-36.5148187558612i</v>
      </c>
      <c r="AD243" s="64">
        <f t="shared" si="150"/>
        <v>36.52064120589543</v>
      </c>
      <c r="AE243" s="61">
        <f t="shared" si="151"/>
        <v>-146.97185557608216</v>
      </c>
      <c r="AF243" s="31" t="str">
        <f t="shared" si="137"/>
        <v>-1.39902068552014E-06</v>
      </c>
      <c r="AG243" s="31" t="str">
        <f t="shared" si="138"/>
        <v>0.000369477330636309i</v>
      </c>
      <c r="AH243" s="31">
        <f t="shared" si="152"/>
        <v>3.6947733063630902E-4</v>
      </c>
      <c r="AI243" s="31">
        <f t="shared" si="153"/>
        <v>1.5707963267948966</v>
      </c>
      <c r="AJ243" s="31" t="str">
        <f t="shared" si="139"/>
        <v>1+0.0266893167211391i</v>
      </c>
      <c r="AK243" s="31">
        <f t="shared" si="154"/>
        <v>1.0003560964111937</v>
      </c>
      <c r="AL243" s="31">
        <f t="shared" si="155"/>
        <v>2.6682982320145418E-2</v>
      </c>
      <c r="AM243" s="31" t="str">
        <f t="shared" si="140"/>
        <v>1+12.9788577255092i</v>
      </c>
      <c r="AN243" s="31">
        <f t="shared" si="156"/>
        <v>13.01732491178621</v>
      </c>
      <c r="AO243" s="31">
        <f t="shared" si="157"/>
        <v>1.4938998678088569</v>
      </c>
      <c r="AP243" s="58" t="str">
        <f t="shared" si="158"/>
        <v>-0.0490082928788019+0.00509448370377129i</v>
      </c>
      <c r="AQ243" s="49">
        <f t="shared" si="159"/>
        <v>-26.147930792902567</v>
      </c>
      <c r="AR243" s="61">
        <f t="shared" si="160"/>
        <v>174.06533516883255</v>
      </c>
      <c r="AS243" s="58" t="str">
        <f t="shared" si="161"/>
        <v>2.93869588838115+1.50338467979939i</v>
      </c>
      <c r="AT243" s="64">
        <f t="shared" si="162"/>
        <v>10.372710412992859</v>
      </c>
      <c r="AU243" s="61">
        <f t="shared" si="163"/>
        <v>27.093479592750388</v>
      </c>
    </row>
    <row r="244" spans="14:47" x14ac:dyDescent="0.4">
      <c r="N244" s="10">
        <v>26</v>
      </c>
      <c r="O244" s="50">
        <f t="shared" si="164"/>
        <v>1819.7008586099832</v>
      </c>
      <c r="P244" s="48" t="str">
        <f t="shared" si="132"/>
        <v>5120.19230769231</v>
      </c>
      <c r="Q244" s="17" t="str">
        <f t="shared" si="133"/>
        <v>1+53.4297077054253i</v>
      </c>
      <c r="R244" s="17">
        <f t="shared" si="141"/>
        <v>53.43906497579448</v>
      </c>
      <c r="S244" s="17">
        <f t="shared" si="142"/>
        <v>1.5520823322336146</v>
      </c>
      <c r="T244" s="17" t="str">
        <f t="shared" si="134"/>
        <v>1+0.00011422084180582i</v>
      </c>
      <c r="U244" s="17">
        <f t="shared" si="143"/>
        <v>1.0000000065232002</v>
      </c>
      <c r="V244" s="17">
        <f t="shared" si="144"/>
        <v>1.1422084130909638E-4</v>
      </c>
      <c r="W244" s="31" t="str">
        <f t="shared" si="135"/>
        <v>1-0.185222986712141i</v>
      </c>
      <c r="X244" s="17">
        <f t="shared" si="145"/>
        <v>1.0170091222828661</v>
      </c>
      <c r="Y244" s="17">
        <f t="shared" si="146"/>
        <v>-0.18314736517578251</v>
      </c>
      <c r="Z244" s="31" t="str">
        <f t="shared" si="136"/>
        <v>0.99867547551407+1.127724903648i</v>
      </c>
      <c r="AA244" s="17">
        <f t="shared" si="147"/>
        <v>1.5063585773982053</v>
      </c>
      <c r="AB244" s="17">
        <f t="shared" si="148"/>
        <v>0.84601296646919621</v>
      </c>
      <c r="AC244" s="66" t="str">
        <f t="shared" si="149"/>
        <v>-54.7913051057184-34.3868257900433i</v>
      </c>
      <c r="AD244" s="64">
        <f t="shared" si="150"/>
        <v>36.216478173624495</v>
      </c>
      <c r="AE244" s="61">
        <f t="shared" si="151"/>
        <v>-147.88776616720972</v>
      </c>
      <c r="AF244" s="31" t="str">
        <f t="shared" si="137"/>
        <v>-1.39902068552014E-06</v>
      </c>
      <c r="AG244" s="31" t="str">
        <f t="shared" si="138"/>
        <v>0.000378083563246734i</v>
      </c>
      <c r="AH244" s="31">
        <f t="shared" si="152"/>
        <v>3.7808356324673401E-4</v>
      </c>
      <c r="AI244" s="31">
        <f t="shared" si="153"/>
        <v>1.5707963267948966</v>
      </c>
      <c r="AJ244" s="31" t="str">
        <f t="shared" si="139"/>
        <v>1+0.027310990769503i</v>
      </c>
      <c r="AK244" s="31">
        <f t="shared" si="154"/>
        <v>1.000372875590303</v>
      </c>
      <c r="AL244" s="31">
        <f t="shared" si="155"/>
        <v>2.7304203473182114E-2</v>
      </c>
      <c r="AM244" s="31" t="str">
        <f t="shared" si="140"/>
        <v>1+13.2811741583224i</v>
      </c>
      <c r="AN244" s="31">
        <f t="shared" si="156"/>
        <v>13.318768224715479</v>
      </c>
      <c r="AO244" s="31">
        <f t="shared" si="157"/>
        <v>1.4956435854779531</v>
      </c>
      <c r="AP244" s="58" t="str">
        <f t="shared" si="158"/>
        <v>-0.0490066488677577+0.00503871504720862i</v>
      </c>
      <c r="AQ244" s="49">
        <f t="shared" si="159"/>
        <v>-26.149230154460994</v>
      </c>
      <c r="AR244" s="61">
        <f t="shared" si="160"/>
        <v>174.12964948172089</v>
      </c>
      <c r="AS244" s="58" t="str">
        <f t="shared" si="161"/>
        <v>2.85840366685615+1.40910532367702i</v>
      </c>
      <c r="AT244" s="64">
        <f t="shared" si="162"/>
        <v>10.067248019163486</v>
      </c>
      <c r="AU244" s="61">
        <f t="shared" si="163"/>
        <v>26.241883314511128</v>
      </c>
    </row>
    <row r="245" spans="14:47" x14ac:dyDescent="0.4">
      <c r="N245" s="10">
        <v>27</v>
      </c>
      <c r="O245" s="50">
        <f t="shared" si="164"/>
        <v>1862.0871366628687</v>
      </c>
      <c r="P245" s="48" t="str">
        <f t="shared" si="132"/>
        <v>5120.19230769231</v>
      </c>
      <c r="Q245" s="17" t="str">
        <f t="shared" si="133"/>
        <v>1+54.6742454745707i</v>
      </c>
      <c r="R245" s="17">
        <f t="shared" si="141"/>
        <v>54.683389783494718</v>
      </c>
      <c r="S245" s="17">
        <f t="shared" si="142"/>
        <v>1.5525082186761845</v>
      </c>
      <c r="T245" s="17" t="str">
        <f t="shared" si="134"/>
        <v>1+0.000116881386992304i</v>
      </c>
      <c r="U245" s="17">
        <f t="shared" si="143"/>
        <v>1.0000000068306292</v>
      </c>
      <c r="V245" s="17">
        <f t="shared" si="144"/>
        <v>1.1688138646005506E-4</v>
      </c>
      <c r="W245" s="31" t="str">
        <f t="shared" si="135"/>
        <v>1-0.189537384311845i</v>
      </c>
      <c r="X245" s="17">
        <f t="shared" si="145"/>
        <v>1.0178037237364461</v>
      </c>
      <c r="Y245" s="17">
        <f t="shared" si="146"/>
        <v>-0.18731541152036382</v>
      </c>
      <c r="Z245" s="31" t="str">
        <f t="shared" si="136"/>
        <v>0.99861305259819+1.15399299112349i</v>
      </c>
      <c r="AA245" s="17">
        <f t="shared" si="147"/>
        <v>1.526082518208506</v>
      </c>
      <c r="AB245" s="17">
        <f t="shared" si="148"/>
        <v>0.85745543647988154</v>
      </c>
      <c r="AC245" s="66" t="str">
        <f t="shared" si="149"/>
        <v>-53.4192132899523-32.3436298562397i</v>
      </c>
      <c r="AD245" s="64">
        <f t="shared" si="150"/>
        <v>35.910337310205435</v>
      </c>
      <c r="AE245" s="61">
        <f t="shared" si="151"/>
        <v>-148.80643192808921</v>
      </c>
      <c r="AF245" s="31" t="str">
        <f t="shared" si="137"/>
        <v>-1.39902068552014E-06</v>
      </c>
      <c r="AG245" s="31" t="str">
        <f t="shared" si="138"/>
        <v>0.00038689026076692i</v>
      </c>
      <c r="AH245" s="31">
        <f t="shared" si="152"/>
        <v>3.8689026076692002E-4</v>
      </c>
      <c r="AI245" s="31">
        <f t="shared" si="153"/>
        <v>1.5707963267948966</v>
      </c>
      <c r="AJ245" s="31" t="str">
        <f t="shared" si="139"/>
        <v>1+0.0279471454666767i</v>
      </c>
      <c r="AK245" s="31">
        <f t="shared" si="154"/>
        <v>1.0003904452461228</v>
      </c>
      <c r="AL245" s="31">
        <f t="shared" si="155"/>
        <v>2.7939872900933447E-2</v>
      </c>
      <c r="AM245" s="31" t="str">
        <f t="shared" si="140"/>
        <v>1+13.5905324454715i</v>
      </c>
      <c r="AN245" s="31">
        <f t="shared" si="156"/>
        <v>13.627273100345995</v>
      </c>
      <c r="AO245" s="31">
        <f t="shared" si="157"/>
        <v>1.4973480538380095</v>
      </c>
      <c r="AP245" s="58" t="str">
        <f t="shared" si="158"/>
        <v>-0.0490049274950746+0.00498561375413794i</v>
      </c>
      <c r="AQ245" s="49">
        <f t="shared" si="159"/>
        <v>-26.150484739232883</v>
      </c>
      <c r="AR245" s="61">
        <f t="shared" si="160"/>
        <v>174.1908871496901</v>
      </c>
      <c r="AS245" s="58" t="str">
        <f t="shared" si="161"/>
        <v>2.77905751998805+1.31866967151894i</v>
      </c>
      <c r="AT245" s="64">
        <f t="shared" si="162"/>
        <v>9.7598525709725337</v>
      </c>
      <c r="AU245" s="61">
        <f t="shared" si="163"/>
        <v>25.384455221600877</v>
      </c>
    </row>
    <row r="246" spans="14:47" x14ac:dyDescent="0.4">
      <c r="N246" s="10">
        <v>28</v>
      </c>
      <c r="O246" s="50">
        <f t="shared" si="164"/>
        <v>1905.4607179632501</v>
      </c>
      <c r="P246" s="48" t="str">
        <f t="shared" si="132"/>
        <v>5120.19230769231</v>
      </c>
      <c r="Q246" s="17" t="str">
        <f t="shared" si="133"/>
        <v>1+55.9477722523663i</v>
      </c>
      <c r="R246" s="17">
        <f t="shared" si="141"/>
        <v>55.95670844503497</v>
      </c>
      <c r="S246" s="17">
        <f t="shared" si="142"/>
        <v>1.5529244171710777</v>
      </c>
      <c r="T246" s="17" t="str">
        <f t="shared" si="134"/>
        <v>1+0.000119603904237281i</v>
      </c>
      <c r="U246" s="17">
        <f t="shared" si="143"/>
        <v>1.000000007152547</v>
      </c>
      <c r="V246" s="17">
        <f t="shared" si="144"/>
        <v>1.1960390366696598E-4</v>
      </c>
      <c r="W246" s="31" t="str">
        <f t="shared" si="135"/>
        <v>1-0.193952277141537i</v>
      </c>
      <c r="X246" s="17">
        <f t="shared" si="145"/>
        <v>1.0186351092557078</v>
      </c>
      <c r="Y246" s="17">
        <f t="shared" si="146"/>
        <v>-0.19157373649726453</v>
      </c>
      <c r="Z246" s="31" t="str">
        <f t="shared" si="136"/>
        <v>0.99854768778092+1.18087294095778i</v>
      </c>
      <c r="AA246" s="17">
        <f t="shared" si="147"/>
        <v>1.5464664197643927</v>
      </c>
      <c r="AB246" s="17">
        <f t="shared" si="148"/>
        <v>0.86886148714140798</v>
      </c>
      <c r="AC246" s="66" t="str">
        <f t="shared" si="149"/>
        <v>-52.0528317898075-30.3835615064386i</v>
      </c>
      <c r="AD246" s="64">
        <f t="shared" si="150"/>
        <v>35.602245255357914</v>
      </c>
      <c r="AE246" s="61">
        <f t="shared" si="151"/>
        <v>-149.72762496933009</v>
      </c>
      <c r="AF246" s="31" t="str">
        <f t="shared" si="137"/>
        <v>-1.39902068552014E-06</v>
      </c>
      <c r="AG246" s="31" t="str">
        <f t="shared" si="138"/>
        <v>0.000395902092624463i</v>
      </c>
      <c r="AH246" s="31">
        <f t="shared" si="152"/>
        <v>3.9590209262446301E-4</v>
      </c>
      <c r="AI246" s="31">
        <f t="shared" si="153"/>
        <v>1.5707963267948966</v>
      </c>
      <c r="AJ246" s="31" t="str">
        <f t="shared" si="139"/>
        <v>1+0.0285981181103014i</v>
      </c>
      <c r="AK246" s="31">
        <f t="shared" si="154"/>
        <v>1.000408842603588</v>
      </c>
      <c r="AL246" s="31">
        <f t="shared" si="155"/>
        <v>2.8590325587699812E-2</v>
      </c>
      <c r="AM246" s="31" t="str">
        <f t="shared" si="140"/>
        <v>1+13.9070966128154i</v>
      </c>
      <c r="AN246" s="31">
        <f t="shared" si="156"/>
        <v>13.943003126951581</v>
      </c>
      <c r="AO246" s="31">
        <f t="shared" si="157"/>
        <v>1.4990141369837895</v>
      </c>
      <c r="AP246" s="58" t="str">
        <f t="shared" si="158"/>
        <v>-0.0490031251262025+0.00493515136750771i</v>
      </c>
      <c r="AQ246" s="49">
        <f t="shared" si="159"/>
        <v>-26.151697169087385</v>
      </c>
      <c r="AR246" s="61">
        <f t="shared" si="160"/>
        <v>174.2490784885365</v>
      </c>
      <c r="AS246" s="58" t="str">
        <f t="shared" si="161"/>
        <v>2.70069890448736+1.23200086228956i</v>
      </c>
      <c r="AT246" s="64">
        <f t="shared" si="162"/>
        <v>9.4505480862705227</v>
      </c>
      <c r="AU246" s="61">
        <f t="shared" si="163"/>
        <v>24.521453519206368</v>
      </c>
    </row>
    <row r="247" spans="14:47" x14ac:dyDescent="0.4">
      <c r="N247" s="10">
        <v>29</v>
      </c>
      <c r="O247" s="50">
        <f t="shared" si="164"/>
        <v>1949.8445997580463</v>
      </c>
      <c r="P247" s="48" t="str">
        <f t="shared" si="132"/>
        <v>5120.19230769231</v>
      </c>
      <c r="Q247" s="17" t="str">
        <f t="shared" si="133"/>
        <v>1+57.2509632795658i</v>
      </c>
      <c r="R247" s="17">
        <f t="shared" si="141"/>
        <v>57.259696091039388</v>
      </c>
      <c r="S247" s="17">
        <f t="shared" si="142"/>
        <v>1.5533311478151588</v>
      </c>
      <c r="T247" s="17" t="str">
        <f t="shared" si="134"/>
        <v>1+0.000122389837055427i</v>
      </c>
      <c r="U247" s="17">
        <f t="shared" si="143"/>
        <v>1.000000007489636</v>
      </c>
      <c r="V247" s="17">
        <f t="shared" si="144"/>
        <v>1.2238983644432343E-4</v>
      </c>
      <c r="W247" s="31" t="str">
        <f t="shared" si="135"/>
        <v>1-0.198470006035828i</v>
      </c>
      <c r="X247" s="17">
        <f t="shared" si="145"/>
        <v>1.019504950108562</v>
      </c>
      <c r="Y247" s="17">
        <f t="shared" si="146"/>
        <v>-0.1959239798869585</v>
      </c>
      <c r="Z247" s="31" t="str">
        <f t="shared" si="136"/>
        <v>0.998479242414718+1.20837900525605i</v>
      </c>
      <c r="AA247" s="17">
        <f t="shared" si="147"/>
        <v>1.5675269113723918</v>
      </c>
      <c r="AB247" s="17">
        <f t="shared" si="148"/>
        <v>0.88022538300443232</v>
      </c>
      <c r="AC247" s="66" t="str">
        <f t="shared" si="149"/>
        <v>-50.6937528750953-28.5048980213535i</v>
      </c>
      <c r="AD247" s="64">
        <f t="shared" si="150"/>
        <v>35.292231413104915</v>
      </c>
      <c r="AE247" s="61">
        <f t="shared" si="151"/>
        <v>-150.65112315430594</v>
      </c>
      <c r="AF247" s="31" t="str">
        <f t="shared" si="137"/>
        <v>-1.39902068552014E-06</v>
      </c>
      <c r="AG247" s="31" t="str">
        <f t="shared" si="138"/>
        <v>0.000405123837011899i</v>
      </c>
      <c r="AH247" s="31">
        <f t="shared" si="152"/>
        <v>4.0512383701189899E-4</v>
      </c>
      <c r="AI247" s="31">
        <f t="shared" si="153"/>
        <v>1.5707963267948966</v>
      </c>
      <c r="AJ247" s="31" t="str">
        <f t="shared" si="139"/>
        <v>1+0.0292642538546885i</v>
      </c>
      <c r="AK247" s="31">
        <f t="shared" si="154"/>
        <v>1.0004281066391885</v>
      </c>
      <c r="AL247" s="31">
        <f t="shared" si="155"/>
        <v>2.9255904209251008E-2</v>
      </c>
      <c r="AM247" s="31" t="str">
        <f t="shared" si="140"/>
        <v>1+14.2310345068653i</v>
      </c>
      <c r="AN247" s="31">
        <f t="shared" si="156"/>
        <v>14.266125722689775</v>
      </c>
      <c r="AO247" s="31">
        <f t="shared" si="157"/>
        <v>1.5006426812757367</v>
      </c>
      <c r="AP247" s="58" t="str">
        <f t="shared" si="158"/>
        <v>-0.0490012379563955+0.00488730080790571i</v>
      </c>
      <c r="AQ247" s="49">
        <f t="shared" si="159"/>
        <v>-26.15286997977352</v>
      </c>
      <c r="AR247" s="61">
        <f t="shared" si="160"/>
        <v>174.30425235726617</v>
      </c>
      <c r="AS247" s="58" t="str">
        <f t="shared" si="161"/>
        <v>2.62336865866428+1.1490196714849i</v>
      </c>
      <c r="AT247" s="64">
        <f t="shared" si="162"/>
        <v>9.1393614333313753</v>
      </c>
      <c r="AU247" s="61">
        <f t="shared" si="163"/>
        <v>23.653129202960169</v>
      </c>
    </row>
    <row r="248" spans="14:47" x14ac:dyDescent="0.4">
      <c r="N248" s="10">
        <v>30</v>
      </c>
      <c r="O248" s="50">
        <f t="shared" si="164"/>
        <v>1995.2623149688804</v>
      </c>
      <c r="P248" s="48" t="str">
        <f t="shared" si="132"/>
        <v>5120.19230769231</v>
      </c>
      <c r="Q248" s="17" t="str">
        <f t="shared" si="133"/>
        <v>1+58.5845095253025i</v>
      </c>
      <c r="R248" s="17">
        <f t="shared" si="141"/>
        <v>58.593043583007862</v>
      </c>
      <c r="S248" s="17">
        <f t="shared" si="142"/>
        <v>1.5537286257238077</v>
      </c>
      <c r="T248" s="17" t="str">
        <f t="shared" si="134"/>
        <v>1+0.000125240662585202i</v>
      </c>
      <c r="U248" s="17">
        <f t="shared" si="143"/>
        <v>1.0000000078426117</v>
      </c>
      <c r="V248" s="17">
        <f t="shared" si="144"/>
        <v>1.2524066193039273E-4</v>
      </c>
      <c r="W248" s="31" t="str">
        <f t="shared" si="135"/>
        <v>1-0.203092966354382i</v>
      </c>
      <c r="X248" s="17">
        <f t="shared" si="145"/>
        <v>1.020414990571298</v>
      </c>
      <c r="Y248" s="17">
        <f t="shared" si="146"/>
        <v>-0.20036778931653609</v>
      </c>
      <c r="Z248" s="31" t="str">
        <f t="shared" si="136"/>
        <v>0.998407571317786+1.23652576809771i</v>
      </c>
      <c r="AA248" s="17">
        <f t="shared" si="147"/>
        <v>1.5892808605260154</v>
      </c>
      <c r="AB248" s="17">
        <f t="shared" si="148"/>
        <v>0.89154149870683097</v>
      </c>
      <c r="AC248" s="66" t="str">
        <f t="shared" si="149"/>
        <v>-49.3435171678635-26.7058664022991i</v>
      </c>
      <c r="AD248" s="64">
        <f t="shared" si="150"/>
        <v>34.980327904366604</v>
      </c>
      <c r="AE248" s="61">
        <f t="shared" si="151"/>
        <v>-151.5767108161572</v>
      </c>
      <c r="AF248" s="31" t="str">
        <f t="shared" si="137"/>
        <v>-1.39902068552014E-06</v>
      </c>
      <c r="AG248" s="31" t="str">
        <f t="shared" si="138"/>
        <v>0.000414560383420167i</v>
      </c>
      <c r="AH248" s="31">
        <f t="shared" si="152"/>
        <v>4.14560383420167E-4</v>
      </c>
      <c r="AI248" s="31">
        <f t="shared" si="153"/>
        <v>1.5707963267948966</v>
      </c>
      <c r="AJ248" s="31" t="str">
        <f t="shared" si="139"/>
        <v>1+0.0299459058938279i</v>
      </c>
      <c r="AK248" s="31">
        <f t="shared" si="154"/>
        <v>1.0004482781632451</v>
      </c>
      <c r="AL248" s="31">
        <f t="shared" si="155"/>
        <v>2.9936959304049635E-2</v>
      </c>
      <c r="AM248" s="31" t="str">
        <f t="shared" si="140"/>
        <v>1+14.5625178837809i</v>
      </c>
      <c r="AN248" s="31">
        <f t="shared" si="156"/>
        <v>14.596812224435803</v>
      </c>
      <c r="AO248" s="31">
        <f t="shared" si="157"/>
        <v>1.5022345156169661</v>
      </c>
      <c r="AP248" s="58" t="str">
        <f t="shared" si="158"/>
        <v>-0.0489992620028012+0.00484203635766778i</v>
      </c>
      <c r="AQ248" s="49">
        <f t="shared" si="159"/>
        <v>-26.154005625997851</v>
      </c>
      <c r="AR248" s="61">
        <f t="shared" si="160"/>
        <v>174.35643616415476</v>
      </c>
      <c r="AS248" s="58" t="str">
        <f t="shared" si="161"/>
        <v>2.54710670193081+1.06964464071606i</v>
      </c>
      <c r="AT248" s="64">
        <f t="shared" si="162"/>
        <v>8.8263222783687407</v>
      </c>
      <c r="AU248" s="61">
        <f t="shared" si="163"/>
        <v>22.779725347997591</v>
      </c>
    </row>
    <row r="249" spans="14:47" x14ac:dyDescent="0.4">
      <c r="N249" s="10">
        <v>31</v>
      </c>
      <c r="O249" s="50">
        <f t="shared" si="164"/>
        <v>2041.7379446695318</v>
      </c>
      <c r="P249" s="48" t="str">
        <f t="shared" si="132"/>
        <v>5120.19230769231</v>
      </c>
      <c r="Q249" s="17" t="str">
        <f t="shared" si="133"/>
        <v>1+59.9491180534469i</v>
      </c>
      <c r="R249" s="17">
        <f t="shared" si="141"/>
        <v>59.957457879617557</v>
      </c>
      <c r="S249" s="17">
        <f t="shared" si="142"/>
        <v>1.5541170611424078</v>
      </c>
      <c r="T249" s="17" t="str">
        <f t="shared" si="134"/>
        <v>1+0.000128157892372036i</v>
      </c>
      <c r="U249" s="17">
        <f t="shared" si="143"/>
        <v>1.0000000082122227</v>
      </c>
      <c r="V249" s="17">
        <f t="shared" si="144"/>
        <v>1.2815789167039523E-4</v>
      </c>
      <c r="W249" s="31" t="str">
        <f t="shared" si="135"/>
        <v>1-0.207823609251949i</v>
      </c>
      <c r="X249" s="17">
        <f t="shared" si="145"/>
        <v>1.021367050850235</v>
      </c>
      <c r="Y249" s="17">
        <f t="shared" si="146"/>
        <v>-0.20490681858766996</v>
      </c>
      <c r="Z249" s="31" t="str">
        <f t="shared" si="136"/>
        <v>0.998332522466119+1.26532815326896i</v>
      </c>
      <c r="AA249" s="17">
        <f t="shared" si="147"/>
        <v>1.6117453771823267</v>
      </c>
      <c r="AB249" s="17">
        <f t="shared" si="148"/>
        <v>0.90280433224114698</v>
      </c>
      <c r="AC249" s="66" t="str">
        <f t="shared" si="149"/>
        <v>-48.0036089689777-24.984646790394i</v>
      </c>
      <c r="AD249" s="64">
        <f t="shared" si="150"/>
        <v>34.666569511592385</v>
      </c>
      <c r="AE249" s="61">
        <f t="shared" si="151"/>
        <v>-152.5041794285014</v>
      </c>
      <c r="AF249" s="31" t="str">
        <f t="shared" si="137"/>
        <v>-1.39902068552014E-06</v>
      </c>
      <c r="AG249" s="31" t="str">
        <f t="shared" si="138"/>
        <v>0.000424216735231079i</v>
      </c>
      <c r="AH249" s="31">
        <f t="shared" si="152"/>
        <v>4.2421673523107897E-4</v>
      </c>
      <c r="AI249" s="31">
        <f t="shared" si="153"/>
        <v>1.5707963267948966</v>
      </c>
      <c r="AJ249" s="31" t="str">
        <f t="shared" si="139"/>
        <v>1+0.0306434356486529i</v>
      </c>
      <c r="AK249" s="31">
        <f t="shared" si="154"/>
        <v>1.0004693999060408</v>
      </c>
      <c r="AL249" s="31">
        <f t="shared" si="155"/>
        <v>3.0633849447892009E-2</v>
      </c>
      <c r="AM249" s="31" t="str">
        <f t="shared" si="140"/>
        <v>1+14.9017225004361i</v>
      </c>
      <c r="AN249" s="31">
        <f t="shared" si="156"/>
        <v>14.935237978686629</v>
      </c>
      <c r="AO249" s="31">
        <f t="shared" si="157"/>
        <v>1.5037904517321272</v>
      </c>
      <c r="AP249" s="58" t="str">
        <f t="shared" si="158"/>
        <v>-0.0489971930961769+0.00479933364559921i</v>
      </c>
      <c r="AQ249" s="49">
        <f t="shared" si="159"/>
        <v>-26.155106486356765</v>
      </c>
      <c r="AR249" s="61">
        <f t="shared" si="160"/>
        <v>174.40565587271902</v>
      </c>
      <c r="AS249" s="58" t="str">
        <f t="shared" si="161"/>
        <v>2.47195175393092+0.993792227593709i</v>
      </c>
      <c r="AT249" s="64">
        <f t="shared" si="162"/>
        <v>8.511463025235626</v>
      </c>
      <c r="AU249" s="61">
        <f t="shared" si="163"/>
        <v>21.901476444217661</v>
      </c>
    </row>
    <row r="250" spans="14:47" x14ac:dyDescent="0.4">
      <c r="N250" s="10">
        <v>32</v>
      </c>
      <c r="O250" s="50">
        <f t="shared" si="164"/>
        <v>2089.2961308540398</v>
      </c>
      <c r="P250" s="48" t="str">
        <f t="shared" si="132"/>
        <v>5120.19230769231</v>
      </c>
      <c r="Q250" s="17" t="str">
        <f t="shared" si="133"/>
        <v>1+61.3455123975043i</v>
      </c>
      <c r="R250" s="17">
        <f t="shared" si="141"/>
        <v>61.353662411565566</v>
      </c>
      <c r="S250" s="17">
        <f t="shared" si="142"/>
        <v>1.5544966595554279</v>
      </c>
      <c r="T250" s="17" t="str">
        <f t="shared" si="134"/>
        <v>1+0.000131143073169776i</v>
      </c>
      <c r="U250" s="17">
        <f t="shared" si="143"/>
        <v>1.0000000085992529</v>
      </c>
      <c r="V250" s="17">
        <f t="shared" si="144"/>
        <v>1.3114307241795438E-4</v>
      </c>
      <c r="W250" s="31" t="str">
        <f t="shared" si="135"/>
        <v>1-0.212664442978015i</v>
      </c>
      <c r="X250" s="17">
        <f t="shared" si="145"/>
        <v>1.0223630300960365</v>
      </c>
      <c r="Y250" s="17">
        <f t="shared" si="146"/>
        <v>-0.20954272586787639</v>
      </c>
      <c r="Z250" s="31" t="str">
        <f t="shared" si="136"/>
        <v>0.998253936671039+1.29480143217568i</v>
      </c>
      <c r="AA250" s="17">
        <f t="shared" si="147"/>
        <v>1.6349378186473693</v>
      </c>
      <c r="AB250" s="17">
        <f t="shared" si="148"/>
        <v>0.91400851747636225</v>
      </c>
      <c r="AC250" s="66" t="str">
        <f t="shared" si="149"/>
        <v>-46.6754519805132-23.3393762686438i</v>
      </c>
      <c r="AD250" s="64">
        <f t="shared" si="150"/>
        <v>34.350993615996863</v>
      </c>
      <c r="AE250" s="61">
        <f t="shared" si="151"/>
        <v>-153.43332822544986</v>
      </c>
      <c r="AF250" s="31" t="str">
        <f t="shared" si="137"/>
        <v>-1.39902068552014E-06</v>
      </c>
      <c r="AG250" s="31" t="str">
        <f t="shared" si="138"/>
        <v>0.000434098012370183i</v>
      </c>
      <c r="AH250" s="31">
        <f t="shared" si="152"/>
        <v>4.3409801237018301E-4</v>
      </c>
      <c r="AI250" s="31">
        <f t="shared" si="153"/>
        <v>1.5707963267948966</v>
      </c>
      <c r="AJ250" s="31" t="str">
        <f t="shared" si="139"/>
        <v>1+0.0313572129586729i</v>
      </c>
      <c r="AK250" s="31">
        <f t="shared" si="154"/>
        <v>1.0004915166079797</v>
      </c>
      <c r="AL250" s="31">
        <f t="shared" si="155"/>
        <v>3.134694143201805E-2</v>
      </c>
      <c r="AM250" s="31" t="str">
        <f t="shared" si="140"/>
        <v>1+15.2488282076088i</v>
      </c>
      <c r="AN250" s="31">
        <f t="shared" si="156"/>
        <v>15.281582434589877</v>
      </c>
      <c r="AO250" s="31">
        <f t="shared" si="157"/>
        <v>1.5053112844476086</v>
      </c>
      <c r="AP250" s="58" t="str">
        <f t="shared" si="158"/>
        <v>-0.0489950268722363+0.00475916963229389i</v>
      </c>
      <c r="AQ250" s="49">
        <f t="shared" si="159"/>
        <v>-26.156174868128211</v>
      </c>
      <c r="AR250" s="61">
        <f t="shared" si="160"/>
        <v>174.4519360075665</v>
      </c>
      <c r="AS250" s="58" t="str">
        <f t="shared" si="161"/>
        <v>2.39794107483343+0.921376973824187i</v>
      </c>
      <c r="AT250" s="64">
        <f t="shared" si="162"/>
        <v>8.1948187478686556</v>
      </c>
      <c r="AU250" s="61">
        <f t="shared" si="163"/>
        <v>21.01860778211665</v>
      </c>
    </row>
    <row r="251" spans="14:47" x14ac:dyDescent="0.4">
      <c r="N251" s="10">
        <v>33</v>
      </c>
      <c r="O251" s="50">
        <f t="shared" si="164"/>
        <v>2137.9620895022344</v>
      </c>
      <c r="P251" s="48" t="str">
        <f t="shared" si="132"/>
        <v>5120.19230769231</v>
      </c>
      <c r="Q251" s="17" t="str">
        <f t="shared" si="133"/>
        <v>1+62.7744329442381i</v>
      </c>
      <c r="R251" s="17">
        <f t="shared" si="141"/>
        <v>62.782397465138637</v>
      </c>
      <c r="S251" s="17">
        <f t="shared" si="142"/>
        <v>1.5548676217931336</v>
      </c>
      <c r="T251" s="17" t="str">
        <f t="shared" si="134"/>
        <v>1+0.000134197787760793i</v>
      </c>
      <c r="U251" s="17">
        <f t="shared" si="143"/>
        <v>1.0000000090045231</v>
      </c>
      <c r="V251" s="17">
        <f t="shared" si="144"/>
        <v>1.3419778695520162E-4</v>
      </c>
      <c r="W251" s="31" t="str">
        <f t="shared" si="135"/>
        <v>1-0.217618034206692i</v>
      </c>
      <c r="X251" s="17">
        <f t="shared" si="145"/>
        <v>1.0234049095113746</v>
      </c>
      <c r="Y251" s="17">
        <f t="shared" si="146"/>
        <v>-0.21427717173849298</v>
      </c>
      <c r="Z251" s="31" t="str">
        <f t="shared" si="136"/>
        <v>0.998171647241541+1.32496123194046i</v>
      </c>
      <c r="AA251" s="17">
        <f t="shared" si="147"/>
        <v>1.6588757950799309</v>
      </c>
      <c r="AB251" s="17">
        <f t="shared" si="148"/>
        <v>0.92514883587136265</v>
      </c>
      <c r="AC251" s="66" t="str">
        <f t="shared" si="149"/>
        <v>-45.3604054543935-21.7681529993694i</v>
      </c>
      <c r="AD251" s="64">
        <f t="shared" si="150"/>
        <v>34.033640128018703</v>
      </c>
      <c r="AE251" s="61">
        <f t="shared" si="151"/>
        <v>-154.36396476696339</v>
      </c>
      <c r="AF251" s="31" t="str">
        <f t="shared" si="137"/>
        <v>-1.39902068552014E-06</v>
      </c>
      <c r="AG251" s="31" t="str">
        <f t="shared" si="138"/>
        <v>0.000444209454021413i</v>
      </c>
      <c r="AH251" s="31">
        <f t="shared" si="152"/>
        <v>4.4420945402141301E-4</v>
      </c>
      <c r="AI251" s="31">
        <f t="shared" si="153"/>
        <v>1.5707963267948966</v>
      </c>
      <c r="AJ251" s="31" t="str">
        <f t="shared" si="139"/>
        <v>1+0.0320876162780652i</v>
      </c>
      <c r="AK251" s="31">
        <f t="shared" si="154"/>
        <v>1.0005146751139677</v>
      </c>
      <c r="AL251" s="31">
        <f t="shared" si="155"/>
        <v>3.2076610444717824E-2</v>
      </c>
      <c r="AM251" s="31" t="str">
        <f t="shared" si="140"/>
        <v>1+15.6040190453391i</v>
      </c>
      <c r="AN251" s="31">
        <f t="shared" si="156"/>
        <v>15.63602923914206</v>
      </c>
      <c r="AO251" s="31">
        <f t="shared" si="157"/>
        <v>1.5067977919725408</v>
      </c>
      <c r="AP251" s="58" t="str">
        <f t="shared" si="158"/>
        <v>-0.0489927587625926+0.00472152259603464i</v>
      </c>
      <c r="AQ251" s="49">
        <f t="shared" si="159"/>
        <v>-26.157213011933919</v>
      </c>
      <c r="AR251" s="61">
        <f t="shared" si="160"/>
        <v>174.49529966009041</v>
      </c>
      <c r="AS251" s="58" t="str">
        <f t="shared" si="161"/>
        <v>2.32511022806095+0.8523116892871i</v>
      </c>
      <c r="AT251" s="64">
        <f t="shared" si="162"/>
        <v>7.8764271160847841</v>
      </c>
      <c r="AU251" s="61">
        <f t="shared" si="163"/>
        <v>20.131334893127033</v>
      </c>
    </row>
    <row r="252" spans="14:47" x14ac:dyDescent="0.4">
      <c r="N252" s="10">
        <v>34</v>
      </c>
      <c r="O252" s="50">
        <f t="shared" si="164"/>
        <v>2187.7616239495528</v>
      </c>
      <c r="P252" s="48" t="str">
        <f t="shared" si="132"/>
        <v>5120.19230769231</v>
      </c>
      <c r="Q252" s="17" t="str">
        <f t="shared" si="133"/>
        <v>1+64.236637326237i</v>
      </c>
      <c r="R252" s="17">
        <f t="shared" si="141"/>
        <v>64.244420574727769</v>
      </c>
      <c r="S252" s="17">
        <f t="shared" si="142"/>
        <v>1.5552301441359861</v>
      </c>
      <c r="T252" s="17" t="str">
        <f t="shared" si="134"/>
        <v>1+0.0001373236557952i</v>
      </c>
      <c r="U252" s="17">
        <f t="shared" si="143"/>
        <v>1.0000000094288932</v>
      </c>
      <c r="V252" s="17">
        <f t="shared" si="144"/>
        <v>1.3732365493199328E-4</v>
      </c>
      <c r="W252" s="31" t="str">
        <f t="shared" si="135"/>
        <v>1-0.222687009397621i</v>
      </c>
      <c r="X252" s="17">
        <f t="shared" si="145"/>
        <v>1.0244947555524411</v>
      </c>
      <c r="Y252" s="17">
        <f t="shared" si="146"/>
        <v>-0.2191118170928881</v>
      </c>
      <c r="Z252" s="31" t="str">
        <f t="shared" si="136"/>
        <v>0.998085479630709+1.35582354368835i</v>
      </c>
      <c r="AA252" s="17">
        <f t="shared" si="147"/>
        <v>1.6835771756202023</v>
      </c>
      <c r="AB252" s="17">
        <f t="shared" si="148"/>
        <v>0.93622022732647225</v>
      </c>
      <c r="AC252" s="66" t="str">
        <f t="shared" si="149"/>
        <v>-44.0597607916444-20.2690406470613i</v>
      </c>
      <c r="AD252" s="64">
        <f t="shared" si="150"/>
        <v>33.714551411650802</v>
      </c>
      <c r="AE252" s="61">
        <f t="shared" si="151"/>
        <v>-155.29590544611011</v>
      </c>
      <c r="AF252" s="31" t="str">
        <f t="shared" si="137"/>
        <v>-1.39902068552014E-06</v>
      </c>
      <c r="AG252" s="31" t="str">
        <f t="shared" si="138"/>
        <v>0.000454556421404971i</v>
      </c>
      <c r="AH252" s="31">
        <f t="shared" si="152"/>
        <v>4.5455642140497098E-4</v>
      </c>
      <c r="AI252" s="31">
        <f t="shared" si="153"/>
        <v>1.5707963267948966</v>
      </c>
      <c r="AJ252" s="31" t="str">
        <f t="shared" si="139"/>
        <v>1+0.032835032876338i</v>
      </c>
      <c r="AK252" s="31">
        <f t="shared" si="154"/>
        <v>1.0005389244722018</v>
      </c>
      <c r="AL252" s="31">
        <f t="shared" si="155"/>
        <v>3.2823240256478453E-2</v>
      </c>
      <c r="AM252" s="31" t="str">
        <f t="shared" si="140"/>
        <v>1+15.9674833405109i</v>
      </c>
      <c r="AN252" s="31">
        <f t="shared" si="156"/>
        <v>15.998766334611339</v>
      </c>
      <c r="AO252" s="31">
        <f t="shared" si="157"/>
        <v>1.5082507361801445</v>
      </c>
      <c r="AP252" s="58" t="str">
        <f t="shared" si="158"/>
        <v>-0.0489903839852957+0.00468637211925908i</v>
      </c>
      <c r="AQ252" s="49">
        <f t="shared" si="159"/>
        <v>-26.158223096277474</v>
      </c>
      <c r="AR252" s="61">
        <f t="shared" si="160"/>
        <v>174.53576849398152</v>
      </c>
      <c r="AS252" s="58" t="str">
        <f t="shared" si="161"/>
        <v>2.25349286645545+0.786507649757913i</v>
      </c>
      <c r="AT252" s="64">
        <f t="shared" si="162"/>
        <v>7.5563283153733281</v>
      </c>
      <c r="AU252" s="61">
        <f t="shared" si="163"/>
        <v>19.239863047871431</v>
      </c>
    </row>
    <row r="253" spans="14:47" x14ac:dyDescent="0.4">
      <c r="N253" s="10">
        <v>35</v>
      </c>
      <c r="O253" s="50">
        <f t="shared" si="164"/>
        <v>2238.7211385683418</v>
      </c>
      <c r="P253" s="48" t="str">
        <f t="shared" si="132"/>
        <v>5120.19230769231</v>
      </c>
      <c r="Q253" s="17" t="str">
        <f t="shared" si="133"/>
        <v>1+65.7329008236188i</v>
      </c>
      <c r="R253" s="17">
        <f t="shared" si="141"/>
        <v>65.740506924480783</v>
      </c>
      <c r="S253" s="17">
        <f t="shared" si="142"/>
        <v>1.5555844184167624</v>
      </c>
      <c r="T253" s="17" t="str">
        <f t="shared" si="134"/>
        <v>1+0.000140522334649603i</v>
      </c>
      <c r="U253" s="17">
        <f t="shared" si="143"/>
        <v>1.0000000098732633</v>
      </c>
      <c r="V253" s="17">
        <f t="shared" si="144"/>
        <v>1.4052233372466034E-4</v>
      </c>
      <c r="W253" s="31" t="str">
        <f t="shared" si="135"/>
        <v>1-0.227874056188545i</v>
      </c>
      <c r="X253" s="17">
        <f t="shared" si="145"/>
        <v>1.0256347232245115</v>
      </c>
      <c r="Y253" s="17">
        <f t="shared" si="146"/>
        <v>-0.2240483208782916</v>
      </c>
      <c r="Z253" s="31" t="str">
        <f t="shared" si="136"/>
        <v>0.997995251065491+1.38740473102555i</v>
      </c>
      <c r="AA253" s="17">
        <f t="shared" si="147"/>
        <v>1.7090600951462624</v>
      </c>
      <c r="AB253" s="17">
        <f t="shared" si="148"/>
        <v>0.94721780012828627</v>
      </c>
      <c r="AC253" s="66" t="str">
        <f t="shared" si="149"/>
        <v>-42.7747386104763-18.8400730352725i</v>
      </c>
      <c r="AD253" s="64">
        <f t="shared" si="150"/>
        <v>33.393772203322399</v>
      </c>
      <c r="AE253" s="61">
        <f t="shared" si="151"/>
        <v>-156.22897593527949</v>
      </c>
      <c r="AF253" s="31" t="str">
        <f t="shared" si="137"/>
        <v>-1.39902068552014E-06</v>
      </c>
      <c r="AG253" s="31" t="str">
        <f t="shared" si="138"/>
        <v>0.000465144400619925i</v>
      </c>
      <c r="AH253" s="31">
        <f t="shared" si="152"/>
        <v>4.65144400619925E-4</v>
      </c>
      <c r="AI253" s="31">
        <f t="shared" si="153"/>
        <v>1.5707963267948966</v>
      </c>
      <c r="AJ253" s="31" t="str">
        <f t="shared" si="139"/>
        <v>1+0.0335998590436649i</v>
      </c>
      <c r="AK253" s="31">
        <f t="shared" si="154"/>
        <v>1.0005643160375819</v>
      </c>
      <c r="AL253" s="31">
        <f t="shared" si="155"/>
        <v>3.3587223408698685E-2</v>
      </c>
      <c r="AM253" s="31" t="str">
        <f t="shared" si="140"/>
        <v>1+16.3394138067046i</v>
      </c>
      <c r="AN253" s="31">
        <f t="shared" si="156"/>
        <v>16.369986058232577</v>
      </c>
      <c r="AO253" s="31">
        <f t="shared" si="157"/>
        <v>1.5096708628889661</v>
      </c>
      <c r="AP253" s="58" t="str">
        <f t="shared" si="158"/>
        <v>-0.0489878975349317+0.0046536990755735i</v>
      </c>
      <c r="AQ253" s="49">
        <f t="shared" si="159"/>
        <v>-26.159207241968495</v>
      </c>
      <c r="AR253" s="61">
        <f t="shared" si="160"/>
        <v>174.5733627505295</v>
      </c>
      <c r="AS253" s="58" t="str">
        <f t="shared" si="161"/>
        <v>2.18312054260148+0.723874805873087i</v>
      </c>
      <c r="AT253" s="64">
        <f t="shared" si="162"/>
        <v>7.2345649613538852</v>
      </c>
      <c r="AU253" s="61">
        <f t="shared" si="163"/>
        <v>18.344386815250026</v>
      </c>
    </row>
    <row r="254" spans="14:47" x14ac:dyDescent="0.4">
      <c r="N254" s="10">
        <v>36</v>
      </c>
      <c r="O254" s="50">
        <f t="shared" si="164"/>
        <v>2290.8676527677749</v>
      </c>
      <c r="P254" s="48" t="str">
        <f t="shared" si="132"/>
        <v>5120.19230769231</v>
      </c>
      <c r="Q254" s="17" t="str">
        <f t="shared" si="133"/>
        <v>1+67.2640167750949i</v>
      </c>
      <c r="R254" s="17">
        <f t="shared" si="141"/>
        <v>67.271449759316539</v>
      </c>
      <c r="S254" s="17">
        <f t="shared" si="142"/>
        <v>1.5559306321204511</v>
      </c>
      <c r="T254" s="17" t="str">
        <f t="shared" si="134"/>
        <v>1+0.00014379552030587i</v>
      </c>
      <c r="U254" s="17">
        <f t="shared" si="143"/>
        <v>1.0000000103385758</v>
      </c>
      <c r="V254" s="17">
        <f t="shared" si="144"/>
        <v>1.4379551931477608E-4</v>
      </c>
      <c r="W254" s="31" t="str">
        <f t="shared" si="135"/>
        <v>1-0.233181924820329i</v>
      </c>
      <c r="X254" s="17">
        <f t="shared" si="145"/>
        <v>1.0268270594715128</v>
      </c>
      <c r="Y254" s="17">
        <f t="shared" si="146"/>
        <v>-0.22908833767477976</v>
      </c>
      <c r="Z254" s="31" t="str">
        <f t="shared" si="136"/>
        <v>0.997900770159001+1.4197215387156i</v>
      </c>
      <c r="AA254" s="17">
        <f t="shared" si="147"/>
        <v>1.7353429616582763</v>
      </c>
      <c r="AB254" s="17">
        <f t="shared" si="148"/>
        <v>0.95813683995242405</v>
      </c>
      <c r="AC254" s="66" t="str">
        <f t="shared" si="149"/>
        <v>-41.5064862951946-17.4792589854345i</v>
      </c>
      <c r="AD254" s="64">
        <f t="shared" si="150"/>
        <v>33.071349526025415</v>
      </c>
      <c r="AE254" s="61">
        <f t="shared" si="151"/>
        <v>-157.1630115689627</v>
      </c>
      <c r="AF254" s="31" t="str">
        <f t="shared" si="137"/>
        <v>-1.39902068552014E-06</v>
      </c>
      <c r="AG254" s="31" t="str">
        <f t="shared" si="138"/>
        <v>0.000475979005553001i</v>
      </c>
      <c r="AH254" s="31">
        <f t="shared" si="152"/>
        <v>4.75979005553001E-4</v>
      </c>
      <c r="AI254" s="31">
        <f t="shared" si="153"/>
        <v>1.5707963267948966</v>
      </c>
      <c r="AJ254" s="31" t="str">
        <f t="shared" si="139"/>
        <v>1+0.0343825003010034i</v>
      </c>
      <c r="AK254" s="31">
        <f t="shared" si="154"/>
        <v>1.0005909035799538</v>
      </c>
      <c r="AL254" s="31">
        <f t="shared" si="155"/>
        <v>3.4368961406005288E-2</v>
      </c>
      <c r="AM254" s="31" t="str">
        <f t="shared" si="140"/>
        <v>1+16.7200076463762i</v>
      </c>
      <c r="AN254" s="31">
        <f t="shared" si="156"/>
        <v>16.749885244230139</v>
      </c>
      <c r="AO254" s="31">
        <f t="shared" si="157"/>
        <v>1.5110589021436152</v>
      </c>
      <c r="AP254" s="58" t="str">
        <f t="shared" si="158"/>
        <v>-0.0489852941722741+0.00462348561729886i</v>
      </c>
      <c r="AQ254" s="49">
        <f t="shared" si="159"/>
        <v>-26.160167516439195</v>
      </c>
      <c r="AR254" s="61">
        <f t="shared" si="160"/>
        <v>174.60810125368869</v>
      </c>
      <c r="AS254" s="58" t="str">
        <f t="shared" si="161"/>
        <v>2.11402254374777+0.66432200090443i</v>
      </c>
      <c r="AT254" s="64">
        <f t="shared" si="162"/>
        <v>6.9111820095862209</v>
      </c>
      <c r="AU254" s="61">
        <f t="shared" si="163"/>
        <v>17.445089684725989</v>
      </c>
    </row>
    <row r="255" spans="14:47" x14ac:dyDescent="0.4">
      <c r="N255" s="10">
        <v>37</v>
      </c>
      <c r="O255" s="50">
        <f t="shared" si="164"/>
        <v>2344.2288153199238</v>
      </c>
      <c r="P255" s="48" t="str">
        <f t="shared" si="132"/>
        <v>5120.19230769231</v>
      </c>
      <c r="Q255" s="17" t="str">
        <f t="shared" si="133"/>
        <v>1+68.8307969986097i</v>
      </c>
      <c r="R255" s="17">
        <f t="shared" si="141"/>
        <v>68.838060805515283</v>
      </c>
      <c r="S255" s="17">
        <f t="shared" si="142"/>
        <v>1.5562689684819617</v>
      </c>
      <c r="T255" s="17" t="str">
        <f t="shared" si="134"/>
        <v>1+0.000147144948250361i</v>
      </c>
      <c r="U255" s="17">
        <f t="shared" si="143"/>
        <v>1.0000000108258178</v>
      </c>
      <c r="V255" s="17">
        <f t="shared" si="144"/>
        <v>1.4714494718838473E-4</v>
      </c>
      <c r="W255" s="31" t="str">
        <f t="shared" si="135"/>
        <v>1-0.23861342959518i</v>
      </c>
      <c r="X255" s="17">
        <f t="shared" si="145"/>
        <v>1.02807410665923</v>
      </c>
      <c r="Y255" s="17">
        <f t="shared" si="146"/>
        <v>-0.2342335151049991</v>
      </c>
      <c r="Z255" s="31" t="str">
        <f t="shared" si="136"/>
        <v>0.997801836504569+1.45279110155773i</v>
      </c>
      <c r="AA255" s="17">
        <f t="shared" si="147"/>
        <v>1.7624444642873753</v>
      </c>
      <c r="AB255" s="17">
        <f t="shared" si="148"/>
        <v>0.96897281789809431</v>
      </c>
      <c r="AC255" s="66" t="str">
        <f t="shared" si="149"/>
        <v>-40.2560760318501-16.184587285597i</v>
      </c>
      <c r="AD255" s="64">
        <f t="shared" si="150"/>
        <v>32.747332599386517</v>
      </c>
      <c r="AE255" s="61">
        <f t="shared" si="151"/>
        <v>-158.09785766123338</v>
      </c>
      <c r="AF255" s="31" t="str">
        <f t="shared" si="137"/>
        <v>-1.39902068552014E-06</v>
      </c>
      <c r="AG255" s="31" t="str">
        <f t="shared" si="138"/>
        <v>0.000487065980855148i</v>
      </c>
      <c r="AH255" s="31">
        <f t="shared" si="152"/>
        <v>4.8706598085514798E-4</v>
      </c>
      <c r="AI255" s="31">
        <f t="shared" si="153"/>
        <v>1.5707963267948966</v>
      </c>
      <c r="AJ255" s="31" t="str">
        <f t="shared" si="139"/>
        <v>1+0.0351833716151077i</v>
      </c>
      <c r="AK255" s="31">
        <f t="shared" si="154"/>
        <v>1.0006187433974074</v>
      </c>
      <c r="AL255" s="31">
        <f t="shared" si="155"/>
        <v>3.516886491219795E-2</v>
      </c>
      <c r="AM255" s="31" t="str">
        <f t="shared" si="140"/>
        <v>1+17.1094666554174i</v>
      </c>
      <c r="AN255" s="31">
        <f t="shared" si="156"/>
        <v>17.138665328223194</v>
      </c>
      <c r="AO255" s="31">
        <f t="shared" si="157"/>
        <v>1.5124155684946334</v>
      </c>
      <c r="AP255" s="58" t="str">
        <f t="shared" si="158"/>
        <v>-0.0489825684134669+0.00459571516353087i</v>
      </c>
      <c r="AQ255" s="49">
        <f t="shared" si="159"/>
        <v>-26.161105937961015</v>
      </c>
      <c r="AR255" s="61">
        <f t="shared" si="160"/>
        <v>174.64000141488691</v>
      </c>
      <c r="AS255" s="58" t="str">
        <f t="shared" si="161"/>
        <v>2.04622575149173+0.607757194916656i</v>
      </c>
      <c r="AT255" s="64">
        <f t="shared" si="162"/>
        <v>6.5862266614255072</v>
      </c>
      <c r="AU255" s="61">
        <f t="shared" si="163"/>
        <v>16.542143753653505</v>
      </c>
    </row>
    <row r="256" spans="14:47" x14ac:dyDescent="0.4">
      <c r="N256" s="10">
        <v>38</v>
      </c>
      <c r="O256" s="50">
        <f t="shared" si="164"/>
        <v>2398.8329190194918</v>
      </c>
      <c r="P256" s="48" t="str">
        <f t="shared" si="132"/>
        <v>5120.19230769231</v>
      </c>
      <c r="Q256" s="17" t="str">
        <f t="shared" si="133"/>
        <v>1+70.4340722217763i</v>
      </c>
      <c r="R256" s="17">
        <f t="shared" si="141"/>
        <v>70.44117070110633</v>
      </c>
      <c r="S256" s="17">
        <f t="shared" si="142"/>
        <v>1.5565996065816947</v>
      </c>
      <c r="T256" s="17" t="str">
        <f t="shared" si="134"/>
        <v>1+0.000150572394394109i</v>
      </c>
      <c r="U256" s="17">
        <f t="shared" si="143"/>
        <v>1.000000011336023</v>
      </c>
      <c r="V256" s="17">
        <f t="shared" si="144"/>
        <v>1.5057239325618092E-4</v>
      </c>
      <c r="W256" s="31" t="str">
        <f t="shared" si="135"/>
        <v>1-0.244171450368824i</v>
      </c>
      <c r="X256" s="17">
        <f t="shared" si="145"/>
        <v>1.0293783061514434</v>
      </c>
      <c r="Y256" s="17">
        <f t="shared" si="146"/>
        <v>-0.23948549106834657</v>
      </c>
      <c r="Z256" s="31" t="str">
        <f t="shared" si="136"/>
        <v>0.997698240250651+1.48663095347186i</v>
      </c>
      <c r="AA256" s="17">
        <f t="shared" si="147"/>
        <v>1.79038358192313</v>
      </c>
      <c r="AB256" s="17">
        <f t="shared" si="148"/>
        <v>0.97972139753752463</v>
      </c>
      <c r="AC256" s="66" t="str">
        <f t="shared" si="149"/>
        <v>-39.0245033306475-14.9540317379349i</v>
      </c>
      <c r="AD256" s="64">
        <f t="shared" si="150"/>
        <v>32.42177274638297</v>
      </c>
      <c r="AE256" s="61">
        <f t="shared" si="151"/>
        <v>-159.03336975660372</v>
      </c>
      <c r="AF256" s="31" t="str">
        <f t="shared" si="137"/>
        <v>-1.39902068552014E-06</v>
      </c>
      <c r="AG256" s="31" t="str">
        <f t="shared" si="138"/>
        <v>0.000498411204987425i</v>
      </c>
      <c r="AH256" s="31">
        <f t="shared" si="152"/>
        <v>4.9841120498742497E-4</v>
      </c>
      <c r="AI256" s="31">
        <f t="shared" si="153"/>
        <v>1.5707963267948966</v>
      </c>
      <c r="AJ256" s="31" t="str">
        <f t="shared" si="139"/>
        <v>1+0.0360028976185492i</v>
      </c>
      <c r="AK256" s="31">
        <f t="shared" si="154"/>
        <v>1.0006478944348665</v>
      </c>
      <c r="AL256" s="31">
        <f t="shared" si="155"/>
        <v>3.598735394984625E-2</v>
      </c>
      <c r="AM256" s="31" t="str">
        <f t="shared" si="140"/>
        <v>1+17.5079973301498i</v>
      </c>
      <c r="AN256" s="31">
        <f t="shared" si="156"/>
        <v>17.536532454066638</v>
      </c>
      <c r="AO256" s="31">
        <f t="shared" si="157"/>
        <v>1.5137415612771565</v>
      </c>
      <c r="AP256" s="58" t="str">
        <f t="shared" si="158"/>
        <v>-0.0489797145187135+0.00457037238869645i</v>
      </c>
      <c r="AQ256" s="49">
        <f t="shared" si="159"/>
        <v>-26.16202447976983</v>
      </c>
      <c r="AR256" s="61">
        <f t="shared" si="160"/>
        <v>174.66907923755531</v>
      </c>
      <c r="AS256" s="58" t="str">
        <f t="shared" si="161"/>
        <v>1.97975452612445+0.554087692922849i</v>
      </c>
      <c r="AT256" s="64">
        <f t="shared" si="162"/>
        <v>6.2597482666131512</v>
      </c>
      <c r="AU256" s="61">
        <f t="shared" si="163"/>
        <v>15.63570948095156</v>
      </c>
    </row>
    <row r="257" spans="14:47" x14ac:dyDescent="0.4">
      <c r="N257" s="10">
        <v>39</v>
      </c>
      <c r="O257" s="50">
        <f t="shared" si="164"/>
        <v>2454.7089156850338</v>
      </c>
      <c r="P257" s="48" t="str">
        <f t="shared" si="132"/>
        <v>5120.19230769231</v>
      </c>
      <c r="Q257" s="17" t="str">
        <f t="shared" si="133"/>
        <v>1+72.0746925223401i</v>
      </c>
      <c r="R257" s="17">
        <f t="shared" si="141"/>
        <v>72.081629436284715</v>
      </c>
      <c r="S257" s="17">
        <f t="shared" si="142"/>
        <v>1.5569227214390142</v>
      </c>
      <c r="T257" s="17" t="str">
        <f t="shared" si="134"/>
        <v>1+0.000154079676014425i</v>
      </c>
      <c r="U257" s="17">
        <f t="shared" si="143"/>
        <v>1.0000000118702732</v>
      </c>
      <c r="V257" s="17">
        <f t="shared" si="144"/>
        <v>1.540796747951131E-4</v>
      </c>
      <c r="W257" s="31" t="str">
        <f t="shared" si="135"/>
        <v>1-0.249858934077445i</v>
      </c>
      <c r="X257" s="17">
        <f t="shared" si="145"/>
        <v>1.0307422019779324</v>
      </c>
      <c r="Y257" s="17">
        <f t="shared" si="146"/>
        <v>-0.24484589079355687</v>
      </c>
      <c r="Z257" s="31" t="str">
        <f t="shared" si="136"/>
        <v>0.997589761655703+1.5212590367954i</v>
      </c>
      <c r="AA257" s="17">
        <f t="shared" si="147"/>
        <v>1.8191795924514849</v>
      </c>
      <c r="AB257" s="17">
        <f t="shared" si="148"/>
        <v>0.99037844097249594</v>
      </c>
      <c r="AC257" s="66" t="str">
        <f t="shared" si="149"/>
        <v>-37.8126860295285-13.785556235401i</v>
      </c>
      <c r="AD257" s="64">
        <f t="shared" si="150"/>
        <v>32.094723297386395</v>
      </c>
      <c r="AE257" s="61">
        <f t="shared" si="151"/>
        <v>-159.96941381346548</v>
      </c>
      <c r="AF257" s="31" t="str">
        <f t="shared" si="137"/>
        <v>-1.39902068552014E-06</v>
      </c>
      <c r="AG257" s="31" t="str">
        <f t="shared" si="138"/>
        <v>0.000510020693337839i</v>
      </c>
      <c r="AH257" s="31">
        <f t="shared" si="152"/>
        <v>5.1002069333783899E-4</v>
      </c>
      <c r="AI257" s="31">
        <f t="shared" si="153"/>
        <v>1.5707963267948966</v>
      </c>
      <c r="AJ257" s="31" t="str">
        <f t="shared" si="139"/>
        <v>1+0.0368415128348628i</v>
      </c>
      <c r="AK257" s="31">
        <f t="shared" si="154"/>
        <v>1.0006784184082125</v>
      </c>
      <c r="AL257" s="31">
        <f t="shared" si="155"/>
        <v>3.6824858103561099E-2</v>
      </c>
      <c r="AM257" s="31" t="str">
        <f t="shared" si="140"/>
        <v>1+17.9158109768124i</v>
      </c>
      <c r="AN257" s="31">
        <f t="shared" si="156"/>
        <v>17.943697583187017</v>
      </c>
      <c r="AO257" s="31">
        <f t="shared" si="157"/>
        <v>1.5150375648880716</v>
      </c>
      <c r="AP257" s="58" t="str">
        <f t="shared" si="158"/>
        <v>-0.0489767264804567+0.00454744321158842i</v>
      </c>
      <c r="AQ257" s="49">
        <f t="shared" si="159"/>
        <v>-26.162925074106145</v>
      </c>
      <c r="AR257" s="61">
        <f t="shared" si="160"/>
        <v>174.6953493213619</v>
      </c>
      <c r="AS257" s="58" t="str">
        <f t="shared" si="161"/>
        <v>1.91463061528025+0.503220374725285i</v>
      </c>
      <c r="AT257" s="64">
        <f t="shared" si="162"/>
        <v>5.931798223280258</v>
      </c>
      <c r="AU257" s="61">
        <f t="shared" si="163"/>
        <v>14.725935507896402</v>
      </c>
    </row>
    <row r="258" spans="14:47" x14ac:dyDescent="0.4">
      <c r="N258" s="10">
        <v>40</v>
      </c>
      <c r="O258" s="50">
        <f t="shared" si="164"/>
        <v>2511.8864315095811</v>
      </c>
      <c r="P258" s="48" t="str">
        <f t="shared" si="132"/>
        <v>5120.19230769231</v>
      </c>
      <c r="Q258" s="17" t="str">
        <f t="shared" si="133"/>
        <v>1+73.7535277789009i</v>
      </c>
      <c r="R258" s="17">
        <f t="shared" si="141"/>
        <v>73.760306804087435</v>
      </c>
      <c r="S258" s="17">
        <f t="shared" si="142"/>
        <v>1.5572384841036657</v>
      </c>
      <c r="T258" s="17" t="str">
        <f t="shared" si="134"/>
        <v>1+0.000157668652718451i</v>
      </c>
      <c r="U258" s="17">
        <f t="shared" si="143"/>
        <v>1.0000000124297019</v>
      </c>
      <c r="V258" s="17">
        <f t="shared" si="144"/>
        <v>1.5766865141193478E-4</v>
      </c>
      <c r="W258" s="31" t="str">
        <f t="shared" si="135"/>
        <v>1-0.25567889630019i</v>
      </c>
      <c r="X258" s="17">
        <f t="shared" si="145"/>
        <v>1.0321684445928792</v>
      </c>
      <c r="Y258" s="17">
        <f t="shared" si="146"/>
        <v>-0.25031632370390156</v>
      </c>
      <c r="Z258" s="31" t="str">
        <f t="shared" si="136"/>
        <v>0.997476170622079+1.55669371179651i</v>
      </c>
      <c r="AA258" s="17">
        <f t="shared" si="147"/>
        <v>1.8488520825922454</v>
      </c>
      <c r="AB258" s="17">
        <f t="shared" si="148"/>
        <v>1.0009400138986944</v>
      </c>
      <c r="AC258" s="66" t="str">
        <f t="shared" si="149"/>
        <v>-36.6214637681411-12.6771198200869i</v>
      </c>
      <c r="AD258" s="64">
        <f t="shared" si="150"/>
        <v>31.76623949220027</v>
      </c>
      <c r="AE258" s="61">
        <f t="shared" si="151"/>
        <v>-160.90586631982796</v>
      </c>
      <c r="AF258" s="31" t="str">
        <f t="shared" si="137"/>
        <v>-1.39902068552014E-06</v>
      </c>
      <c r="AG258" s="31" t="str">
        <f t="shared" si="138"/>
        <v>0.000521900601410781i</v>
      </c>
      <c r="AH258" s="31">
        <f t="shared" si="152"/>
        <v>5.2190060141078104E-4</v>
      </c>
      <c r="AI258" s="31">
        <f t="shared" si="153"/>
        <v>1.5707963267948966</v>
      </c>
      <c r="AJ258" s="31" t="str">
        <f t="shared" si="139"/>
        <v>1+0.0376996619089367i</v>
      </c>
      <c r="AK258" s="31">
        <f t="shared" si="154"/>
        <v>1.0007103799341985</v>
      </c>
      <c r="AL258" s="31">
        <f t="shared" si="155"/>
        <v>3.7681816726955433E-2</v>
      </c>
      <c r="AM258" s="31" t="str">
        <f t="shared" si="140"/>
        <v>1+18.3331238235988i</v>
      </c>
      <c r="AN258" s="31">
        <f t="shared" si="156"/>
        <v>18.360376606469867</v>
      </c>
      <c r="AO258" s="31">
        <f t="shared" si="157"/>
        <v>1.5163042490613852</v>
      </c>
      <c r="AP258" s="58" t="str">
        <f t="shared" si="158"/>
        <v>-0.0489735980110227+0.00452691478485921i</v>
      </c>
      <c r="AQ258" s="49">
        <f t="shared" si="159"/>
        <v>-26.163809616178352</v>
      </c>
      <c r="AR258" s="61">
        <f t="shared" si="160"/>
        <v>174.71882486613094</v>
      </c>
      <c r="AS258" s="58" t="str">
        <f t="shared" si="161"/>
        <v>1.85087308629916+0.45506192423132i</v>
      </c>
      <c r="AT258" s="64">
        <f t="shared" si="162"/>
        <v>5.6024298760219313</v>
      </c>
      <c r="AU258" s="61">
        <f t="shared" si="163"/>
        <v>13.812958546302971</v>
      </c>
    </row>
    <row r="259" spans="14:47" x14ac:dyDescent="0.4">
      <c r="N259" s="10">
        <v>41</v>
      </c>
      <c r="O259" s="50">
        <f t="shared" si="164"/>
        <v>2570.3957827688669</v>
      </c>
      <c r="P259" s="48" t="str">
        <f t="shared" si="132"/>
        <v>5120.19230769231</v>
      </c>
      <c r="Q259" s="17" t="str">
        <f t="shared" si="133"/>
        <v>1+75.4714681321331i</v>
      </c>
      <c r="R259" s="17">
        <f t="shared" si="141"/>
        <v>75.478092861568655</v>
      </c>
      <c r="S259" s="17">
        <f t="shared" si="142"/>
        <v>1.5575470617451816</v>
      </c>
      <c r="T259" s="17" t="str">
        <f t="shared" si="134"/>
        <v>1+0.000161341227429138i</v>
      </c>
      <c r="U259" s="17">
        <f t="shared" si="143"/>
        <v>1.0000000130154958</v>
      </c>
      <c r="V259" s="17">
        <f t="shared" si="144"/>
        <v>1.6134122602918065E-4</v>
      </c>
      <c r="W259" s="31" t="str">
        <f t="shared" si="135"/>
        <v>1-0.261634422858061i</v>
      </c>
      <c r="X259" s="17">
        <f t="shared" si="145"/>
        <v>1.0336597947217792</v>
      </c>
      <c r="Y259" s="17">
        <f t="shared" si="146"/>
        <v>-0.25589838008954802</v>
      </c>
      <c r="Z259" s="31" t="str">
        <f t="shared" si="136"/>
        <v>0.99735722620797+1.59295376640888i</v>
      </c>
      <c r="AA259" s="17">
        <f t="shared" si="147"/>
        <v>1.8794209583234653</v>
      </c>
      <c r="AB259" s="17">
        <f t="shared" si="148"/>
        <v>1.0114023896869295</v>
      </c>
      <c r="AC259" s="66" t="str">
        <f t="shared" si="149"/>
        <v>-35.4515979166336-11.6266816785707i</v>
      </c>
      <c r="AD259" s="64">
        <f t="shared" si="150"/>
        <v>31.436378380725284</v>
      </c>
      <c r="AE259" s="61">
        <f t="shared" si="151"/>
        <v>-161.84261434156076</v>
      </c>
      <c r="AF259" s="31" t="str">
        <f t="shared" si="137"/>
        <v>-1.39902068552014E-06</v>
      </c>
      <c r="AG259" s="31" t="str">
        <f t="shared" si="138"/>
        <v>0.000534057228090764i</v>
      </c>
      <c r="AH259" s="31">
        <f t="shared" si="152"/>
        <v>5.3405722809076405E-4</v>
      </c>
      <c r="AI259" s="31">
        <f t="shared" si="153"/>
        <v>1.5707963267948966</v>
      </c>
      <c r="AJ259" s="31" t="str">
        <f t="shared" si="139"/>
        <v>1+0.0385777998427685i</v>
      </c>
      <c r="AK259" s="31">
        <f t="shared" si="154"/>
        <v>1.0007438466664227</v>
      </c>
      <c r="AL259" s="31">
        <f t="shared" si="155"/>
        <v>3.8558679153307178E-2</v>
      </c>
      <c r="AM259" s="31" t="str">
        <f t="shared" si="140"/>
        <v>1+18.760157135304i</v>
      </c>
      <c r="AN259" s="31">
        <f t="shared" si="156"/>
        <v>18.78679045875845</v>
      </c>
      <c r="AO259" s="31">
        <f t="shared" si="157"/>
        <v>1.5175422691415574</v>
      </c>
      <c r="AP259" s="58" t="str">
        <f t="shared" si="158"/>
        <v>-0.0489703225297079+0.00450877548495395i</v>
      </c>
      <c r="AQ259" s="49">
        <f t="shared" si="159"/>
        <v>-26.164679968056159</v>
      </c>
      <c r="AR259" s="61">
        <f t="shared" si="160"/>
        <v>174.73951767543372</v>
      </c>
      <c r="AS259" s="58" t="str">
        <f t="shared" si="161"/>
        <v>1.78849828149477+0.409519056160891i</v>
      </c>
      <c r="AT259" s="64">
        <f t="shared" si="162"/>
        <v>5.2716984126691209</v>
      </c>
      <c r="AU259" s="61">
        <f t="shared" si="163"/>
        <v>12.896903333873002</v>
      </c>
    </row>
    <row r="260" spans="14:47" x14ac:dyDescent="0.4">
      <c r="N260" s="10">
        <v>42</v>
      </c>
      <c r="O260" s="50">
        <f t="shared" si="164"/>
        <v>2630.2679918953822</v>
      </c>
      <c r="P260" s="48" t="str">
        <f t="shared" si="132"/>
        <v>5120.19230769231</v>
      </c>
      <c r="Q260" s="17" t="str">
        <f t="shared" si="133"/>
        <v>1+77.2294244567519i</v>
      </c>
      <c r="R260" s="17">
        <f t="shared" si="141"/>
        <v>77.235898401722167</v>
      </c>
      <c r="S260" s="17">
        <f t="shared" si="142"/>
        <v>1.5578486177403144</v>
      </c>
      <c r="T260" s="17" t="str">
        <f t="shared" si="134"/>
        <v>1+0.000165099347394212i</v>
      </c>
      <c r="U260" s="17">
        <f t="shared" si="143"/>
        <v>1.0000000136288971</v>
      </c>
      <c r="V260" s="17">
        <f t="shared" si="144"/>
        <v>1.6509934589413065E-4</v>
      </c>
      <c r="W260" s="31" t="str">
        <f t="shared" si="135"/>
        <v>1-0.267728671450073i</v>
      </c>
      <c r="X260" s="17">
        <f t="shared" si="145"/>
        <v>1.0352191272945168</v>
      </c>
      <c r="Y260" s="17">
        <f t="shared" si="146"/>
        <v>-0.26159362758208871</v>
      </c>
      <c r="Z260" s="31" t="str">
        <f t="shared" si="136"/>
        <v>0.997232676116324+1.63005842619344i</v>
      </c>
      <c r="AA260" s="17">
        <f t="shared" si="147"/>
        <v>1.9109064558785605</v>
      </c>
      <c r="AB260" s="17">
        <f t="shared" si="148"/>
        <v>1.0217620524980564</v>
      </c>
      <c r="AC260" s="66" t="str">
        <f t="shared" si="149"/>
        <v>-34.3037719394613-10.6322060327201i</v>
      </c>
      <c r="AD260" s="64">
        <f t="shared" si="150"/>
        <v>31.105198722851611</v>
      </c>
      <c r="AE260" s="61">
        <f t="shared" si="151"/>
        <v>-162.77955550382282</v>
      </c>
      <c r="AF260" s="31" t="str">
        <f t="shared" si="137"/>
        <v>-1.39902068552014E-06</v>
      </c>
      <c r="AG260" s="31" t="str">
        <f t="shared" si="138"/>
        <v>0.000546497018982162i</v>
      </c>
      <c r="AH260" s="31">
        <f t="shared" si="152"/>
        <v>5.4649701898216204E-4</v>
      </c>
      <c r="AI260" s="31">
        <f t="shared" si="153"/>
        <v>1.5707963267948966</v>
      </c>
      <c r="AJ260" s="31" t="str">
        <f t="shared" si="139"/>
        <v>1+0.0394763922367145i</v>
      </c>
      <c r="AK260" s="31">
        <f t="shared" si="154"/>
        <v>1.0007788894376355</v>
      </c>
      <c r="AL260" s="31">
        <f t="shared" si="155"/>
        <v>3.9455904909933781E-2</v>
      </c>
      <c r="AM260" s="31" t="str">
        <f t="shared" si="140"/>
        <v>1+19.1971373306423i</v>
      </c>
      <c r="AN260" s="31">
        <f t="shared" si="156"/>
        <v>19.223165236025523</v>
      </c>
      <c r="AO260" s="31">
        <f t="shared" si="157"/>
        <v>1.5187522663545725</v>
      </c>
      <c r="AP260" s="58" t="str">
        <f t="shared" si="158"/>
        <v>-0.0489668931492873+0.00449301490246308i</v>
      </c>
      <c r="AQ260" s="49">
        <f t="shared" si="159"/>
        <v>-26.165537962500892</v>
      </c>
      <c r="AR260" s="61">
        <f t="shared" si="160"/>
        <v>174.75743815983694</v>
      </c>
      <c r="AS260" s="58" t="str">
        <f t="shared" si="161"/>
        <v>1.72751979532819+0.366498738210719i</v>
      </c>
      <c r="AT260" s="64">
        <f t="shared" si="162"/>
        <v>4.9396607603507183</v>
      </c>
      <c r="AU260" s="61">
        <f t="shared" si="163"/>
        <v>11.977882656014142</v>
      </c>
    </row>
    <row r="261" spans="14:47" x14ac:dyDescent="0.4">
      <c r="N261" s="10">
        <v>43</v>
      </c>
      <c r="O261" s="50">
        <f t="shared" si="164"/>
        <v>2691.5348039269184</v>
      </c>
      <c r="P261" s="48" t="str">
        <f t="shared" si="132"/>
        <v>5120.19230769231</v>
      </c>
      <c r="Q261" s="17" t="str">
        <f t="shared" si="133"/>
        <v>1+79.0283288444703i</v>
      </c>
      <c r="R261" s="17">
        <f t="shared" si="141"/>
        <v>79.03465543639534</v>
      </c>
      <c r="S261" s="17">
        <f t="shared" si="142"/>
        <v>1.5581433117585399</v>
      </c>
      <c r="T261" s="17" t="str">
        <f t="shared" si="134"/>
        <v>1+0.000168945005218623i</v>
      </c>
      <c r="U261" s="17">
        <f t="shared" si="143"/>
        <v>1.0000000142712073</v>
      </c>
      <c r="V261" s="17">
        <f t="shared" si="144"/>
        <v>1.6894500361125687E-4</v>
      </c>
      <c r="W261" s="31" t="str">
        <f t="shared" si="135"/>
        <v>1-0.273964873327497i</v>
      </c>
      <c r="X261" s="17">
        <f t="shared" si="145"/>
        <v>1.0368494354617508</v>
      </c>
      <c r="Y261" s="17">
        <f t="shared" si="146"/>
        <v>-0.26740360742669017</v>
      </c>
      <c r="Z261" s="31" t="str">
        <f t="shared" si="136"/>
        <v>0.9971022561597+1.66802736453195i</v>
      </c>
      <c r="AA261" s="17">
        <f t="shared" si="147"/>
        <v>1.9433291533001213</v>
      </c>
      <c r="AB261" s="17">
        <f t="shared" si="148"/>
        <v>1.03201569945533</v>
      </c>
      <c r="AC261" s="66" t="str">
        <f t="shared" si="149"/>
        <v>-33.1785921706825-9.69166688800648i</v>
      </c>
      <c r="AD261" s="64">
        <f t="shared" si="150"/>
        <v>30.772760888135377</v>
      </c>
      <c r="AE261" s="61">
        <f t="shared" si="151"/>
        <v>-163.71659790677879</v>
      </c>
      <c r="AF261" s="31" t="str">
        <f t="shared" si="137"/>
        <v>-1.39902068552014E-06</v>
      </c>
      <c r="AG261" s="31" t="str">
        <f t="shared" si="138"/>
        <v>0.00055922656982677i</v>
      </c>
      <c r="AH261" s="31">
        <f t="shared" si="152"/>
        <v>5.5922656982676999E-4</v>
      </c>
      <c r="AI261" s="31">
        <f t="shared" si="153"/>
        <v>1.5707963267948966</v>
      </c>
      <c r="AJ261" s="31" t="str">
        <f t="shared" si="139"/>
        <v>1+0.0403959155363564i</v>
      </c>
      <c r="AK261" s="31">
        <f t="shared" si="154"/>
        <v>1.0008155824086775</v>
      </c>
      <c r="AL261" s="31">
        <f t="shared" si="155"/>
        <v>4.0373963936276631E-2</v>
      </c>
      <c r="AM261" s="31" t="str">
        <f t="shared" si="140"/>
        <v>1+19.6442961022976i</v>
      </c>
      <c r="AN261" s="31">
        <f t="shared" si="156"/>
        <v>19.669732315279347</v>
      </c>
      <c r="AO261" s="31">
        <f t="shared" si="157"/>
        <v>1.5199348680765414</v>
      </c>
      <c r="AP261" s="58" t="str">
        <f t="shared" si="158"/>
        <v>-0.0489633026619151+0.00447962383287239i</v>
      </c>
      <c r="AQ261" s="49">
        <f t="shared" si="159"/>
        <v>-26.166385406740602</v>
      </c>
      <c r="AR261" s="61">
        <f t="shared" si="160"/>
        <v>174.77259533979733</v>
      </c>
      <c r="AS261" s="58" t="str">
        <f t="shared" si="161"/>
        <v>1.66794847232115+0.32590840690698i</v>
      </c>
      <c r="AT261" s="64">
        <f t="shared" si="162"/>
        <v>4.6063754813947879</v>
      </c>
      <c r="AU261" s="61">
        <f t="shared" si="163"/>
        <v>11.055997433018556</v>
      </c>
    </row>
    <row r="262" spans="14:47" x14ac:dyDescent="0.4">
      <c r="N262" s="10">
        <v>44</v>
      </c>
      <c r="O262" s="50">
        <f t="shared" si="164"/>
        <v>2754.228703338169</v>
      </c>
      <c r="P262" s="48" t="str">
        <f t="shared" si="132"/>
        <v>5120.19230769231</v>
      </c>
      <c r="Q262" s="17" t="str">
        <f t="shared" si="133"/>
        <v>1+80.8691350982056i</v>
      </c>
      <c r="R262" s="17">
        <f t="shared" si="141"/>
        <v>80.875317690453798</v>
      </c>
      <c r="S262" s="17">
        <f t="shared" si="142"/>
        <v>1.5584312998456691</v>
      </c>
      <c r="T262" s="17" t="str">
        <f t="shared" si="134"/>
        <v>1+0.000172880239921053i</v>
      </c>
      <c r="U262" s="17">
        <f t="shared" si="143"/>
        <v>1.0000000149437884</v>
      </c>
      <c r="V262" s="17">
        <f t="shared" si="144"/>
        <v>1.728802381987292E-4</v>
      </c>
      <c r="W262" s="31" t="str">
        <f t="shared" si="135"/>
        <v>1-0.280346335007113i</v>
      </c>
      <c r="X262" s="17">
        <f t="shared" si="145"/>
        <v>1.0385538346912597</v>
      </c>
      <c r="Y262" s="17">
        <f t="shared" si="146"/>
        <v>-0.27332983054800242</v>
      </c>
      <c r="Z262" s="31" t="str">
        <f t="shared" si="136"/>
        <v>0.996965689699883+1.70688071305808i</v>
      </c>
      <c r="AA262" s="17">
        <f t="shared" si="147"/>
        <v>1.9767099825337109</v>
      </c>
      <c r="AB262" s="17">
        <f t="shared" si="148"/>
        <v>1.0421602419045486</v>
      </c>
      <c r="AC262" s="66" t="str">
        <f t="shared" si="149"/>
        <v>-32.0765889740779-8.80305260523964i</v>
      </c>
      <c r="AD262" s="64">
        <f t="shared" si="150"/>
        <v>30.439126755766384</v>
      </c>
      <c r="AE262" s="61">
        <f t="shared" si="151"/>
        <v>-164.65365997712394</v>
      </c>
      <c r="AF262" s="31" t="str">
        <f t="shared" si="137"/>
        <v>-1.39902068552014E-06</v>
      </c>
      <c r="AG262" s="31" t="str">
        <f t="shared" si="138"/>
        <v>0.000572252630000937i</v>
      </c>
      <c r="AH262" s="31">
        <f t="shared" si="152"/>
        <v>5.7225263000093703E-4</v>
      </c>
      <c r="AI262" s="31">
        <f t="shared" si="153"/>
        <v>1.5707963267948966</v>
      </c>
      <c r="AJ262" s="31" t="str">
        <f t="shared" si="139"/>
        <v>1+0.0413368572851189i</v>
      </c>
      <c r="AK262" s="31">
        <f t="shared" si="154"/>
        <v>1.0008540032243516</v>
      </c>
      <c r="AL262" s="31">
        <f t="shared" si="155"/>
        <v>4.1313336805694219E-2</v>
      </c>
      <c r="AM262" s="31" t="str">
        <f t="shared" si="140"/>
        <v>1+20.1018705397693i</v>
      </c>
      <c r="AN262" s="31">
        <f t="shared" si="156"/>
        <v>20.126728477267363</v>
      </c>
      <c r="AO262" s="31">
        <f t="shared" si="157"/>
        <v>1.52109068809965</v>
      </c>
      <c r="AP262" s="58" t="str">
        <f t="shared" si="158"/>
        <v>-0.048959543524394+0.00446859426768935i</v>
      </c>
      <c r="AQ262" s="49">
        <f t="shared" si="159"/>
        <v>-26.167224086196693</v>
      </c>
      <c r="AR262" s="61">
        <f t="shared" si="160"/>
        <v>174.78499684819144</v>
      </c>
      <c r="AS262" s="58" t="str">
        <f t="shared" si="161"/>
        <v>1.60979242440041+0.287656175557168i</v>
      </c>
      <c r="AT262" s="64">
        <f t="shared" si="162"/>
        <v>4.2719026695697142</v>
      </c>
      <c r="AU262" s="61">
        <f t="shared" si="163"/>
        <v>10.131336871067488</v>
      </c>
    </row>
    <row r="263" spans="14:47" x14ac:dyDescent="0.4">
      <c r="N263" s="10">
        <v>45</v>
      </c>
      <c r="O263" s="50">
        <f t="shared" si="164"/>
        <v>2818.3829312644561</v>
      </c>
      <c r="P263" s="48" t="str">
        <f t="shared" si="132"/>
        <v>5120.19230769231</v>
      </c>
      <c r="Q263" s="17" t="str">
        <f t="shared" si="133"/>
        <v>1+82.7528192377993i</v>
      </c>
      <c r="R263" s="17">
        <f t="shared" si="141"/>
        <v>82.758861107460177</v>
      </c>
      <c r="S263" s="17">
        <f t="shared" si="142"/>
        <v>1.5587127345056091</v>
      </c>
      <c r="T263" s="17" t="str">
        <f t="shared" si="134"/>
        <v>1+0.000176907138015029i</v>
      </c>
      <c r="U263" s="17">
        <f t="shared" si="143"/>
        <v>1.0000000156480675</v>
      </c>
      <c r="V263" s="17">
        <f t="shared" si="144"/>
        <v>1.7690713616952579E-4</v>
      </c>
      <c r="W263" s="31" t="str">
        <f t="shared" si="135"/>
        <v>1-0.286876440024371i</v>
      </c>
      <c r="X263" s="17">
        <f t="shared" si="145"/>
        <v>1.0403355669403294</v>
      </c>
      <c r="Y263" s="17">
        <f t="shared" si="146"/>
        <v>-0.27937377340663705</v>
      </c>
      <c r="Z263" s="31" t="str">
        <f t="shared" si="136"/>
        <v>0.996822687061103+1.74663907233151i</v>
      </c>
      <c r="AA263" s="17">
        <f t="shared" si="147"/>
        <v>2.0110702420439708</v>
      </c>
      <c r="AB263" s="17">
        <f t="shared" si="148"/>
        <v>1.0521928057979637</v>
      </c>
      <c r="AC263" s="66" t="str">
        <f t="shared" si="149"/>
        <v>-30.9982182588779-7.96437026571745i</v>
      </c>
      <c r="AD263" s="64">
        <f t="shared" si="150"/>
        <v>30.104359615283869</v>
      </c>
      <c r="AE263" s="61">
        <f t="shared" si="151"/>
        <v>-165.59067025729485</v>
      </c>
      <c r="AF263" s="31" t="str">
        <f t="shared" si="137"/>
        <v>-1.39902068552014E-06</v>
      </c>
      <c r="AG263" s="31" t="str">
        <f t="shared" si="138"/>
        <v>0.00058558210609419i</v>
      </c>
      <c r="AH263" s="31">
        <f t="shared" si="152"/>
        <v>5.8558210609419004E-4</v>
      </c>
      <c r="AI263" s="31">
        <f t="shared" si="153"/>
        <v>1.5707963267948966</v>
      </c>
      <c r="AJ263" s="31" t="str">
        <f t="shared" si="139"/>
        <v>1+0.0422997163827718i</v>
      </c>
      <c r="AK263" s="31">
        <f t="shared" si="154"/>
        <v>1.0008942331765445</v>
      </c>
      <c r="AL263" s="31">
        <f t="shared" si="155"/>
        <v>4.2274514950953621E-2</v>
      </c>
      <c r="AM263" s="31" t="str">
        <f t="shared" si="140"/>
        <v>1+20.5701032550808i</v>
      </c>
      <c r="AN263" s="31">
        <f t="shared" si="156"/>
        <v>20.59439603204439</v>
      </c>
      <c r="AO263" s="31">
        <f t="shared" si="157"/>
        <v>1.5222203268952954</v>
      </c>
      <c r="AP263" s="58" t="str">
        <f t="shared" si="158"/>
        <v>-0.0489556078427878+0.00445991938592194i</v>
      </c>
      <c r="AQ263" s="49">
        <f t="shared" si="159"/>
        <v>-26.168055768168891</v>
      </c>
      <c r="AR263" s="61">
        <f t="shared" si="160"/>
        <v>174.7946489324726</v>
      </c>
      <c r="AS263" s="58" t="str">
        <f t="shared" si="161"/>
        <v>1.5530570662515+0.251651032901414i</v>
      </c>
      <c r="AT263" s="64">
        <f t="shared" si="162"/>
        <v>3.9363038471149521</v>
      </c>
      <c r="AU263" s="61">
        <f t="shared" si="163"/>
        <v>9.2039786751777601</v>
      </c>
    </row>
    <row r="264" spans="14:47" x14ac:dyDescent="0.4">
      <c r="N264" s="10">
        <v>46</v>
      </c>
      <c r="O264" s="50">
        <f t="shared" si="164"/>
        <v>2884.0315031266077</v>
      </c>
      <c r="P264" s="48" t="str">
        <f t="shared" si="132"/>
        <v>5120.19230769231</v>
      </c>
      <c r="Q264" s="17" t="str">
        <f t="shared" si="133"/>
        <v>1+84.6803800175161i</v>
      </c>
      <c r="R264" s="17">
        <f t="shared" si="141"/>
        <v>84.686284367133155</v>
      </c>
      <c r="S264" s="17">
        <f t="shared" si="142"/>
        <v>1.5589877647803099</v>
      </c>
      <c r="T264" s="17" t="str">
        <f t="shared" si="134"/>
        <v>1+0.000181027834615223i</v>
      </c>
      <c r="U264" s="17">
        <f t="shared" si="143"/>
        <v>1.0000000163855383</v>
      </c>
      <c r="V264" s="17">
        <f t="shared" si="144"/>
        <v>1.8102783263773065E-4</v>
      </c>
      <c r="W264" s="31" t="str">
        <f t="shared" si="135"/>
        <v>1-0.293558650727389i</v>
      </c>
      <c r="X264" s="17">
        <f t="shared" si="145"/>
        <v>1.0421980048996857</v>
      </c>
      <c r="Y264" s="17">
        <f t="shared" si="146"/>
        <v>-0.28553687364385416</v>
      </c>
      <c r="Z264" s="31" t="str">
        <f t="shared" si="136"/>
        <v>0.996672944915589+1.78732352276059i</v>
      </c>
      <c r="AA264" s="17">
        <f t="shared" si="147"/>
        <v>2.0464316099347268</v>
      </c>
      <c r="AB264" s="17">
        <f t="shared" si="148"/>
        <v>1.0621107312429074</v>
      </c>
      <c r="AC264" s="66" t="str">
        <f t="shared" si="149"/>
        <v>-29.9438633199037-7.17364980396874i</v>
      </c>
      <c r="AD264" s="64">
        <f t="shared" si="150"/>
        <v>29.768524068438499</v>
      </c>
      <c r="AE264" s="61">
        <f t="shared" si="151"/>
        <v>-166.5275671345866</v>
      </c>
      <c r="AF264" s="31" t="str">
        <f t="shared" si="137"/>
        <v>-1.39902068552014E-06</v>
      </c>
      <c r="AG264" s="31" t="str">
        <f t="shared" si="138"/>
        <v>0.00059922206557119i</v>
      </c>
      <c r="AH264" s="31">
        <f t="shared" si="152"/>
        <v>5.9922206557119003E-4</v>
      </c>
      <c r="AI264" s="31">
        <f t="shared" si="153"/>
        <v>1.5707963267948966</v>
      </c>
      <c r="AJ264" s="31" t="str">
        <f t="shared" si="139"/>
        <v>1+0.0432850033499538i</v>
      </c>
      <c r="AK264" s="31">
        <f t="shared" si="154"/>
        <v>1.0009363573749359</v>
      </c>
      <c r="AL264" s="31">
        <f t="shared" si="155"/>
        <v>4.3258000893403203E-2</v>
      </c>
      <c r="AM264" s="31" t="str">
        <f t="shared" si="140"/>
        <v>1+21.0492425114157i</v>
      </c>
      <c r="AN264" s="31">
        <f t="shared" si="156"/>
        <v>21.072982947470674</v>
      </c>
      <c r="AO264" s="31">
        <f t="shared" si="157"/>
        <v>1.5233243718742584</v>
      </c>
      <c r="AP264" s="58" t="str">
        <f t="shared" si="158"/>
        <v>-0.0489514873563494+0.00445359354588653i</v>
      </c>
      <c r="AQ264" s="49">
        <f t="shared" si="159"/>
        <v>-26.168882205485531</v>
      </c>
      <c r="AR264" s="61">
        <f t="shared" si="160"/>
        <v>174.80155645644697</v>
      </c>
      <c r="AS264" s="58" t="str">
        <f t="shared" si="161"/>
        <v>1.49774516717193+0.217803031257423i</v>
      </c>
      <c r="AT264" s="64">
        <f t="shared" si="162"/>
        <v>3.5996418629529914</v>
      </c>
      <c r="AU264" s="61">
        <f t="shared" si="163"/>
        <v>8.2739893218603928</v>
      </c>
    </row>
    <row r="265" spans="14:47" x14ac:dyDescent="0.4">
      <c r="N265" s="10">
        <v>47</v>
      </c>
      <c r="O265" s="50">
        <f t="shared" si="164"/>
        <v>2951.2092266663876</v>
      </c>
      <c r="P265" s="48" t="str">
        <f t="shared" si="132"/>
        <v>5120.19230769231</v>
      </c>
      <c r="Q265" s="17" t="str">
        <f t="shared" si="133"/>
        <v>1+86.6528394555953i</v>
      </c>
      <c r="R265" s="17">
        <f t="shared" si="141"/>
        <v>86.658609414859484</v>
      </c>
      <c r="S265" s="17">
        <f t="shared" si="142"/>
        <v>1.559256536327938</v>
      </c>
      <c r="T265" s="17" t="str">
        <f t="shared" si="134"/>
        <v>1+0.000185244514569517i</v>
      </c>
      <c r="U265" s="17">
        <f t="shared" si="143"/>
        <v>1.000000017157765</v>
      </c>
      <c r="V265" s="17">
        <f t="shared" si="144"/>
        <v>1.8524451245059581E-4</v>
      </c>
      <c r="W265" s="31" t="str">
        <f t="shared" si="135"/>
        <v>1-0.30039651011273i</v>
      </c>
      <c r="X265" s="17">
        <f t="shared" si="145"/>
        <v>1.0441446563038608</v>
      </c>
      <c r="Y265" s="17">
        <f t="shared" si="146"/>
        <v>-0.29182052551303567</v>
      </c>
      <c r="Z265" s="31" t="str">
        <f t="shared" si="136"/>
        <v>0.996516145640176+1.82895563577946i</v>
      </c>
      <c r="AA265" s="17">
        <f t="shared" si="147"/>
        <v>2.0828161575547184</v>
      </c>
      <c r="AB265" s="17">
        <f t="shared" si="148"/>
        <v>1.0719115712603404</v>
      </c>
      <c r="AC265" s="66" t="str">
        <f t="shared" si="149"/>
        <v>-28.9138369695337-6.42894788651319i</v>
      </c>
      <c r="AD265" s="64">
        <f t="shared" si="150"/>
        <v>29.431685932543218</v>
      </c>
      <c r="AE265" s="61">
        <f t="shared" si="151"/>
        <v>-167.46429851267737</v>
      </c>
      <c r="AF265" s="31" t="str">
        <f t="shared" si="137"/>
        <v>-1.39902068552014E-06</v>
      </c>
      <c r="AG265" s="31" t="str">
        <f t="shared" si="138"/>
        <v>0.000613179740518997i</v>
      </c>
      <c r="AH265" s="31">
        <f t="shared" si="152"/>
        <v>6.1317974051899697E-4</v>
      </c>
      <c r="AI265" s="31">
        <f t="shared" si="153"/>
        <v>1.5707963267948966</v>
      </c>
      <c r="AJ265" s="31" t="str">
        <f t="shared" si="139"/>
        <v>1+0.0442932405988566i</v>
      </c>
      <c r="AK265" s="31">
        <f t="shared" si="154"/>
        <v>1.0009804649256389</v>
      </c>
      <c r="AL265" s="31">
        <f t="shared" si="155"/>
        <v>4.4264308475800589E-2</v>
      </c>
      <c r="AM265" s="31" t="str">
        <f t="shared" si="140"/>
        <v>1+21.5395423547499i</v>
      </c>
      <c r="AN265" s="31">
        <f t="shared" si="156"/>
        <v>21.562742980707835</v>
      </c>
      <c r="AO265" s="31">
        <f t="shared" si="157"/>
        <v>1.5244033976437825</v>
      </c>
      <c r="AP265" s="58" t="str">
        <f t="shared" si="158"/>
        <v>-0.0489471734207317+0.00444961227731889i</v>
      </c>
      <c r="AQ265" s="49">
        <f t="shared" si="159"/>
        <v>-26.169705140126855</v>
      </c>
      <c r="AR265" s="61">
        <f t="shared" si="160"/>
        <v>174.80572290166322</v>
      </c>
      <c r="AS265" s="58" t="str">
        <f t="shared" si="161"/>
        <v>1.4438569178526+0.186023463149974i</v>
      </c>
      <c r="AT265" s="64">
        <f t="shared" si="162"/>
        <v>3.2619807924163484</v>
      </c>
      <c r="AU265" s="61">
        <f t="shared" si="163"/>
        <v>7.341424388985855</v>
      </c>
    </row>
    <row r="266" spans="14:47" x14ac:dyDescent="0.4">
      <c r="N266" s="10">
        <v>48</v>
      </c>
      <c r="O266" s="50">
        <f t="shared" si="164"/>
        <v>3019.9517204020176</v>
      </c>
      <c r="P266" s="48" t="str">
        <f t="shared" si="132"/>
        <v>5120.19230769231</v>
      </c>
      <c r="Q266" s="17" t="str">
        <f t="shared" si="133"/>
        <v>1+88.6712433761399i</v>
      </c>
      <c r="R266" s="17">
        <f t="shared" si="141"/>
        <v>88.676882003544947</v>
      </c>
      <c r="S266" s="17">
        <f t="shared" si="142"/>
        <v>1.5595191914993121</v>
      </c>
      <c r="T266" s="17" t="str">
        <f t="shared" si="134"/>
        <v>1+0.000189559413617437i</v>
      </c>
      <c r="U266" s="17">
        <f t="shared" si="143"/>
        <v>1.0000000179663855</v>
      </c>
      <c r="V266" s="17">
        <f t="shared" si="144"/>
        <v>1.8955941134697203E-4</v>
      </c>
      <c r="W266" s="31" t="str">
        <f t="shared" si="135"/>
        <v>1-0.307393643703952i</v>
      </c>
      <c r="X266" s="17">
        <f t="shared" si="145"/>
        <v>1.0461791683022523</v>
      </c>
      <c r="Y266" s="17">
        <f t="shared" si="146"/>
        <v>-0.29822607509761351</v>
      </c>
      <c r="Z266" s="31" t="str">
        <f t="shared" si="136"/>
        <v>0.996351956642576+1.87155748528551i</v>
      </c>
      <c r="AA266" s="17">
        <f t="shared" si="147"/>
        <v>2.1202463635704487</v>
      </c>
      <c r="AB266" s="17">
        <f t="shared" si="148"/>
        <v>1.0815930898019728</v>
      </c>
      <c r="AC266" s="66" t="str">
        <f t="shared" si="149"/>
        <v>-27.9083839280395-5.72835151924836i</v>
      </c>
      <c r="AD266" s="64">
        <f t="shared" si="150"/>
        <v>29.093912145591851</v>
      </c>
      <c r="AE266" s="61">
        <f t="shared" si="151"/>
        <v>-168.40082142833984</v>
      </c>
      <c r="AF266" s="31" t="str">
        <f t="shared" si="137"/>
        <v>-1.39902068552014E-06</v>
      </c>
      <c r="AG266" s="31" t="str">
        <f t="shared" si="138"/>
        <v>0.000627462531481621i</v>
      </c>
      <c r="AH266" s="31">
        <f t="shared" si="152"/>
        <v>6.2746253148162105E-4</v>
      </c>
      <c r="AI266" s="31">
        <f t="shared" si="153"/>
        <v>1.5707963267948966</v>
      </c>
      <c r="AJ266" s="31" t="str">
        <f t="shared" si="139"/>
        <v>1+0.0453249627102154i</v>
      </c>
      <c r="AK266" s="31">
        <f t="shared" si="154"/>
        <v>1.0010266491181352</v>
      </c>
      <c r="AL266" s="31">
        <f t="shared" si="155"/>
        <v>4.5293963098765155E-2</v>
      </c>
      <c r="AM266" s="31" t="str">
        <f t="shared" si="140"/>
        <v>1+22.04126274855i</v>
      </c>
      <c r="AN266" s="31">
        <f t="shared" si="156"/>
        <v>22.063935812783221</v>
      </c>
      <c r="AO266" s="31">
        <f t="shared" si="157"/>
        <v>1.5254579662614491</v>
      </c>
      <c r="AP266" s="58" t="str">
        <f t="shared" si="158"/>
        <v>-0.048942656990458+0.00444797227376222i</v>
      </c>
      <c r="AQ266" s="49">
        <f t="shared" si="159"/>
        <v>-26.170526306827089</v>
      </c>
      <c r="AR266" s="61">
        <f t="shared" si="160"/>
        <v>174.80715036841042</v>
      </c>
      <c r="AS266" s="58" t="str">
        <f t="shared" si="161"/>
        <v>1.39139001048003+0.156225025609911i</v>
      </c>
      <c r="AT266" s="64">
        <f t="shared" si="162"/>
        <v>2.9233858387647715</v>
      </c>
      <c r="AU266" s="61">
        <f t="shared" si="163"/>
        <v>6.4063289400706038</v>
      </c>
    </row>
    <row r="267" spans="14:47" x14ac:dyDescent="0.4">
      <c r="N267" s="10">
        <v>49</v>
      </c>
      <c r="O267" s="50">
        <f t="shared" si="164"/>
        <v>3090.295432513592</v>
      </c>
      <c r="P267" s="48" t="str">
        <f t="shared" si="132"/>
        <v>5120.19230769231</v>
      </c>
      <c r="Q267" s="17" t="str">
        <f t="shared" si="133"/>
        <v>1+90.7366619636252i</v>
      </c>
      <c r="R267" s="17">
        <f t="shared" si="141"/>
        <v>90.742172248085325</v>
      </c>
      <c r="S267" s="17">
        <f t="shared" si="142"/>
        <v>1.5597758694126376</v>
      </c>
      <c r="T267" s="17" t="str">
        <f t="shared" si="134"/>
        <v>1+0.000193974819575572i</v>
      </c>
      <c r="U267" s="17">
        <f t="shared" si="143"/>
        <v>1.0000000188131151</v>
      </c>
      <c r="V267" s="17">
        <f t="shared" si="144"/>
        <v>1.9397481714272495E-4</v>
      </c>
      <c r="W267" s="31" t="str">
        <f t="shared" si="135"/>
        <v>1-0.3145537614739i</v>
      </c>
      <c r="X267" s="17">
        <f t="shared" si="145"/>
        <v>1.048305331884456</v>
      </c>
      <c r="Y267" s="17">
        <f t="shared" si="146"/>
        <v>-0.30475481531627863</v>
      </c>
      <c r="Z267" s="31" t="str">
        <f t="shared" si="136"/>
        <v>0.996180029655914+1.91515165934326i</v>
      </c>
      <c r="AA267" s="17">
        <f t="shared" si="147"/>
        <v>2.1587451284879604</v>
      </c>
      <c r="AB267" s="17">
        <f t="shared" si="148"/>
        <v>1.0911532590773201</v>
      </c>
      <c r="AC267" s="66" t="str">
        <f t="shared" si="149"/>
        <v>-26.9276834384988-5.06998137018482i</v>
      </c>
      <c r="AD267" s="64">
        <f t="shared" si="150"/>
        <v>28.755270673366063</v>
      </c>
      <c r="AE267" s="61">
        <f t="shared" si="151"/>
        <v>-169.33710161632558</v>
      </c>
      <c r="AF267" s="31" t="str">
        <f t="shared" si="137"/>
        <v>-1.39902068552014E-06</v>
      </c>
      <c r="AG267" s="31" t="str">
        <f t="shared" si="138"/>
        <v>0.000642078011383885i</v>
      </c>
      <c r="AH267" s="31">
        <f t="shared" si="152"/>
        <v>6.4207801138388497E-4</v>
      </c>
      <c r="AI267" s="31">
        <f t="shared" si="153"/>
        <v>1.5707963267948966</v>
      </c>
      <c r="AJ267" s="31" t="str">
        <f t="shared" si="139"/>
        <v>1+0.0463807167167498i</v>
      </c>
      <c r="AK267" s="31">
        <f t="shared" si="154"/>
        <v>1.0010750076208872</v>
      </c>
      <c r="AL267" s="31">
        <f t="shared" si="155"/>
        <v>4.6347501960810916E-2</v>
      </c>
      <c r="AM267" s="31" t="str">
        <f t="shared" si="140"/>
        <v>1+22.5546697116101i</v>
      </c>
      <c r="AN267" s="31">
        <f t="shared" si="156"/>
        <v>22.576827186294846</v>
      </c>
      <c r="AO267" s="31">
        <f t="shared" si="157"/>
        <v>1.5264886274857481</v>
      </c>
      <c r="AP267" s="58" t="str">
        <f t="shared" si="158"/>
        <v>-0.0489379286006194+0.00444867138520407i</v>
      </c>
      <c r="AQ267" s="49">
        <f t="shared" si="159"/>
        <v>-26.171347436662558</v>
      </c>
      <c r="AR267" s="61">
        <f t="shared" si="160"/>
        <v>174.80583957632231</v>
      </c>
      <c r="AS267" s="58" t="str">
        <f t="shared" si="161"/>
        <v>1.34033973053839+0.128321971517892i</v>
      </c>
      <c r="AT267" s="64">
        <f t="shared" si="162"/>
        <v>2.5839232367034768</v>
      </c>
      <c r="AU267" s="61">
        <f t="shared" si="163"/>
        <v>5.4687379599967372</v>
      </c>
    </row>
    <row r="268" spans="14:47" x14ac:dyDescent="0.4">
      <c r="N268" s="10">
        <v>50</v>
      </c>
      <c r="O268" s="50">
        <f t="shared" si="164"/>
        <v>3162.2776601683804</v>
      </c>
      <c r="P268" s="48" t="str">
        <f t="shared" si="132"/>
        <v>5120.19230769231</v>
      </c>
      <c r="Q268" s="17" t="str">
        <f t="shared" si="133"/>
        <v>1+92.8501903303251i</v>
      </c>
      <c r="R268" s="17">
        <f t="shared" si="141"/>
        <v>92.855575192756177</v>
      </c>
      <c r="S268" s="17">
        <f t="shared" si="142"/>
        <v>1.5600267060265771</v>
      </c>
      <c r="T268" s="17" t="str">
        <f t="shared" si="134"/>
        <v>1+0.000198493073550606i</v>
      </c>
      <c r="U268" s="17">
        <f t="shared" si="143"/>
        <v>1.0000000196997501</v>
      </c>
      <c r="V268" s="17">
        <f t="shared" si="144"/>
        <v>1.9849307094376342E-4</v>
      </c>
      <c r="W268" s="31" t="str">
        <f t="shared" si="135"/>
        <v>1-0.321880659811794i</v>
      </c>
      <c r="X268" s="17">
        <f t="shared" si="145"/>
        <v>1.0505270863527869</v>
      </c>
      <c r="Y268" s="17">
        <f t="shared" si="146"/>
        <v>-0.3114079807176896</v>
      </c>
      <c r="Z268" s="31" t="str">
        <f t="shared" si="136"/>
        <v>0.996+1.95976127216081i</v>
      </c>
      <c r="AA268" s="17">
        <f t="shared" si="147"/>
        <v>2.198335789605709</v>
      </c>
      <c r="AB268" s="17">
        <f t="shared" si="148"/>
        <v>1.1005902562440604</v>
      </c>
      <c r="AC268" s="66" t="str">
        <f t="shared" si="149"/>
        <v>-25.9718520726205-4.4519947981841i</v>
      </c>
      <c r="AD268" s="64">
        <f t="shared" si="150"/>
        <v>28.415830418689797</v>
      </c>
      <c r="AE268" s="61">
        <f t="shared" si="151"/>
        <v>-170.27311302561253</v>
      </c>
      <c r="AF268" s="31" t="str">
        <f t="shared" si="137"/>
        <v>-1.39902068552014E-06</v>
      </c>
      <c r="AG268" s="31" t="str">
        <f t="shared" si="138"/>
        <v>0.000657033929546691i</v>
      </c>
      <c r="AH268" s="31">
        <f t="shared" si="152"/>
        <v>6.5703392954669104E-4</v>
      </c>
      <c r="AI268" s="31">
        <f t="shared" si="153"/>
        <v>1.5707963267948966</v>
      </c>
      <c r="AJ268" s="31" t="str">
        <f t="shared" si="139"/>
        <v>1+0.0474610623932089i</v>
      </c>
      <c r="AK268" s="31">
        <f t="shared" si="154"/>
        <v>1.0011256426860178</v>
      </c>
      <c r="AL268" s="31">
        <f t="shared" si="155"/>
        <v>4.7425474301911297E-2</v>
      </c>
      <c r="AM268" s="31" t="str">
        <f t="shared" si="140"/>
        <v>1+23.0800354590975i</v>
      </c>
      <c r="AN268" s="31">
        <f t="shared" si="156"/>
        <v>23.10168904632728</v>
      </c>
      <c r="AO268" s="31">
        <f t="shared" si="157"/>
        <v>1.5274959190232547</v>
      </c>
      <c r="AP268" s="58" t="str">
        <f t="shared" si="158"/>
        <v>-0.0489329783477625+0.0044517086109329i</v>
      </c>
      <c r="AQ268" s="49">
        <f t="shared" si="159"/>
        <v>-26.172170260633564</v>
      </c>
      <c r="AR268" s="61">
        <f t="shared" si="160"/>
        <v>174.80178986458381</v>
      </c>
      <c r="AS268" s="58" t="str">
        <f t="shared" si="161"/>
        <v>1.29069905869973+0.102230247550334i</v>
      </c>
      <c r="AT268" s="64">
        <f t="shared" si="162"/>
        <v>2.2436601580562048</v>
      </c>
      <c r="AU268" s="61">
        <f t="shared" si="163"/>
        <v>4.5286768389712986</v>
      </c>
    </row>
    <row r="269" spans="14:47" x14ac:dyDescent="0.4">
      <c r="N269" s="10">
        <v>51</v>
      </c>
      <c r="O269" s="50">
        <f t="shared" si="164"/>
        <v>3235.9365692962833</v>
      </c>
      <c r="P269" s="48" t="str">
        <f t="shared" si="132"/>
        <v>5120.19230769231</v>
      </c>
      <c r="Q269" s="17" t="str">
        <f t="shared" si="133"/>
        <v>1+95.0129490969559i</v>
      </c>
      <c r="R269" s="17">
        <f t="shared" si="141"/>
        <v>95.018211391820728</v>
      </c>
      <c r="S269" s="17">
        <f t="shared" si="142"/>
        <v>1.5602718342116919</v>
      </c>
      <c r="T269" s="17" t="str">
        <f t="shared" si="134"/>
        <v>1+0.000203116571180604i</v>
      </c>
      <c r="U269" s="17">
        <f t="shared" si="143"/>
        <v>1.0000000206281705</v>
      </c>
      <c r="V269" s="17">
        <f t="shared" si="144"/>
        <v>2.0311656838732187E-4</v>
      </c>
      <c r="W269" s="31" t="str">
        <f t="shared" si="135"/>
        <v>1-0.329378223536114i</v>
      </c>
      <c r="X269" s="17">
        <f t="shared" si="145"/>
        <v>1.0528485238341774</v>
      </c>
      <c r="Y269" s="17">
        <f t="shared" si="146"/>
        <v>-0.3181867420683091</v>
      </c>
      <c r="Z269" s="31" t="str">
        <f t="shared" si="136"/>
        <v>0.995811485807796+2.00540997634537i</v>
      </c>
      <c r="AA269" s="17">
        <f t="shared" si="147"/>
        <v>2.2390421363815975</v>
      </c>
      <c r="AB269" s="17">
        <f t="shared" si="148"/>
        <v>1.1099024595163918</v>
      </c>
      <c r="AC269" s="66" t="str">
        <f t="shared" si="149"/>
        <v>-25.0409466943699-3.87258858208876i</v>
      </c>
      <c r="AD269" s="64">
        <f t="shared" si="150"/>
        <v>28.075661132929213</v>
      </c>
      <c r="AE269" s="61">
        <f t="shared" si="151"/>
        <v>-171.20883729035867</v>
      </c>
      <c r="AF269" s="31" t="str">
        <f t="shared" si="137"/>
        <v>-1.39902068552014E-06</v>
      </c>
      <c r="AG269" s="31" t="str">
        <f t="shared" si="138"/>
        <v>0.000672338215795816i</v>
      </c>
      <c r="AH269" s="31">
        <f t="shared" si="152"/>
        <v>6.7233821579581598E-4</v>
      </c>
      <c r="AI269" s="31">
        <f t="shared" si="153"/>
        <v>1.5707963267948966</v>
      </c>
      <c r="AJ269" s="31" t="str">
        <f t="shared" si="139"/>
        <v>1+0.0485665725531702i</v>
      </c>
      <c r="AK269" s="31">
        <f t="shared" si="154"/>
        <v>1.0011786613634763</v>
      </c>
      <c r="AL269" s="31">
        <f t="shared" si="155"/>
        <v>4.8528441650530107E-2</v>
      </c>
      <c r="AM269" s="31" t="str">
        <f t="shared" si="140"/>
        <v>1+23.6176385468858i</v>
      </c>
      <c r="AN269" s="31">
        <f t="shared" si="156"/>
        <v>23.638799684657126</v>
      </c>
      <c r="AO269" s="31">
        <f t="shared" si="157"/>
        <v>1.5284803667723439</v>
      </c>
      <c r="AP269" s="58" t="str">
        <f t="shared" si="158"/>
        <v>-0.0489277958699444+0.00445708409258305i</v>
      </c>
      <c r="AQ269" s="49">
        <f t="shared" si="159"/>
        <v>-26.172996513245231</v>
      </c>
      <c r="AR269" s="61">
        <f t="shared" si="160"/>
        <v>174.79499919174117</v>
      </c>
      <c r="AS269" s="58" t="str">
        <f t="shared" si="161"/>
        <v>1.24245878121864+0.0778676184580201i</v>
      </c>
      <c r="AT269" s="64">
        <f t="shared" si="162"/>
        <v>1.9026646196840082</v>
      </c>
      <c r="AU269" s="61">
        <f t="shared" si="163"/>
        <v>3.5861619013824959</v>
      </c>
    </row>
    <row r="270" spans="14:47" x14ac:dyDescent="0.4">
      <c r="N270" s="10">
        <v>52</v>
      </c>
      <c r="O270" s="50">
        <f t="shared" si="164"/>
        <v>3311.3112148259115</v>
      </c>
      <c r="P270" s="48" t="str">
        <f t="shared" si="132"/>
        <v>5120.19230769231</v>
      </c>
      <c r="Q270" s="17" t="str">
        <f t="shared" si="133"/>
        <v>1+97.2260849868433i</v>
      </c>
      <c r="R270" s="17">
        <f t="shared" si="141"/>
        <v>97.231227503661984</v>
      </c>
      <c r="S270" s="17">
        <f t="shared" si="142"/>
        <v>1.5605113838202893</v>
      </c>
      <c r="T270" s="17" t="str">
        <f t="shared" si="134"/>
        <v>1+0.000207847763905207i</v>
      </c>
      <c r="U270" s="17">
        <f t="shared" si="143"/>
        <v>1.0000000216003462</v>
      </c>
      <c r="V270" s="17">
        <f t="shared" si="144"/>
        <v>2.0784776091215128E-4</v>
      </c>
      <c r="W270" s="31" t="str">
        <f t="shared" si="135"/>
        <v>1-0.33705042795439i</v>
      </c>
      <c r="X270" s="17">
        <f t="shared" si="145"/>
        <v>1.0552738938229438</v>
      </c>
      <c r="Y270" s="17">
        <f t="shared" si="146"/>
        <v>-0.32509220073869793</v>
      </c>
      <c r="Z270" s="31" t="str">
        <f t="shared" si="136"/>
        <v>0.995614087215427+2.05212197544414i</v>
      </c>
      <c r="AA270" s="17">
        <f t="shared" si="147"/>
        <v>2.2808884261976887</v>
      </c>
      <c r="AB270" s="17">
        <f t="shared" si="148"/>
        <v>1.1190884437466904</v>
      </c>
      <c r="AC270" s="66" t="str">
        <f>(IMDIV(IMPRODUCT(P270,T270,W270),IMPRODUCT(Q270,Z270)))</f>
        <v>-24.1349675492268-3.33000134812039i</v>
      </c>
      <c r="AD270" s="64">
        <f t="shared" si="150"/>
        <v>27.734833329780887</v>
      </c>
      <c r="AE270" s="61">
        <f t="shared" si="151"/>
        <v>-172.14426315903665</v>
      </c>
      <c r="AF270" s="31" t="str">
        <f t="shared" si="137"/>
        <v>-1.39902068552014E-06</v>
      </c>
      <c r="AG270" s="31" t="str">
        <f t="shared" si="138"/>
        <v>0.000687998984666404i</v>
      </c>
      <c r="AH270" s="31">
        <f t="shared" si="152"/>
        <v>6.8799898466640396E-4</v>
      </c>
      <c r="AI270" s="31">
        <f t="shared" si="153"/>
        <v>1.5707963267948966</v>
      </c>
      <c r="AJ270" s="31" t="str">
        <f t="shared" si="139"/>
        <v>1+0.0496978333527541i</v>
      </c>
      <c r="AK270" s="31">
        <f t="shared" si="154"/>
        <v>1.0012341757251189</v>
      </c>
      <c r="AL270" s="31">
        <f t="shared" si="155"/>
        <v>4.9656978074049465E-2</v>
      </c>
      <c r="AM270" s="31" t="str">
        <f t="shared" si="140"/>
        <v>1+24.1677640192481i</v>
      </c>
      <c r="AN270" s="31">
        <f t="shared" si="156"/>
        <v>24.188443887320716</v>
      </c>
      <c r="AO270" s="31">
        <f t="shared" si="157"/>
        <v>1.5294424850633741</v>
      </c>
      <c r="AP270" s="58" t="str">
        <f t="shared" si="158"/>
        <v>-0.0489223703259125+0.00446479910733553i</v>
      </c>
      <c r="AQ270" s="49">
        <f t="shared" si="159"/>
        <v>-26.173827936095702</v>
      </c>
      <c r="AR270" s="61">
        <f t="shared" si="160"/>
        <v>174.78546413511506</v>
      </c>
      <c r="AS270" s="58" t="str">
        <f t="shared" si="161"/>
        <v>1.19560760729367+0.0551537775691738i</v>
      </c>
      <c r="AT270" s="64">
        <f t="shared" si="162"/>
        <v>1.5610053936852</v>
      </c>
      <c r="AU270" s="61">
        <f t="shared" si="163"/>
        <v>2.641200976078415</v>
      </c>
    </row>
    <row r="271" spans="14:47" x14ac:dyDescent="0.4">
      <c r="N271" s="10">
        <v>53</v>
      </c>
      <c r="O271" s="50">
        <f t="shared" si="164"/>
        <v>3388.4415613920314</v>
      </c>
      <c r="P271" s="48" t="str">
        <f t="shared" si="132"/>
        <v>5120.19230769231</v>
      </c>
      <c r="Q271" s="17" t="str">
        <f t="shared" si="133"/>
        <v>1+99.4907714339299i</v>
      </c>
      <c r="R271" s="17">
        <f t="shared" si="141"/>
        <v>99.495796898755884</v>
      </c>
      <c r="S271" s="17">
        <f t="shared" si="142"/>
        <v>1.5607454817547084</v>
      </c>
      <c r="T271" s="17" t="str">
        <f t="shared" si="134"/>
        <v>1+0.000212689160265423i</v>
      </c>
      <c r="U271" s="17">
        <f t="shared" si="143"/>
        <v>1.0000000226183392</v>
      </c>
      <c r="V271" s="17">
        <f t="shared" si="144"/>
        <v>2.1268915705830601E-4</v>
      </c>
      <c r="W271" s="31" t="str">
        <f t="shared" si="135"/>
        <v>1-0.344901340970957i</v>
      </c>
      <c r="X271" s="17">
        <f t="shared" si="145"/>
        <v>1.0578076077451724</v>
      </c>
      <c r="Y271" s="17">
        <f t="shared" si="146"/>
        <v>-0.33212538289530769</v>
      </c>
      <c r="Z271" s="31" t="str">
        <f t="shared" si="136"/>
        <v>0.995407385514012+2.09992203677733i</v>
      </c>
      <c r="AA271" s="17">
        <f t="shared" si="147"/>
        <v>2.3238994005074511</v>
      </c>
      <c r="AB271" s="17">
        <f t="shared" si="148"/>
        <v>1.1281469755358988</v>
      </c>
      <c r="AC271" s="66" t="str">
        <f t="shared" si="149"/>
        <v>-23.253861448169-2.82251569662256i</v>
      </c>
      <c r="AD271" s="64">
        <f t="shared" si="150"/>
        <v>27.393418201333674</v>
      </c>
      <c r="AE271" s="61">
        <f t="shared" si="151"/>
        <v>-173.0793858853327</v>
      </c>
      <c r="AF271" s="31" t="str">
        <f t="shared" si="137"/>
        <v>-1.39902068552014E-06</v>
      </c>
      <c r="AG271" s="31" t="str">
        <f t="shared" si="138"/>
        <v>0.000704024539705406i</v>
      </c>
      <c r="AH271" s="31">
        <f t="shared" si="152"/>
        <v>7.0402453970540605E-4</v>
      </c>
      <c r="AI271" s="31">
        <f t="shared" si="153"/>
        <v>1.5707963267948966</v>
      </c>
      <c r="AJ271" s="31" t="str">
        <f t="shared" si="139"/>
        <v>1+0.05085544460141i</v>
      </c>
      <c r="AK271" s="31">
        <f t="shared" si="154"/>
        <v>1.0012923030991534</v>
      </c>
      <c r="AL271" s="31">
        <f t="shared" si="155"/>
        <v>5.0811670432504057E-2</v>
      </c>
      <c r="AM271" s="31" t="str">
        <f t="shared" si="140"/>
        <v>1+24.7307035599916i</v>
      </c>
      <c r="AN271" s="31">
        <f t="shared" si="156"/>
        <v>24.750913085625371</v>
      </c>
      <c r="AO271" s="31">
        <f t="shared" si="157"/>
        <v>1.5303827768952933</v>
      </c>
      <c r="AP271" s="58" t="str">
        <f t="shared" si="158"/>
        <v>-0.0489166903733808+0.00447485606123984i</v>
      </c>
      <c r="AQ271" s="49">
        <f t="shared" si="159"/>
        <v>-26.174666281477464</v>
      </c>
      <c r="AR271" s="61">
        <f t="shared" si="160"/>
        <v>174.77317988981923</v>
      </c>
      <c r="AS271" s="58" t="str">
        <f t="shared" si="161"/>
        <v>1.15013229191856+0.0340104435571225i</v>
      </c>
      <c r="AT271" s="64">
        <f t="shared" si="162"/>
        <v>1.2187519198562449</v>
      </c>
      <c r="AU271" s="61">
        <f t="shared" si="163"/>
        <v>1.693794004486517</v>
      </c>
    </row>
    <row r="272" spans="14:47" x14ac:dyDescent="0.4">
      <c r="N272" s="10">
        <v>54</v>
      </c>
      <c r="O272" s="50">
        <f t="shared" si="164"/>
        <v>3467.3685045253224</v>
      </c>
      <c r="P272" s="48" t="str">
        <f t="shared" si="132"/>
        <v>5120.19230769231</v>
      </c>
      <c r="Q272" s="17" t="str">
        <f t="shared" si="133"/>
        <v>1+101.808209204947i</v>
      </c>
      <c r="R272" s="17">
        <f t="shared" si="141"/>
        <v>101.81312028180974</v>
      </c>
      <c r="S272" s="17">
        <f t="shared" si="142"/>
        <v>1.5609742520340821</v>
      </c>
      <c r="T272" s="17" t="str">
        <f t="shared" si="134"/>
        <v>1+0.000217643327233686i</v>
      </c>
      <c r="U272" s="17">
        <f t="shared" si="143"/>
        <v>1.0000000236843087</v>
      </c>
      <c r="V272" s="17">
        <f t="shared" si="144"/>
        <v>2.1764332379719823E-4</v>
      </c>
      <c r="W272" s="31" t="str">
        <f t="shared" si="135"/>
        <v>1-0.352935125243815i</v>
      </c>
      <c r="X272" s="17">
        <f t="shared" si="145"/>
        <v>1.0604542435347539</v>
      </c>
      <c r="Y272" s="17">
        <f t="shared" si="146"/>
        <v>-0.33928723350678713</v>
      </c>
      <c r="Z272" s="31" t="str">
        <f t="shared" si="136"/>
        <v>0.99519094226153+2.14883550457017i</v>
      </c>
      <c r="AA272" s="17">
        <f t="shared" si="147"/>
        <v>2.3681003013514292</v>
      </c>
      <c r="AB272" s="17">
        <f t="shared" si="148"/>
        <v>1.1370770079275712</v>
      </c>
      <c r="AC272" s="66" t="str">
        <f t="shared" si="149"/>
        <v>-22.3975250170139-2.34846003212977i</v>
      </c>
      <c r="AD272" s="64">
        <f t="shared" si="150"/>
        <v>27.051487536337167</v>
      </c>
      <c r="AE272" s="61">
        <f t="shared" si="151"/>
        <v>-174.01420658447265</v>
      </c>
      <c r="AF272" s="31" t="str">
        <f t="shared" si="137"/>
        <v>-1.39902068552014E-06</v>
      </c>
      <c r="AG272" s="31" t="str">
        <f t="shared" si="138"/>
        <v>0.000720423377874225i</v>
      </c>
      <c r="AH272" s="31">
        <f t="shared" si="152"/>
        <v>7.2042337787422495E-4</v>
      </c>
      <c r="AI272" s="31">
        <f t="shared" si="153"/>
        <v>1.5707963267948966</v>
      </c>
      <c r="AJ272" s="31" t="str">
        <f t="shared" si="139"/>
        <v>1+0.052040020079945i</v>
      </c>
      <c r="AK272" s="31">
        <f t="shared" si="154"/>
        <v>1.001353166315422</v>
      </c>
      <c r="AL272" s="31">
        <f t="shared" si="155"/>
        <v>5.1993118635529079E-2</v>
      </c>
      <c r="AM272" s="31" t="str">
        <f t="shared" si="140"/>
        <v>1+25.3067556471121i</v>
      </c>
      <c r="AN272" s="31">
        <f t="shared" si="156"/>
        <v>25.326505510682683</v>
      </c>
      <c r="AO272" s="31">
        <f t="shared" si="157"/>
        <v>1.531301734168623</v>
      </c>
      <c r="AP272" s="58" t="str">
        <f t="shared" si="158"/>
        <v>-0.048910744146363+0.00448725848262054i</v>
      </c>
      <c r="AQ272" s="49">
        <f t="shared" si="159"/>
        <v>-26.175513315999403</v>
      </c>
      <c r="AR272" s="61">
        <f t="shared" si="160"/>
        <v>174.75814026738718</v>
      </c>
      <c r="AS272" s="58" t="str">
        <f t="shared" si="161"/>
        <v>1.1060177628192+0.0143614436471572i</v>
      </c>
      <c r="AT272" s="64">
        <f t="shared" si="162"/>
        <v>0.87597422033775851</v>
      </c>
      <c r="AU272" s="61">
        <f t="shared" si="163"/>
        <v>0.74393368291453954</v>
      </c>
    </row>
    <row r="273" spans="14:47" x14ac:dyDescent="0.4">
      <c r="N273" s="10">
        <v>55</v>
      </c>
      <c r="O273" s="50">
        <f t="shared" si="164"/>
        <v>3548.1338923357539</v>
      </c>
      <c r="P273" s="48" t="str">
        <f t="shared" si="132"/>
        <v>5120.19230769231</v>
      </c>
      <c r="Q273" s="17" t="str">
        <f t="shared" si="133"/>
        <v>1+104.179627036074i</v>
      </c>
      <c r="R273" s="17">
        <f t="shared" si="141"/>
        <v>104.18442632838884</v>
      </c>
      <c r="S273" s="17">
        <f t="shared" si="142"/>
        <v>1.5611978158596023</v>
      </c>
      <c r="T273" s="17" t="str">
        <f t="shared" si="134"/>
        <v>1+0.000222712891574897i</v>
      </c>
      <c r="U273" s="17">
        <f t="shared" si="143"/>
        <v>1.0000000248005159</v>
      </c>
      <c r="V273" s="17">
        <f t="shared" si="144"/>
        <v>2.22712887892634E-4</v>
      </c>
      <c r="W273" s="31" t="str">
        <f t="shared" si="135"/>
        <v>1-0.361156040391724i</v>
      </c>
      <c r="X273" s="17">
        <f t="shared" si="145"/>
        <v>1.0632185502103642</v>
      </c>
      <c r="Y273" s="17">
        <f t="shared" si="146"/>
        <v>-0.3465786101758625</v>
      </c>
      <c r="Z273" s="31" t="str">
        <f t="shared" si="136"/>
        <v>0.994964298352823+2.19888831339072i</v>
      </c>
      <c r="AA273" s="17">
        <f t="shared" si="147"/>
        <v>2.4135168882282576</v>
      </c>
      <c r="AB273" s="17">
        <f t="shared" si="148"/>
        <v>1.1458776747394923</v>
      </c>
      <c r="AC273" s="66" t="str">
        <f t="shared" si="149"/>
        <v>-21.5658079835232-1.90621010332903i</v>
      </c>
      <c r="AD273" s="64">
        <f t="shared" si="150"/>
        <v>26.70911364056348</v>
      </c>
      <c r="AE273" s="61">
        <f t="shared" si="151"/>
        <v>-174.94873155870212</v>
      </c>
      <c r="AF273" s="31" t="str">
        <f t="shared" si="137"/>
        <v>-1.39902068552014E-06</v>
      </c>
      <c r="AG273" s="31" t="str">
        <f t="shared" si="138"/>
        <v>0.000737204194053923i</v>
      </c>
      <c r="AH273" s="31">
        <f t="shared" si="152"/>
        <v>7.3720419405392298E-4</v>
      </c>
      <c r="AI273" s="31">
        <f t="shared" si="153"/>
        <v>1.5707963267948966</v>
      </c>
      <c r="AJ273" s="31" t="str">
        <f t="shared" si="139"/>
        <v>1+0.0532521878659572i</v>
      </c>
      <c r="AK273" s="31">
        <f t="shared" si="154"/>
        <v>1.0014168939620058</v>
      </c>
      <c r="AL273" s="31">
        <f t="shared" si="155"/>
        <v>5.320193590240177E-2</v>
      </c>
      <c r="AM273" s="31" t="str">
        <f t="shared" si="140"/>
        <v>1+25.8962257110511i</v>
      </c>
      <c r="AN273" s="31">
        <f t="shared" si="156"/>
        <v>25.915526351546557</v>
      </c>
      <c r="AO273" s="31">
        <f t="shared" si="157"/>
        <v>1.5321998379147861</v>
      </c>
      <c r="AP273" s="58" t="str">
        <f t="shared" si="158"/>
        <v>-0.0489045192315289+0.00450201101552905i</v>
      </c>
      <c r="AQ273" s="49">
        <f t="shared" si="159"/>
        <v>-26.17637082423586</v>
      </c>
      <c r="AR273" s="61">
        <f t="shared" si="160"/>
        <v>174.74033769401291</v>
      </c>
      <c r="AS273" s="58" t="str">
        <f t="shared" si="161"/>
        <v>1.06324725015677-0.00386721644301653i</v>
      </c>
      <c r="AT273" s="64">
        <f t="shared" si="162"/>
        <v>0.53274281632761733</v>
      </c>
      <c r="AU273" s="61">
        <f t="shared" si="163"/>
        <v>-0.20839386468920992</v>
      </c>
    </row>
    <row r="274" spans="14:47" x14ac:dyDescent="0.4">
      <c r="N274" s="10">
        <v>56</v>
      </c>
      <c r="O274" s="50">
        <f t="shared" si="164"/>
        <v>3630.7805477010188</v>
      </c>
      <c r="P274" s="48" t="str">
        <f t="shared" si="132"/>
        <v>5120.19230769231</v>
      </c>
      <c r="Q274" s="17" t="str">
        <f t="shared" si="133"/>
        <v>1+106.606282284438i</v>
      </c>
      <c r="R274" s="17">
        <f t="shared" si="141"/>
        <v>106.61097233638419</v>
      </c>
      <c r="S274" s="17">
        <f t="shared" si="142"/>
        <v>1.5614162916783263</v>
      </c>
      <c r="T274" s="17" t="str">
        <f t="shared" si="134"/>
        <v>1+0.000227900541239176i</v>
      </c>
      <c r="U274" s="17">
        <f t="shared" si="143"/>
        <v>1.000000025969328</v>
      </c>
      <c r="V274" s="17">
        <f t="shared" si="144"/>
        <v>2.2790053729356013E-4</v>
      </c>
      <c r="W274" s="31" t="str">
        <f t="shared" si="135"/>
        <v>1-0.369568445252718i</v>
      </c>
      <c r="X274" s="17">
        <f t="shared" si="145"/>
        <v>1.0661054524419764</v>
      </c>
      <c r="Y274" s="17">
        <f t="shared" si="146"/>
        <v>-0.35400027681010093</v>
      </c>
      <c r="Z274" s="31" t="str">
        <f t="shared" si="136"/>
        <v>0.994726973045774+2.25010700190078i</v>
      </c>
      <c r="AA274" s="17">
        <f t="shared" si="147"/>
        <v>2.4601754553095847</v>
      </c>
      <c r="AB274" s="17">
        <f t="shared" si="148"/>
        <v>1.1545482845854356</v>
      </c>
      <c r="AC274" s="66" t="str">
        <f t="shared" si="149"/>
        <v>-20.7585164766054-1.49419026173976i</v>
      </c>
      <c r="AD274" s="64">
        <f t="shared" si="150"/>
        <v>26.366369259101067</v>
      </c>
      <c r="AE274" s="61">
        <f t="shared" si="151"/>
        <v>-175.88297159569649</v>
      </c>
      <c r="AF274" s="31" t="str">
        <f t="shared" si="137"/>
        <v>-1.39902068552014E-06</v>
      </c>
      <c r="AG274" s="31" t="str">
        <f t="shared" si="138"/>
        <v>0.000754375885655362i</v>
      </c>
      <c r="AH274" s="31">
        <f t="shared" si="152"/>
        <v>7.5437588565536204E-4</v>
      </c>
      <c r="AI274" s="31">
        <f t="shared" si="153"/>
        <v>1.5707963267948966</v>
      </c>
      <c r="AJ274" s="31" t="str">
        <f t="shared" si="139"/>
        <v>1+0.0544925906668524i</v>
      </c>
      <c r="AK274" s="31">
        <f t="shared" si="154"/>
        <v>1.0014836206536706</v>
      </c>
      <c r="AL274" s="31">
        <f t="shared" si="155"/>
        <v>5.4438749025054134E-2</v>
      </c>
      <c r="AM274" s="31" t="str">
        <f t="shared" si="140"/>
        <v>1+26.4994262966393i</v>
      </c>
      <c r="AN274" s="31">
        <f t="shared" si="156"/>
        <v>26.518287917039789</v>
      </c>
      <c r="AO274" s="31">
        <f t="shared" si="157"/>
        <v>1.5330775585217564</v>
      </c>
      <c r="AP274" s="58" t="str">
        <f t="shared" si="158"/>
        <v>-0.0488980026435442+0.00451911941320057i</v>
      </c>
      <c r="AQ274" s="49">
        <f t="shared" si="159"/>
        <v>-26.177240612410138</v>
      </c>
      <c r="AR274" s="61">
        <f t="shared" si="160"/>
        <v>174.7197632084096</v>
      </c>
      <c r="AS274" s="58" t="str">
        <f t="shared" si="161"/>
        <v>1.02180241776795-0.0207472954301626i</v>
      </c>
      <c r="AT274" s="64">
        <f t="shared" si="162"/>
        <v>0.18912864669092797</v>
      </c>
      <c r="AU274" s="61">
        <f t="shared" si="163"/>
        <v>-1.1632083872868881</v>
      </c>
    </row>
    <row r="275" spans="14:47" x14ac:dyDescent="0.4">
      <c r="N275" s="10">
        <v>57</v>
      </c>
      <c r="O275" s="50">
        <f t="shared" si="164"/>
        <v>3715.352290971724</v>
      </c>
      <c r="P275" s="48" t="str">
        <f t="shared" ref="P275:P338" si="165">COMPLEX(Adc,0)</f>
        <v>5120.19230769231</v>
      </c>
      <c r="Q275" s="17" t="str">
        <f t="shared" ref="Q275:Q338" si="166">IMSUM(COMPLEX(1,0),IMDIV(COMPLEX(0,2*PI()*O275),COMPLEX(wp_lf,0)))</f>
        <v>1+109.089461594769i</v>
      </c>
      <c r="R275" s="17">
        <f t="shared" si="141"/>
        <v>109.09404489263648</v>
      </c>
      <c r="S275" s="17">
        <f t="shared" si="142"/>
        <v>1.5616297952455511</v>
      </c>
      <c r="T275" s="17" t="str">
        <f t="shared" ref="T275:T338" si="167">IMSUM(COMPLEX(1,0),IMDIV(COMPLEX(0,2*PI()*O275),COMPLEX(wz_esr,0)))</f>
        <v>1+0.00023320902678704i</v>
      </c>
      <c r="U275" s="17">
        <f t="shared" si="143"/>
        <v>1.0000000271932248</v>
      </c>
      <c r="V275" s="17">
        <f t="shared" si="144"/>
        <v>2.3320902255923642E-4</v>
      </c>
      <c r="W275" s="31" t="str">
        <f t="shared" ref="W275:W338" si="168">IMSUB(COMPLEX(1,0),IMDIV(COMPLEX(0,2*PI()*O275),COMPLEX(wz_rhp,0)))</f>
        <v>1-0.3781768001952i</v>
      </c>
      <c r="X275" s="17">
        <f t="shared" si="145"/>
        <v>1.0691200550947868</v>
      </c>
      <c r="Y275" s="17">
        <f t="shared" si="146"/>
        <v>-0.36155289714718525</v>
      </c>
      <c r="Z275" s="31" t="str">
        <f t="shared" ref="Z275:Z338" si="169">IMSUM(COMPLEX(1,0),IMDIV(COMPLEX(0,2*PI()*O275),COMPLEX(Q*(wsl/2),0)),IMDIV(IMPOWER(COMPLEX(0,2*PI()*O275),2),IMPOWER(COMPLEX(wsl/2,0),2)))</f>
        <v>0.994478462941588+2.30251872692692i</v>
      </c>
      <c r="AA275" s="17">
        <f t="shared" si="147"/>
        <v>2.5081028489884201</v>
      </c>
      <c r="AB275" s="17">
        <f t="shared" si="148"/>
        <v>1.163088314637768</v>
      </c>
      <c r="AC275" s="66" t="str">
        <f t="shared" si="149"/>
        <v>-19.9754163140319-1.1108744498793i</v>
      </c>
      <c r="AD275" s="64">
        <f t="shared" si="150"/>
        <v>26.023327500385275</v>
      </c>
      <c r="AE275" s="61">
        <f t="shared" si="151"/>
        <v>-176.81694124370139</v>
      </c>
      <c r="AF275" s="31" t="str">
        <f t="shared" ref="AF275:AF338" si="170">COMPLEX(Adc_ea,0)</f>
        <v>-1.39902068552014E-06</v>
      </c>
      <c r="AG275" s="31" t="str">
        <f t="shared" ref="AG275:AG338" si="171">COMPLEX(0,2*PI()*O275*wp0_ea)</f>
        <v>0.000771947557336718i</v>
      </c>
      <c r="AH275" s="31">
        <f t="shared" si="152"/>
        <v>7.7194755733671805E-4</v>
      </c>
      <c r="AI275" s="31">
        <f t="shared" si="153"/>
        <v>1.5707963267948966</v>
      </c>
      <c r="AJ275" s="31" t="str">
        <f t="shared" ref="AJ275:AJ338" si="172">IMSUM(COMPLEX(1,0),IMDIV(COMPLEX(0,2*PI()*O275),COMPLEX(wp1_ea,0)))</f>
        <v>1+0.0557618861606137i</v>
      </c>
      <c r="AK275" s="31">
        <f t="shared" si="154"/>
        <v>1.0015534873126792</v>
      </c>
      <c r="AL275" s="31">
        <f t="shared" si="155"/>
        <v>5.5704198633904155E-2</v>
      </c>
      <c r="AM275" s="31" t="str">
        <f t="shared" ref="AM275:AM338" si="173">IMSUM(COMPLEX(1,0),IMDIV(COMPLEX(0,2*PI()*O275),COMPLEX(wz_ea,0)))</f>
        <v>1+27.1166772288114i</v>
      </c>
      <c r="AN275" s="31">
        <f t="shared" si="156"/>
        <v>27.135109801354016</v>
      </c>
      <c r="AO275" s="31">
        <f t="shared" si="157"/>
        <v>1.5339353559560096</v>
      </c>
      <c r="AP275" s="58" t="str">
        <f t="shared" si="158"/>
        <v>-0.048891180799357+0.00453859053147123i</v>
      </c>
      <c r="AQ275" s="49">
        <f t="shared" si="159"/>
        <v>-26.178124512119002</v>
      </c>
      <c r="AR275" s="61">
        <f t="shared" si="160"/>
        <v>174.69640645929584</v>
      </c>
      <c r="AS275" s="58" t="str">
        <f t="shared" si="161"/>
        <v>0.981663494811635-0.036348271770626i</v>
      </c>
      <c r="AT275" s="64">
        <f t="shared" si="162"/>
        <v>-0.1547970117337252</v>
      </c>
      <c r="AU275" s="61">
        <f t="shared" si="163"/>
        <v>-2.1205347844055362</v>
      </c>
    </row>
    <row r="276" spans="14:47" x14ac:dyDescent="0.4">
      <c r="N276" s="10">
        <v>58</v>
      </c>
      <c r="O276" s="50">
        <f t="shared" si="164"/>
        <v>3801.8939632056172</v>
      </c>
      <c r="P276" s="48" t="str">
        <f t="shared" si="165"/>
        <v>5120.19230769231</v>
      </c>
      <c r="Q276" s="17" t="str">
        <f t="shared" si="166"/>
        <v>1+111.630481581608i</v>
      </c>
      <c r="R276" s="17">
        <f t="shared" ref="R276:R339" si="174">IMABS(Q276)</f>
        <v>111.63496055511339</v>
      </c>
      <c r="S276" s="17">
        <f t="shared" ref="S276:S339" si="175">IMARGUMENT(Q276)</f>
        <v>1.5618384396857914</v>
      </c>
      <c r="T276" s="17" t="str">
        <f t="shared" si="167"/>
        <v>1+0.000238641162847793i</v>
      </c>
      <c r="U276" s="17">
        <f t="shared" ref="U276:U339" si="176">IMABS(T276)</f>
        <v>1.0000000284748018</v>
      </c>
      <c r="V276" s="17">
        <f t="shared" ref="V276:V339" si="177">IMARGUMENT(T276)</f>
        <v>2.3864115831761986E-4</v>
      </c>
      <c r="W276" s="31" t="str">
        <f t="shared" si="168"/>
        <v>1-0.386985669482906i</v>
      </c>
      <c r="X276" s="17">
        <f t="shared" ref="X276:X339" si="178">IMABS(W276)</f>
        <v>1.0722676477377899</v>
      </c>
      <c r="Y276" s="17">
        <f t="shared" ref="Y276:Y339" si="179">IMARGUMENT(W276)</f>
        <v>-0.36923702815291509</v>
      </c>
      <c r="Z276" s="31" t="str">
        <f t="shared" si="169"/>
        <v>0.994218240917016+2.35615127785952i</v>
      </c>
      <c r="AA276" s="17">
        <f t="shared" ref="AA276:AA339" si="180">IMABS(Z276)</f>
        <v>2.5573264857524887</v>
      </c>
      <c r="AB276" s="17">
        <f t="shared" ref="AB276:AB339" si="181">IMARGUMENT(Z276)</f>
        <v>1.1714974041796165</v>
      </c>
      <c r="AC276" s="66" t="str">
        <f t="shared" ref="AC276:AC339" si="182">(IMDIV(IMPRODUCT(P276,T276,W276),IMPRODUCT(Q276,Z276)))</f>
        <v>-19.2162362572091-0.754786931291925i</v>
      </c>
      <c r="AD276" s="64">
        <f t="shared" ref="AD276:AD339" si="183">20*LOG(IMABS(AC276))</f>
        <v>25.680061761726598</v>
      </c>
      <c r="AE276" s="61">
        <f t="shared" ref="AE276:AE339" si="184">(180/PI())*IMARGUMENT(AC276)</f>
        <v>-177.75065806724268</v>
      </c>
      <c r="AF276" s="31" t="str">
        <f t="shared" si="170"/>
        <v>-1.39902068552014E-06</v>
      </c>
      <c r="AG276" s="31" t="str">
        <f t="shared" si="171"/>
        <v>0.000789928525830911i</v>
      </c>
      <c r="AH276" s="31">
        <f t="shared" ref="AH276:AH339" si="185">IMABS(AG276)</f>
        <v>7.89928525830911E-4</v>
      </c>
      <c r="AI276" s="31">
        <f t="shared" ref="AI276:AI339" si="186">IMARGUMENT(AG276)</f>
        <v>1.5707963267948966</v>
      </c>
      <c r="AJ276" s="31" t="str">
        <f t="shared" si="172"/>
        <v>1+0.0570607473445131i</v>
      </c>
      <c r="AK276" s="31">
        <f t="shared" ref="AK276:AK339" si="187">IMABS(AJ276)</f>
        <v>1.0016266414625332</v>
      </c>
      <c r="AL276" s="31">
        <f t="shared" ref="AL276:AL339" si="188">IMARGUMENT(AJ276)</f>
        <v>5.699893946635054E-2</v>
      </c>
      <c r="AM276" s="31" t="str">
        <f t="shared" si="173"/>
        <v>1+27.7483057821818i</v>
      </c>
      <c r="AN276" s="31">
        <f t="shared" ref="AN276:AN339" si="189">IMABS(AM276)</f>
        <v>27.766319053512728</v>
      </c>
      <c r="AO276" s="31">
        <f t="shared" ref="AO276:AO339" si="190">IMARGUMENT(AM276)</f>
        <v>1.5347736799807647</v>
      </c>
      <c r="AP276" s="58" t="str">
        <f t="shared" ref="AP276:AP339" si="191">IMPRODUCT(AF276,IMDIV(AM276,IMPRODUCT(AG276,AJ276)))</f>
        <v>-0.0488840394913888+0.00456043232211019i</v>
      </c>
      <c r="AQ276" s="49">
        <f t="shared" ref="AQ276:AQ339" si="192">20*LOG(IMABS(AP276))</f>
        <v>-26.179024384105691</v>
      </c>
      <c r="AR276" s="61">
        <f t="shared" ref="AR276:AR339" si="193">(180/PI())*IMARGUMENT(AP276)</f>
        <v>174.67025570251633</v>
      </c>
      <c r="AS276" s="58" t="str">
        <f t="shared" ref="AS276:AS339" si="194">IMPRODUCT(AC276,AP276)</f>
        <v>0.942809406791037-0.0507373107798235i</v>
      </c>
      <c r="AT276" s="64">
        <f t="shared" ref="AT276:AT339" si="195">20*LOG(IMABS(AS276))</f>
        <v>-0.49896262237909489</v>
      </c>
      <c r="AU276" s="61">
        <f t="shared" ref="AU276:AU339" si="196">(180/PI())*IMARGUMENT(AS276)</f>
        <v>-3.0804023647263485</v>
      </c>
    </row>
    <row r="277" spans="14:47" x14ac:dyDescent="0.4">
      <c r="N277" s="10">
        <v>59</v>
      </c>
      <c r="O277" s="50">
        <f t="shared" si="164"/>
        <v>3890.451449942811</v>
      </c>
      <c r="P277" s="48" t="str">
        <f t="shared" si="165"/>
        <v>5120.19230769231</v>
      </c>
      <c r="Q277" s="17" t="str">
        <f t="shared" si="166"/>
        <v>1+114.230689527385i</v>
      </c>
      <c r="R277" s="17">
        <f t="shared" si="174"/>
        <v>114.23506655095809</v>
      </c>
      <c r="S277" s="17">
        <f t="shared" si="175"/>
        <v>1.5620423355523867</v>
      </c>
      <c r="T277" s="17" t="str">
        <f t="shared" si="167"/>
        <v>1+0.000244199829611876i</v>
      </c>
      <c r="U277" s="17">
        <f t="shared" si="176"/>
        <v>1.0000000298167779</v>
      </c>
      <c r="V277" s="17">
        <f t="shared" si="177"/>
        <v>2.4419982475770805E-4</v>
      </c>
      <c r="W277" s="31" t="str">
        <f t="shared" si="168"/>
        <v>1-0.395999723694934i</v>
      </c>
      <c r="X277" s="17">
        <f t="shared" si="178"/>
        <v>1.0755537091035781</v>
      </c>
      <c r="Y277" s="17">
        <f t="shared" si="179"/>
        <v>-0.37705311331266222</v>
      </c>
      <c r="Z277" s="31" t="str">
        <f t="shared" si="169"/>
        <v>0.993945755006255+2.41103309138699i</v>
      </c>
      <c r="AA277" s="17">
        <f t="shared" si="180"/>
        <v>2.6078743703748577</v>
      </c>
      <c r="AB277" s="17">
        <f t="shared" si="181"/>
        <v>1.1797753479928073</v>
      </c>
      <c r="AC277" s="66" t="str">
        <f t="shared" si="182"/>
        <v>-18.4806712137666-0.424502776138745i</v>
      </c>
      <c r="AD277" s="64">
        <f t="shared" si="183"/>
        <v>25.336645656079742</v>
      </c>
      <c r="AE277" s="61">
        <f t="shared" si="184"/>
        <v>-178.68414188724256</v>
      </c>
      <c r="AF277" s="31" t="str">
        <f t="shared" si="170"/>
        <v>-1.39902068552014E-06</v>
      </c>
      <c r="AG277" s="31" t="str">
        <f t="shared" si="171"/>
        <v>0.000808328324885437i</v>
      </c>
      <c r="AH277" s="31">
        <f t="shared" si="185"/>
        <v>8.08328324885437E-4</v>
      </c>
      <c r="AI277" s="31">
        <f t="shared" si="186"/>
        <v>1.5707963267948966</v>
      </c>
      <c r="AJ277" s="31" t="str">
        <f t="shared" si="172"/>
        <v>1+0.058389862891943i</v>
      </c>
      <c r="AK277" s="31">
        <f t="shared" si="187"/>
        <v>1.0017032375352193</v>
      </c>
      <c r="AL277" s="31">
        <f t="shared" si="188"/>
        <v>5.8323640637741127E-2</v>
      </c>
      <c r="AM277" s="31" t="str">
        <f t="shared" si="173"/>
        <v>1+28.3946468545701i</v>
      </c>
      <c r="AN277" s="31">
        <f t="shared" si="189"/>
        <v>28.412250350786152</v>
      </c>
      <c r="AO277" s="31">
        <f t="shared" si="190"/>
        <v>1.5355929703705187</v>
      </c>
      <c r="AP277" s="58" t="str">
        <f t="shared" si="191"/>
        <v>-0.0488765638595942+0.00458465382601726i</v>
      </c>
      <c r="AQ277" s="49">
        <f t="shared" si="192"/>
        <v>-26.179942122087724</v>
      </c>
      <c r="AR277" s="61">
        <f t="shared" si="193"/>
        <v>174.64129779780811</v>
      </c>
      <c r="AS277" s="58" t="str">
        <f t="shared" si="194"/>
        <v>0.905217905024607-0.0639792429410417i</v>
      </c>
      <c r="AT277" s="64">
        <f t="shared" si="195"/>
        <v>-0.84329646600798214</v>
      </c>
      <c r="AU277" s="61">
        <f t="shared" si="196"/>
        <v>-4.0428440894344329</v>
      </c>
    </row>
    <row r="278" spans="14:47" x14ac:dyDescent="0.4">
      <c r="N278" s="10">
        <v>60</v>
      </c>
      <c r="O278" s="50">
        <f t="shared" si="164"/>
        <v>3981.0717055349769</v>
      </c>
      <c r="P278" s="48" t="str">
        <f t="shared" si="165"/>
        <v>5120.19230769231</v>
      </c>
      <c r="Q278" s="17" t="str">
        <f t="shared" si="166"/>
        <v>1+116.891464096771i</v>
      </c>
      <c r="R278" s="17">
        <f t="shared" si="174"/>
        <v>116.89574149081182</v>
      </c>
      <c r="S278" s="17">
        <f t="shared" si="175"/>
        <v>1.5622415908857719</v>
      </c>
      <c r="T278" s="17" t="str">
        <f t="shared" si="167"/>
        <v>1+0.000249887974357987i</v>
      </c>
      <c r="U278" s="17">
        <f t="shared" si="176"/>
        <v>1.0000000312219994</v>
      </c>
      <c r="V278" s="17">
        <f t="shared" si="177"/>
        <v>2.498879691566523E-4</v>
      </c>
      <c r="W278" s="31" t="str">
        <f t="shared" si="168"/>
        <v>1-0.40522374220214i</v>
      </c>
      <c r="X278" s="17">
        <f t="shared" si="178"/>
        <v>1.0789839114853874</v>
      </c>
      <c r="Y278" s="17">
        <f t="shared" si="179"/>
        <v>-0.38500147583980432</v>
      </c>
      <c r="Z278" s="31" t="str">
        <f t="shared" si="169"/>
        <v>0.993660427230156+2.46719326657331i</v>
      </c>
      <c r="AA278" s="17">
        <f t="shared" si="180"/>
        <v>2.6597751144162349</v>
      </c>
      <c r="AB278" s="17">
        <f t="shared" si="181"/>
        <v>1.1879220896253389</v>
      </c>
      <c r="AC278" s="66" t="str">
        <f t="shared" si="182"/>
        <v>-17.7683853708907-0.118648117058055i</v>
      </c>
      <c r="AD278" s="64">
        <f t="shared" si="183"/>
        <v>24.993152939761679</v>
      </c>
      <c r="AE278" s="61">
        <f t="shared" si="184"/>
        <v>-179.61741400939655</v>
      </c>
      <c r="AF278" s="31" t="str">
        <f t="shared" si="170"/>
        <v>-1.39902068552014E-06</v>
      </c>
      <c r="AG278" s="31" t="str">
        <f t="shared" si="171"/>
        <v>0.000827156710317309i</v>
      </c>
      <c r="AH278" s="31">
        <f t="shared" si="185"/>
        <v>8.2715671031730899E-4</v>
      </c>
      <c r="AI278" s="31">
        <f t="shared" si="186"/>
        <v>1.5707963267948966</v>
      </c>
      <c r="AJ278" s="31" t="str">
        <f t="shared" si="172"/>
        <v>1+0.0597499375175591i</v>
      </c>
      <c r="AK278" s="31">
        <f t="shared" si="187"/>
        <v>1.0017834371925662</v>
      </c>
      <c r="AL278" s="31">
        <f t="shared" si="188"/>
        <v>5.9678985914613576E-2</v>
      </c>
      <c r="AM278" s="31" t="str">
        <f t="shared" si="173"/>
        <v>1+29.0560431445683i</v>
      </c>
      <c r="AN278" s="31">
        <f t="shared" si="189"/>
        <v>29.073246176149897</v>
      </c>
      <c r="AO278" s="31">
        <f t="shared" si="190"/>
        <v>1.5363936571218653</v>
      </c>
      <c r="AP278" s="58" t="str">
        <f t="shared" si="191"/>
        <v>-0.048868738362343+0.00461126516623319i</v>
      </c>
      <c r="AQ278" s="49">
        <f t="shared" si="192"/>
        <v>-26.180879656647477</v>
      </c>
      <c r="AR278" s="61">
        <f t="shared" si="193"/>
        <v>174.60951820522456</v>
      </c>
      <c r="AS278" s="58" t="str">
        <f t="shared" si="194"/>
        <v>0.86886569374057-0.076136552731301i</v>
      </c>
      <c r="AT278" s="64">
        <f t="shared" si="195"/>
        <v>-1.1877267168857908</v>
      </c>
      <c r="AU278" s="61">
        <f t="shared" si="196"/>
        <v>-5.0078958041720174</v>
      </c>
    </row>
    <row r="279" spans="14:47" x14ac:dyDescent="0.4">
      <c r="N279" s="10">
        <v>61</v>
      </c>
      <c r="O279" s="50">
        <f t="shared" si="164"/>
        <v>4073.8027780411317</v>
      </c>
      <c r="P279" s="48" t="str">
        <f t="shared" si="165"/>
        <v>5120.19230769231</v>
      </c>
      <c r="Q279" s="17" t="str">
        <f t="shared" si="166"/>
        <v>1+119.614216067664i</v>
      </c>
      <c r="R279" s="17">
        <f t="shared" si="174"/>
        <v>119.61839609977142</v>
      </c>
      <c r="S279" s="17">
        <f t="shared" si="175"/>
        <v>1.5624363112704382</v>
      </c>
      <c r="T279" s="17" t="str">
        <f t="shared" si="167"/>
        <v>1+0.000255708613015761i</v>
      </c>
      <c r="U279" s="17">
        <f t="shared" si="176"/>
        <v>1.0000000326934468</v>
      </c>
      <c r="V279" s="17">
        <f t="shared" si="177"/>
        <v>2.557086074424305E-4</v>
      </c>
      <c r="W279" s="31" t="str">
        <f t="shared" si="168"/>
        <v>1-0.414662615701233i</v>
      </c>
      <c r="X279" s="17">
        <f t="shared" si="178"/>
        <v>1.0825641250568894</v>
      </c>
      <c r="Y279" s="17">
        <f t="shared" si="179"/>
        <v>-0.39308231182747605</v>
      </c>
      <c r="Z279" s="31" t="str">
        <f t="shared" si="169"/>
        <v>0.99336165237025+2.52466158028673i</v>
      </c>
      <c r="AA279" s="17">
        <f t="shared" si="180"/>
        <v>2.7130579550344369</v>
      </c>
      <c r="AB279" s="17">
        <f t="shared" si="181"/>
        <v>1.1959377145793471</v>
      </c>
      <c r="AC279" s="66" t="str">
        <f t="shared" si="182"/>
        <v>-17.0790152445187+0.164099809249146i</v>
      </c>
      <c r="AD279" s="64">
        <f t="shared" si="183"/>
        <v>24.649657440816686</v>
      </c>
      <c r="AE279" s="61">
        <f t="shared" si="184"/>
        <v>179.44950355532944</v>
      </c>
      <c r="AF279" s="31" t="str">
        <f t="shared" si="170"/>
        <v>-1.39902068552014E-06</v>
      </c>
      <c r="AG279" s="31" t="str">
        <f t="shared" si="171"/>
        <v>0.000846423665185704i</v>
      </c>
      <c r="AH279" s="31">
        <f t="shared" si="185"/>
        <v>8.4642366518570395E-4</v>
      </c>
      <c r="AI279" s="31">
        <f t="shared" si="186"/>
        <v>1.5707963267948966</v>
      </c>
      <c r="AJ279" s="31" t="str">
        <f t="shared" si="172"/>
        <v>1+0.0611416923509312i</v>
      </c>
      <c r="AK279" s="31">
        <f t="shared" si="187"/>
        <v>1.0018674096623446</v>
      </c>
      <c r="AL279" s="31">
        <f t="shared" si="188"/>
        <v>6.1065673989985324E-2</v>
      </c>
      <c r="AM279" s="31" t="str">
        <f t="shared" si="173"/>
        <v>1+29.732845333244i</v>
      </c>
      <c r="AN279" s="31">
        <f t="shared" si="189"/>
        <v>29.749656999881687</v>
      </c>
      <c r="AO279" s="31">
        <f t="shared" si="190"/>
        <v>1.5371761606606147</v>
      </c>
      <c r="AP279" s="58" t="str">
        <f t="shared" si="191"/>
        <v>-0.0488605467460854+0.00464027754070808i</v>
      </c>
      <c r="AQ279" s="49">
        <f t="shared" si="192"/>
        <v>-26.181838959192262</v>
      </c>
      <c r="AR279" s="61">
        <f t="shared" si="193"/>
        <v>174.57490098122904</v>
      </c>
      <c r="AS279" s="58" t="str">
        <f t="shared" si="194"/>
        <v>0.833728554072618-0.0872693772573926i</v>
      </c>
      <c r="AT279" s="64">
        <f t="shared" si="195"/>
        <v>-1.5321815183755745</v>
      </c>
      <c r="AU279" s="61">
        <f t="shared" si="196"/>
        <v>-5.9755954634415351</v>
      </c>
    </row>
    <row r="280" spans="14:47" x14ac:dyDescent="0.4">
      <c r="N280" s="10">
        <v>62</v>
      </c>
      <c r="O280" s="50">
        <f t="shared" si="164"/>
        <v>4168.6938347033583</v>
      </c>
      <c r="P280" s="48" t="str">
        <f t="shared" si="165"/>
        <v>5120.19230769231</v>
      </c>
      <c r="Q280" s="17" t="str">
        <f t="shared" si="166"/>
        <v>1+122.400389079196i</v>
      </c>
      <c r="R280" s="17">
        <f t="shared" si="174"/>
        <v>122.40447396536845</v>
      </c>
      <c r="S280" s="17">
        <f t="shared" si="175"/>
        <v>1.5626265998906128</v>
      </c>
      <c r="T280" s="17" t="str">
        <f t="shared" si="167"/>
        <v>1+0.00026166483176486i</v>
      </c>
      <c r="U280" s="17">
        <f t="shared" si="176"/>
        <v>1.0000000342342414</v>
      </c>
      <c r="V280" s="17">
        <f t="shared" si="177"/>
        <v>2.6166482579292877E-4</v>
      </c>
      <c r="W280" s="31" t="str">
        <f t="shared" si="168"/>
        <v>1-0.42432134880788i</v>
      </c>
      <c r="X280" s="17">
        <f t="shared" si="178"/>
        <v>1.0863004220997701</v>
      </c>
      <c r="Y280" s="17">
        <f t="shared" si="179"/>
        <v>-0.4012956833728164</v>
      </c>
      <c r="Z280" s="31" t="str">
        <f t="shared" si="169"/>
        <v>0.993048796685002+2.58346850298787i</v>
      </c>
      <c r="AA280" s="17">
        <f t="shared" si="180"/>
        <v>2.7677527740981338</v>
      </c>
      <c r="AB280" s="17">
        <f t="shared" si="181"/>
        <v>1.2038224434577076</v>
      </c>
      <c r="AC280" s="66" t="str">
        <f t="shared" si="182"/>
        <v>-16.4121726316145+0.425012818764487i</v>
      </c>
      <c r="AD280" s="64">
        <f t="shared" si="183"/>
        <v>24.306232987710818</v>
      </c>
      <c r="AE280" s="61">
        <f t="shared" si="184"/>
        <v>178.51658887422155</v>
      </c>
      <c r="AF280" s="31" t="str">
        <f t="shared" si="170"/>
        <v>-1.39902068552014E-06</v>
      </c>
      <c r="AG280" s="31" t="str">
        <f t="shared" si="171"/>
        <v>0.000866139405085122i</v>
      </c>
      <c r="AH280" s="31">
        <f t="shared" si="185"/>
        <v>8.6613940508512195E-4</v>
      </c>
      <c r="AI280" s="31">
        <f t="shared" si="186"/>
        <v>1.5707963267948966</v>
      </c>
      <c r="AJ280" s="31" t="str">
        <f t="shared" si="172"/>
        <v>1+0.0625658653188938i</v>
      </c>
      <c r="AK280" s="31">
        <f t="shared" si="187"/>
        <v>1.0019553320897603</v>
      </c>
      <c r="AL280" s="31">
        <f t="shared" si="188"/>
        <v>6.2484418760436505E-2</v>
      </c>
      <c r="AM280" s="31" t="str">
        <f t="shared" si="173"/>
        <v>1+30.4254122700762i</v>
      </c>
      <c r="AN280" s="31">
        <f t="shared" si="189"/>
        <v>30.441841465392717</v>
      </c>
      <c r="AO280" s="31">
        <f t="shared" si="190"/>
        <v>1.5379408920452218</v>
      </c>
      <c r="AP280" s="58" t="str">
        <f t="shared" si="191"/>
        <v>-0.0488519720137574+0.00467170321476795i</v>
      </c>
      <c r="AQ280" s="49">
        <f t="shared" si="192"/>
        <v>-26.182822045991205</v>
      </c>
      <c r="AR280" s="61">
        <f t="shared" si="193"/>
        <v>174.53742877447507</v>
      </c>
      <c r="AS280" s="58" t="str">
        <f t="shared" si="194"/>
        <v>0.799781464332847-0.0974355139722109i</v>
      </c>
      <c r="AT280" s="64">
        <f t="shared" si="195"/>
        <v>-1.8765890582803868</v>
      </c>
      <c r="AU280" s="61">
        <f t="shared" si="196"/>
        <v>-6.9459823513033543</v>
      </c>
    </row>
    <row r="281" spans="14:47" x14ac:dyDescent="0.4">
      <c r="N281" s="10">
        <v>63</v>
      </c>
      <c r="O281" s="50">
        <f t="shared" si="164"/>
        <v>4265.7951880159299</v>
      </c>
      <c r="P281" s="48" t="str">
        <f t="shared" si="165"/>
        <v>5120.19230769231</v>
      </c>
      <c r="Q281" s="17" t="str">
        <f t="shared" si="166"/>
        <v>1+125.251460397179i</v>
      </c>
      <c r="R281" s="17">
        <f t="shared" si="174"/>
        <v>125.25545230298799</v>
      </c>
      <c r="S281" s="17">
        <f t="shared" si="175"/>
        <v>1.562812557584687</v>
      </c>
      <c r="T281" s="17" t="str">
        <f t="shared" si="167"/>
        <v>1+0.000267759788671303i</v>
      </c>
      <c r="U281" s="17">
        <f t="shared" si="176"/>
        <v>1.0000000358476515</v>
      </c>
      <c r="V281" s="17">
        <f t="shared" si="177"/>
        <v>2.6775978227226347E-4</v>
      </c>
      <c r="W281" s="31" t="str">
        <f t="shared" si="168"/>
        <v>1-0.434205062710221i</v>
      </c>
      <c r="X281" s="17">
        <f t="shared" si="178"/>
        <v>1.090199081123804</v>
      </c>
      <c r="Y281" s="17">
        <f t="shared" si="179"/>
        <v>-0.40964151170586427</v>
      </c>
      <c r="Z281" s="31" t="str">
        <f t="shared" si="169"/>
        <v>0.99272119656556+2.64364521488554i</v>
      </c>
      <c r="AA281" s="17">
        <f t="shared" si="180"/>
        <v>2.8238901176033333</v>
      </c>
      <c r="AB281" s="17">
        <f t="shared" si="181"/>
        <v>1.2115766251045104</v>
      </c>
      <c r="AC281" s="66" t="str">
        <f t="shared" si="182"/>
        <v>-15.7674474547788+0.665312119024596i</v>
      </c>
      <c r="AD281" s="64">
        <f t="shared" si="183"/>
        <v>23.962953338030978</v>
      </c>
      <c r="AE281" s="61">
        <f t="shared" si="184"/>
        <v>177.58382087650168</v>
      </c>
      <c r="AF281" s="31" t="str">
        <f t="shared" si="170"/>
        <v>-1.39902068552014E-06</v>
      </c>
      <c r="AG281" s="31" t="str">
        <f t="shared" si="171"/>
        <v>0.000886314383561826i</v>
      </c>
      <c r="AH281" s="31">
        <f t="shared" si="185"/>
        <v>8.8631438356182599E-4</v>
      </c>
      <c r="AI281" s="31">
        <f t="shared" si="186"/>
        <v>1.5707963267948966</v>
      </c>
      <c r="AJ281" s="31" t="str">
        <f t="shared" si="172"/>
        <v>1+0.0640232115368055i</v>
      </c>
      <c r="AK281" s="31">
        <f t="shared" si="187"/>
        <v>1.0020473899050315</v>
      </c>
      <c r="AL281" s="31">
        <f t="shared" si="188"/>
        <v>6.3935949604716213E-2</v>
      </c>
      <c r="AM281" s="31" t="str">
        <f t="shared" si="173"/>
        <v>1+31.1341111632218i</v>
      </c>
      <c r="AN281" s="31">
        <f t="shared" si="189"/>
        <v>31.150166579391708</v>
      </c>
      <c r="AO281" s="31">
        <f t="shared" si="190"/>
        <v>1.5386882531665378</v>
      </c>
      <c r="AP281" s="58" t="str">
        <f t="shared" si="191"/>
        <v>-0.0488429963918815+0.00470555551321757i</v>
      </c>
      <c r="AQ281" s="49">
        <f t="shared" si="192"/>
        <v>-26.183830982296527</v>
      </c>
      <c r="AR281" s="61">
        <f t="shared" si="193"/>
        <v>174.49708282128839</v>
      </c>
      <c r="AS281" s="58" t="str">
        <f t="shared" si="194"/>
        <v>0.766998716033255-0.106690436729196i</v>
      </c>
      <c r="AT281" s="64">
        <f t="shared" si="195"/>
        <v>-2.2208776442655549</v>
      </c>
      <c r="AU281" s="61">
        <f t="shared" si="196"/>
        <v>-7.9190963022099439</v>
      </c>
    </row>
    <row r="282" spans="14:47" x14ac:dyDescent="0.4">
      <c r="N282" s="10">
        <v>64</v>
      </c>
      <c r="O282" s="50">
        <f t="shared" si="164"/>
        <v>4365.1583224016631</v>
      </c>
      <c r="P282" s="48" t="str">
        <f t="shared" si="165"/>
        <v>5120.19230769231</v>
      </c>
      <c r="Q282" s="17" t="str">
        <f t="shared" si="166"/>
        <v>1+128.168941697364i</v>
      </c>
      <c r="R282" s="17">
        <f t="shared" si="174"/>
        <v>128.17284273910093</v>
      </c>
      <c r="S282" s="17">
        <f t="shared" si="175"/>
        <v>1.5629942828984182</v>
      </c>
      <c r="T282" s="17" t="str">
        <f t="shared" si="167"/>
        <v>1+0.00027399671536192i</v>
      </c>
      <c r="U282" s="17">
        <f t="shared" si="176"/>
        <v>1.0000000375370992</v>
      </c>
      <c r="V282" s="17">
        <f t="shared" si="177"/>
        <v>2.7399670850522561E-4</v>
      </c>
      <c r="W282" s="31" t="str">
        <f t="shared" si="168"/>
        <v>1-0.444318997884194i</v>
      </c>
      <c r="X282" s="17">
        <f t="shared" si="178"/>
        <v>1.09426659086386</v>
      </c>
      <c r="Y282" s="17">
        <f t="shared" si="179"/>
        <v>-0.41811957035815966</v>
      </c>
      <c r="Z282" s="31" t="str">
        <f t="shared" si="169"/>
        <v>0.992378157128147+2.70522362246891i</v>
      </c>
      <c r="AA282" s="17">
        <f t="shared" si="180"/>
        <v>2.8815012153925714</v>
      </c>
      <c r="AB282" s="17">
        <f t="shared" si="181"/>
        <v>1.2192007297717142</v>
      </c>
      <c r="AC282" s="66" t="str">
        <f t="shared" si="182"/>
        <v>-15.1444104903922+0.88616881386879i</v>
      </c>
      <c r="AD282" s="64">
        <f t="shared" si="183"/>
        <v>23.619892106867152</v>
      </c>
      <c r="AE282" s="61">
        <f t="shared" si="184"/>
        <v>176.65118013330681</v>
      </c>
      <c r="AF282" s="31" t="str">
        <f t="shared" si="170"/>
        <v>-1.39902068552014E-06</v>
      </c>
      <c r="AG282" s="31" t="str">
        <f t="shared" si="171"/>
        <v>0.000906959297656453i</v>
      </c>
      <c r="AH282" s="31">
        <f t="shared" si="185"/>
        <v>9.0695929765645302E-4</v>
      </c>
      <c r="AI282" s="31">
        <f t="shared" si="186"/>
        <v>1.5707963267948966</v>
      </c>
      <c r="AJ282" s="31" t="str">
        <f t="shared" si="172"/>
        <v>1+0.0655145037089213i</v>
      </c>
      <c r="AK282" s="31">
        <f t="shared" si="187"/>
        <v>1.0021437772077548</v>
      </c>
      <c r="AL282" s="31">
        <f t="shared" si="188"/>
        <v>6.542101166356537E-2</v>
      </c>
      <c r="AM282" s="31" t="str">
        <f t="shared" si="173"/>
        <v>1+31.8593177742148i</v>
      </c>
      <c r="AN282" s="31">
        <f t="shared" si="189"/>
        <v>31.87500790648371</v>
      </c>
      <c r="AO282" s="31">
        <f t="shared" si="190"/>
        <v>1.5394186369439129</v>
      </c>
      <c r="AP282" s="58" t="str">
        <f t="shared" si="191"/>
        <v>-0.0488336012963206+0.00474184881201214i</v>
      </c>
      <c r="AQ282" s="49">
        <f t="shared" si="192"/>
        <v>-26.184867886556283</v>
      </c>
      <c r="AR282" s="61">
        <f t="shared" si="193"/>
        <v>174.45384294086972</v>
      </c>
      <c r="AS282" s="58" t="str">
        <f t="shared" si="194"/>
        <v>0.735354025218342-0.115087319430192i</v>
      </c>
      <c r="AT282" s="64">
        <f t="shared" si="195"/>
        <v>-2.5649757796891297</v>
      </c>
      <c r="AU282" s="61">
        <f t="shared" si="196"/>
        <v>-8.8949769258234515</v>
      </c>
    </row>
    <row r="283" spans="14:47" x14ac:dyDescent="0.4">
      <c r="N283" s="10">
        <v>65</v>
      </c>
      <c r="O283" s="50">
        <f t="shared" si="164"/>
        <v>4466.8359215096343</v>
      </c>
      <c r="P283" s="48" t="str">
        <f t="shared" si="165"/>
        <v>5120.19230769231</v>
      </c>
      <c r="Q283" s="17" t="str">
        <f t="shared" si="166"/>
        <v>1+131.154379866953i</v>
      </c>
      <c r="R283" s="17">
        <f t="shared" si="174"/>
        <v>131.1581921127499</v>
      </c>
      <c r="S283" s="17">
        <f t="shared" si="175"/>
        <v>1.5631718721369352</v>
      </c>
      <c r="T283" s="17" t="str">
        <f t="shared" si="167"/>
        <v>1+0.000280378918737797i</v>
      </c>
      <c r="U283" s="17">
        <f t="shared" si="176"/>
        <v>1.0000000393061683</v>
      </c>
      <c r="V283" s="17">
        <f t="shared" si="177"/>
        <v>2.803789113907166E-4</v>
      </c>
      <c r="W283" s="31" t="str">
        <f t="shared" si="168"/>
        <v>1-0.454668516872103i</v>
      </c>
      <c r="X283" s="17">
        <f t="shared" si="178"/>
        <v>1.0985096541381318</v>
      </c>
      <c r="Y283" s="17">
        <f t="shared" si="179"/>
        <v>-0.42672947840901859</v>
      </c>
      <c r="Z283" s="31" t="str">
        <f t="shared" si="169"/>
        <v>0.992018950740124+2.7682363754248i</v>
      </c>
      <c r="AA283" s="17">
        <f t="shared" si="180"/>
        <v>2.9406180011780809</v>
      </c>
      <c r="AB283" s="17">
        <f t="shared" si="181"/>
        <v>1.2266953423413536</v>
      </c>
      <c r="AC283" s="66" t="str">
        <f t="shared" si="182"/>
        <v>-14.542615973307+1.08870455794091i</v>
      </c>
      <c r="AD283" s="64">
        <f t="shared" si="183"/>
        <v>23.277122694558727</v>
      </c>
      <c r="AE283" s="61">
        <f t="shared" si="184"/>
        <v>175.71864963010623</v>
      </c>
      <c r="AF283" s="31" t="str">
        <f t="shared" si="170"/>
        <v>-1.39902068552014E-06</v>
      </c>
      <c r="AG283" s="31" t="str">
        <f t="shared" si="171"/>
        <v>0.000928085093575723i</v>
      </c>
      <c r="AH283" s="31">
        <f t="shared" si="185"/>
        <v>9.2808509357572295E-4</v>
      </c>
      <c r="AI283" s="31">
        <f t="shared" si="186"/>
        <v>1.5707963267948966</v>
      </c>
      <c r="AJ283" s="31" t="str">
        <f t="shared" si="172"/>
        <v>1+0.0670405325380906i</v>
      </c>
      <c r="AK283" s="31">
        <f t="shared" si="187"/>
        <v>1.0022446971688055</v>
      </c>
      <c r="AL283" s="31">
        <f t="shared" si="188"/>
        <v>6.6940366120423686E-2</v>
      </c>
      <c r="AM283" s="31" t="str">
        <f t="shared" si="173"/>
        <v>1+32.6014166171997i</v>
      </c>
      <c r="AN283" s="31">
        <f t="shared" si="189"/>
        <v>32.616749768305013</v>
      </c>
      <c r="AO283" s="31">
        <f t="shared" si="190"/>
        <v>1.540132427517664</v>
      </c>
      <c r="AP283" s="58" t="str">
        <f t="shared" si="191"/>
        <v>-0.0488237672966387+0.00478059852942747i</v>
      </c>
      <c r="AQ283" s="49">
        <f t="shared" si="192"/>
        <v>-26.185934934726522</v>
      </c>
      <c r="AR283" s="61">
        <f t="shared" si="193"/>
        <v>174.40768753023951</v>
      </c>
      <c r="AS283" s="58" t="str">
        <f t="shared" si="194"/>
        <v>0.704820638756449-0.122677066527717i</v>
      </c>
      <c r="AT283" s="64">
        <f t="shared" si="195"/>
        <v>-2.9088122401677889</v>
      </c>
      <c r="AU283" s="61">
        <f t="shared" si="196"/>
        <v>-9.8736628396542763</v>
      </c>
    </row>
    <row r="284" spans="14:47" x14ac:dyDescent="0.4">
      <c r="N284" s="10">
        <v>66</v>
      </c>
      <c r="O284" s="50">
        <f t="shared" ref="O284:O318" si="197">10^(3+(N284/100))</f>
        <v>4570.8818961487532</v>
      </c>
      <c r="P284" s="48" t="str">
        <f t="shared" si="165"/>
        <v>5120.19230769231</v>
      </c>
      <c r="Q284" s="17" t="str">
        <f t="shared" si="166"/>
        <v>1+134.209357824781i</v>
      </c>
      <c r="R284" s="17">
        <f t="shared" si="174"/>
        <v>134.21308329570596</v>
      </c>
      <c r="S284" s="17">
        <f t="shared" si="175"/>
        <v>1.5633454194155707</v>
      </c>
      <c r="T284" s="17" t="str">
        <f t="shared" si="167"/>
        <v>1+0.000286909782727643i</v>
      </c>
      <c r="U284" s="17">
        <f t="shared" si="176"/>
        <v>1.000000041158611</v>
      </c>
      <c r="V284" s="17">
        <f t="shared" si="177"/>
        <v>2.8690977485510452E-4</v>
      </c>
      <c r="W284" s="31" t="str">
        <f t="shared" si="168"/>
        <v>1-0.465259107125907i</v>
      </c>
      <c r="X284" s="17">
        <f t="shared" si="178"/>
        <v>1.1029351915518864</v>
      </c>
      <c r="Y284" s="17">
        <f t="shared" si="179"/>
        <v>-0.4354706938503014</v>
      </c>
      <c r="Z284" s="31" t="str">
        <f t="shared" si="169"/>
        <v>0.991642815476584+2.83271688394887i</v>
      </c>
      <c r="AA284" s="17">
        <f t="shared" si="180"/>
        <v>3.001273132871336</v>
      </c>
      <c r="AB284" s="17">
        <f t="shared" si="181"/>
        <v>1.2340611556297731</v>
      </c>
      <c r="AC284" s="66" t="str">
        <f t="shared" si="182"/>
        <v>-13.9616040728106+1.27399234511801i</v>
      </c>
      <c r="AD284" s="64">
        <f t="shared" si="183"/>
        <v>22.934718213500002</v>
      </c>
      <c r="AE284" s="61">
        <f t="shared" si="184"/>
        <v>174.78621552769957</v>
      </c>
      <c r="AF284" s="31" t="str">
        <f t="shared" si="170"/>
        <v>-1.39902068552014E-06</v>
      </c>
      <c r="AG284" s="31" t="str">
        <f t="shared" si="171"/>
        <v>0.000949702972496266i</v>
      </c>
      <c r="AH284" s="31">
        <f t="shared" si="185"/>
        <v>9.4970297249626599E-4</v>
      </c>
      <c r="AI284" s="31">
        <f t="shared" si="186"/>
        <v>1.5707963267948966</v>
      </c>
      <c r="AJ284" s="31" t="str">
        <f t="shared" si="172"/>
        <v>1+0.068602107144998i</v>
      </c>
      <c r="AK284" s="31">
        <f t="shared" si="187"/>
        <v>1.0023503624505425</v>
      </c>
      <c r="AL284" s="31">
        <f t="shared" si="188"/>
        <v>6.8494790482655485E-2</v>
      </c>
      <c r="AM284" s="31" t="str">
        <f t="shared" si="173"/>
        <v>1+33.3608011628058i</v>
      </c>
      <c r="AN284" s="31">
        <f t="shared" si="189"/>
        <v>33.375785447300927</v>
      </c>
      <c r="AO284" s="31">
        <f t="shared" si="190"/>
        <v>1.5408300004379443</v>
      </c>
      <c r="AP284" s="58" t="str">
        <f t="shared" si="191"/>
        <v>-0.0488134740790236+0.00482182111665276i</v>
      </c>
      <c r="AQ284" s="49">
        <f t="shared" si="192"/>
        <v>-26.187034364690433</v>
      </c>
      <c r="AR284" s="61">
        <f t="shared" si="193"/>
        <v>174.35859355894598</v>
      </c>
      <c r="AS284" s="58" t="str">
        <f t="shared" si="194"/>
        <v>0.675371435317587-0.129508349655916i</v>
      </c>
      <c r="AT284" s="64">
        <f t="shared" si="195"/>
        <v>-3.2523161511904237</v>
      </c>
      <c r="AU284" s="61">
        <f t="shared" si="196"/>
        <v>-10.855190913354475</v>
      </c>
    </row>
    <row r="285" spans="14:47" x14ac:dyDescent="0.4">
      <c r="N285" s="10">
        <v>67</v>
      </c>
      <c r="O285" s="50">
        <f t="shared" si="197"/>
        <v>4677.3514128719844</v>
      </c>
      <c r="P285" s="48" t="str">
        <f t="shared" si="165"/>
        <v>5120.19230769231</v>
      </c>
      <c r="Q285" s="17" t="str">
        <f t="shared" si="166"/>
        <v>1+137.335495360598i</v>
      </c>
      <c r="R285" s="17">
        <f t="shared" si="174"/>
        <v>137.33913603172562</v>
      </c>
      <c r="S285" s="17">
        <f t="shared" si="175"/>
        <v>1.5635150167095488</v>
      </c>
      <c r="T285" s="17" t="str">
        <f t="shared" si="167"/>
        <v>1+0.000293592770081991i</v>
      </c>
      <c r="U285" s="17">
        <f t="shared" si="176"/>
        <v>1.0000000430983564</v>
      </c>
      <c r="V285" s="17">
        <f t="shared" si="177"/>
        <v>2.9359276164641398E-4</v>
      </c>
      <c r="W285" s="31" t="str">
        <f t="shared" si="168"/>
        <v>1-0.476096383916741i</v>
      </c>
      <c r="X285" s="17">
        <f t="shared" si="178"/>
        <v>1.1075503450311397</v>
      </c>
      <c r="Y285" s="17">
        <f t="shared" si="179"/>
        <v>-0.44434250711323348</v>
      </c>
      <c r="Z285" s="31" t="str">
        <f t="shared" si="169"/>
        <v>0.991248953504202+2.89869933646025i</v>
      </c>
      <c r="AA285" s="17">
        <f t="shared" si="180"/>
        <v>3.0635000132231553</v>
      </c>
      <c r="AB285" s="17">
        <f t="shared" si="181"/>
        <v>1.2412989637976026</v>
      </c>
      <c r="AC285" s="66" t="str">
        <f t="shared" si="182"/>
        <v>-13.4009032361507+1.443057415469i</v>
      </c>
      <c r="AD285" s="64">
        <f t="shared" si="183"/>
        <v>22.592751413716023</v>
      </c>
      <c r="AE285" s="61">
        <f t="shared" si="184"/>
        <v>173.85386790793936</v>
      </c>
      <c r="AF285" s="31" t="str">
        <f t="shared" si="170"/>
        <v>-1.39902068552014E-06</v>
      </c>
      <c r="AG285" s="31" t="str">
        <f t="shared" si="171"/>
        <v>0.00097182439650363i</v>
      </c>
      <c r="AH285" s="31">
        <f t="shared" si="185"/>
        <v>9.7182439650362999E-4</v>
      </c>
      <c r="AI285" s="31">
        <f t="shared" si="186"/>
        <v>1.5707963267948966</v>
      </c>
      <c r="AJ285" s="31" t="str">
        <f t="shared" si="172"/>
        <v>1+0.0702000554971699i</v>
      </c>
      <c r="AK285" s="31">
        <f t="shared" si="187"/>
        <v>1.0024609956461177</v>
      </c>
      <c r="AL285" s="31">
        <f t="shared" si="188"/>
        <v>7.0085078862896527E-2</v>
      </c>
      <c r="AM285" s="31" t="str">
        <f t="shared" si="173"/>
        <v>1+34.1378740467708i</v>
      </c>
      <c r="AN285" s="31">
        <f t="shared" si="189"/>
        <v>34.152517395254883</v>
      </c>
      <c r="AO285" s="31">
        <f t="shared" si="190"/>
        <v>1.5415117228500395</v>
      </c>
      <c r="AP285" s="58" t="str">
        <f t="shared" si="191"/>
        <v>-0.0488027004077286+0.00486553404772605i</v>
      </c>
      <c r="AQ285" s="49">
        <f t="shared" si="192"/>
        <v>-26.188168480791806</v>
      </c>
      <c r="AR285" s="61">
        <f t="shared" si="193"/>
        <v>174.30653656356202</v>
      </c>
      <c r="AS285" s="58" t="str">
        <f t="shared" si="194"/>
        <v>0.646979020839035-0.135627649684058i</v>
      </c>
      <c r="AT285" s="64">
        <f t="shared" si="195"/>
        <v>-3.5954170670757875</v>
      </c>
      <c r="AU285" s="61">
        <f t="shared" si="196"/>
        <v>-11.839595528498604</v>
      </c>
    </row>
    <row r="286" spans="14:47" x14ac:dyDescent="0.4">
      <c r="N286" s="10">
        <v>68</v>
      </c>
      <c r="O286" s="50">
        <f t="shared" si="197"/>
        <v>4786.3009232263848</v>
      </c>
      <c r="P286" s="48" t="str">
        <f t="shared" si="165"/>
        <v>5120.19230769231</v>
      </c>
      <c r="Q286" s="17" t="str">
        <f t="shared" si="166"/>
        <v>1+140.534449993906i</v>
      </c>
      <c r="R286" s="17">
        <f t="shared" si="174"/>
        <v>140.53800779536357</v>
      </c>
      <c r="S286" s="17">
        <f t="shared" si="175"/>
        <v>1.5636807539025521</v>
      </c>
      <c r="T286" s="17" t="str">
        <f t="shared" si="167"/>
        <v>1+0.000300431424209196i</v>
      </c>
      <c r="U286" s="17">
        <f t="shared" si="176"/>
        <v>1.0000000451295192</v>
      </c>
      <c r="V286" s="17">
        <f t="shared" si="177"/>
        <v>3.0043141517031245E-4</v>
      </c>
      <c r="W286" s="31" t="str">
        <f t="shared" si="168"/>
        <v>1-0.487186093312209i</v>
      </c>
      <c r="X286" s="17">
        <f t="shared" si="178"/>
        <v>1.1123624811709591</v>
      </c>
      <c r="Y286" s="17">
        <f t="shared" si="179"/>
        <v>-0.4533440348034124</v>
      </c>
      <c r="Z286" s="31" t="str">
        <f t="shared" si="169"/>
        <v>0.990836529388929+2.96621871772865i</v>
      </c>
      <c r="AA286" s="17">
        <f t="shared" si="180"/>
        <v>3.1273328107790661</v>
      </c>
      <c r="AB286" s="17">
        <f t="shared" si="181"/>
        <v>1.2484096558863629</v>
      </c>
      <c r="AC286" s="66" t="str">
        <f t="shared" si="182"/>
        <v>-12.8600323973503+1.5968782658887i</v>
      </c>
      <c r="AD286" s="64">
        <f t="shared" si="183"/>
        <v>22.251294606944839</v>
      </c>
      <c r="AE286" s="61">
        <f t="shared" si="184"/>
        <v>172.9216015003359</v>
      </c>
      <c r="AF286" s="31" t="str">
        <f t="shared" si="170"/>
        <v>-1.39902068552014E-06</v>
      </c>
      <c r="AG286" s="31" t="str">
        <f t="shared" si="171"/>
        <v>0.000994461094669637i</v>
      </c>
      <c r="AH286" s="31">
        <f t="shared" si="185"/>
        <v>9.9446109466963702E-4</v>
      </c>
      <c r="AI286" s="31">
        <f t="shared" si="186"/>
        <v>1.5707963267948966</v>
      </c>
      <c r="AJ286" s="31" t="str">
        <f t="shared" si="172"/>
        <v>1+0.071835224847974i</v>
      </c>
      <c r="AK286" s="31">
        <f t="shared" si="187"/>
        <v>1.0025768297387283</v>
      </c>
      <c r="AL286" s="31">
        <f t="shared" si="188"/>
        <v>7.1712042260086178E-2</v>
      </c>
      <c r="AM286" s="31" t="str">
        <f t="shared" si="173"/>
        <v>1+34.9330472834236i</v>
      </c>
      <c r="AN286" s="31">
        <f t="shared" si="189"/>
        <v>34.947357446678403</v>
      </c>
      <c r="AO286" s="31">
        <f t="shared" si="190"/>
        <v>1.5421779536761271</v>
      </c>
      <c r="AP286" s="58" t="str">
        <f t="shared" si="191"/>
        <v>-0.0487914240849842+0.00491175580872715i</v>
      </c>
      <c r="AQ286" s="49">
        <f t="shared" si="192"/>
        <v>-26.189339658491463</v>
      </c>
      <c r="AR286" s="61">
        <f t="shared" si="193"/>
        <v>174.25149064199712</v>
      </c>
      <c r="AS286" s="58" t="str">
        <f t="shared" si="194"/>
        <v>0.619615818347446-0.141079303511174i</v>
      </c>
      <c r="AT286" s="64">
        <f t="shared" si="195"/>
        <v>-3.9380450515466259</v>
      </c>
      <c r="AU286" s="61">
        <f t="shared" si="196"/>
        <v>-12.826907857666967</v>
      </c>
    </row>
    <row r="287" spans="14:47" x14ac:dyDescent="0.4">
      <c r="N287" s="10">
        <v>69</v>
      </c>
      <c r="O287" s="50">
        <f t="shared" si="197"/>
        <v>4897.7881936844633</v>
      </c>
      <c r="P287" s="48" t="str">
        <f t="shared" si="165"/>
        <v>5120.19230769231</v>
      </c>
      <c r="Q287" s="17" t="str">
        <f t="shared" si="166"/>
        <v>1+143.807917852795i</v>
      </c>
      <c r="R287" s="17">
        <f t="shared" si="174"/>
        <v>143.81139467078481</v>
      </c>
      <c r="S287" s="17">
        <f t="shared" si="175"/>
        <v>1.5638427188341923</v>
      </c>
      <c r="T287" s="17" t="str">
        <f t="shared" si="167"/>
        <v>1+0.000307429371054197i</v>
      </c>
      <c r="U287" s="17">
        <f t="shared" si="176"/>
        <v>1.0000000472564079</v>
      </c>
      <c r="V287" s="17">
        <f t="shared" si="177"/>
        <v>3.0742936136885879E-4</v>
      </c>
      <c r="W287" s="31" t="str">
        <f t="shared" si="168"/>
        <v>1-0.498534115223022i</v>
      </c>
      <c r="X287" s="17">
        <f t="shared" si="178"/>
        <v>1.1173791943835367</v>
      </c>
      <c r="Y287" s="17">
        <f t="shared" si="179"/>
        <v>-0.46247421369251263</v>
      </c>
      <c r="Z287" s="31" t="str">
        <f t="shared" si="169"/>
        <v>0.990404668323922+3.03531082742373i</v>
      </c>
      <c r="AA287" s="17">
        <f t="shared" si="180"/>
        <v>3.1928064811562802</v>
      </c>
      <c r="AB287" s="17">
        <f t="shared" si="181"/>
        <v>1.2553942095000399</v>
      </c>
      <c r="AC287" s="66" t="str">
        <f t="shared" si="182"/>
        <v>-12.3385030503381+1.73638775019005i</v>
      </c>
      <c r="AD287" s="64">
        <f t="shared" si="183"/>
        <v>21.910419588991111</v>
      </c>
      <c r="AE287" s="61">
        <f t="shared" si="184"/>
        <v>171.98941638571489</v>
      </c>
      <c r="AF287" s="31" t="str">
        <f t="shared" si="170"/>
        <v>-1.39902068552014E-06</v>
      </c>
      <c r="AG287" s="31" t="str">
        <f t="shared" si="171"/>
        <v>0.00101762506927129i</v>
      </c>
      <c r="AH287" s="31">
        <f t="shared" si="185"/>
        <v>1.01762506927129E-3</v>
      </c>
      <c r="AI287" s="31">
        <f t="shared" si="186"/>
        <v>1.5707963267948966</v>
      </c>
      <c r="AJ287" s="31" t="str">
        <f t="shared" si="172"/>
        <v>1+0.0735084821858442i</v>
      </c>
      <c r="AK287" s="31">
        <f t="shared" si="187"/>
        <v>1.002698108581674</v>
      </c>
      <c r="AL287" s="31">
        <f t="shared" si="188"/>
        <v>7.3376508839710627E-2</v>
      </c>
      <c r="AM287" s="31" t="str">
        <f t="shared" si="173"/>
        <v>1+35.7467424841396i</v>
      </c>
      <c r="AN287" s="31">
        <f t="shared" si="189"/>
        <v>35.760727037175734</v>
      </c>
      <c r="AO287" s="31">
        <f t="shared" si="190"/>
        <v>1.542829043793531</v>
      </c>
      <c r="AP287" s="58" t="str">
        <f t="shared" si="191"/>
        <v>-0.0487796219093384+0.00496050588613705i</v>
      </c>
      <c r="AQ287" s="49">
        <f t="shared" si="192"/>
        <v>-26.190550349153842</v>
      </c>
      <c r="AR287" s="61">
        <f t="shared" si="193"/>
        <v>174.19342844765399</v>
      </c>
      <c r="AS287" s="58" t="str">
        <f t="shared" si="194"/>
        <v>0.593254152067277-0.145905554949599i</v>
      </c>
      <c r="AT287" s="64">
        <f t="shared" si="195"/>
        <v>-4.2801307601627343</v>
      </c>
      <c r="AU287" s="61">
        <f t="shared" si="196"/>
        <v>-13.817155166631069</v>
      </c>
    </row>
    <row r="288" spans="14:47" x14ac:dyDescent="0.4">
      <c r="N288" s="10">
        <v>70</v>
      </c>
      <c r="O288" s="50">
        <f t="shared" si="197"/>
        <v>5011.8723362727324</v>
      </c>
      <c r="P288" s="48" t="str">
        <f t="shared" si="165"/>
        <v>5120.19230769231</v>
      </c>
      <c r="Q288" s="17" t="str">
        <f t="shared" si="166"/>
        <v>1+147.157634573251i</v>
      </c>
      <c r="R288" s="17">
        <f t="shared" si="174"/>
        <v>147.16103225104965</v>
      </c>
      <c r="S288" s="17">
        <f t="shared" si="175"/>
        <v>1.5640009973464104</v>
      </c>
      <c r="T288" s="17" t="str">
        <f t="shared" si="167"/>
        <v>1+0.00031459032102104i</v>
      </c>
      <c r="U288" s="17">
        <f t="shared" si="176"/>
        <v>1.0000000494835337</v>
      </c>
      <c r="V288" s="17">
        <f t="shared" si="177"/>
        <v>3.1459031064301317E-4</v>
      </c>
      <c r="W288" s="31" t="str">
        <f t="shared" si="168"/>
        <v>1-0.510146466520605i</v>
      </c>
      <c r="X288" s="17">
        <f t="shared" si="178"/>
        <v>1.1226083098318214</v>
      </c>
      <c r="Y288" s="17">
        <f t="shared" si="179"/>
        <v>-0.47173179501732976</v>
      </c>
      <c r="Z288" s="31" t="str">
        <f t="shared" si="169"/>
        <v>0.989952454273962+3.10601229909661i</v>
      </c>
      <c r="AA288" s="17">
        <f t="shared" si="180"/>
        <v>3.2599567886495753</v>
      </c>
      <c r="AB288" s="17">
        <f t="shared" si="181"/>
        <v>1.2622536846474344</v>
      </c>
      <c r="AC288" s="66" t="str">
        <f t="shared" si="182"/>
        <v>-11.8358211865781+1.86247425514807i</v>
      </c>
      <c r="AD288" s="64">
        <f t="shared" si="183"/>
        <v>21.57019756014882</v>
      </c>
      <c r="AE288" s="61">
        <f t="shared" si="184"/>
        <v>171.05731867311607</v>
      </c>
      <c r="AF288" s="31" t="str">
        <f t="shared" si="170"/>
        <v>-1.39902068552014E-06</v>
      </c>
      <c r="AG288" s="31" t="str">
        <f t="shared" si="171"/>
        <v>0.00104132860215453i</v>
      </c>
      <c r="AH288" s="31">
        <f t="shared" si="185"/>
        <v>1.04132860215453E-3</v>
      </c>
      <c r="AI288" s="31">
        <f t="shared" si="186"/>
        <v>1.5707963267948966</v>
      </c>
      <c r="AJ288" s="31" t="str">
        <f t="shared" si="172"/>
        <v>1+0.0752207146939692i</v>
      </c>
      <c r="AK288" s="31">
        <f t="shared" si="187"/>
        <v>1.0028250874001265</v>
      </c>
      <c r="AL288" s="31">
        <f t="shared" si="188"/>
        <v>7.5079324212741841E-2</v>
      </c>
      <c r="AM288" s="31" t="str">
        <f t="shared" si="173"/>
        <v>1+36.5793910808849i</v>
      </c>
      <c r="AN288" s="31">
        <f t="shared" si="189"/>
        <v>36.593057426898916</v>
      </c>
      <c r="AO288" s="31">
        <f t="shared" si="190"/>
        <v>1.5434653362095141</v>
      </c>
      <c r="AP288" s="58" t="str">
        <f t="shared" si="191"/>
        <v>-0.0487672696323796+0.00501180475426813i</v>
      </c>
      <c r="AQ288" s="49">
        <f t="shared" si="192"/>
        <v>-26.191803084972136</v>
      </c>
      <c r="AR288" s="61">
        <f t="shared" si="193"/>
        <v>174.1323211834613</v>
      </c>
      <c r="AS288" s="58" t="str">
        <f t="shared" si="194"/>
        <v>0.567866325799832-0.150146609077731i</v>
      </c>
      <c r="AT288" s="64">
        <f t="shared" si="195"/>
        <v>-4.6216055248233241</v>
      </c>
      <c r="AU288" s="61">
        <f t="shared" si="196"/>
        <v>-14.810360143422642</v>
      </c>
    </row>
    <row r="289" spans="14:47" x14ac:dyDescent="0.4">
      <c r="N289" s="10">
        <v>71</v>
      </c>
      <c r="O289" s="50">
        <f t="shared" si="197"/>
        <v>5128.6138399136489</v>
      </c>
      <c r="P289" s="48" t="str">
        <f t="shared" si="165"/>
        <v>5120.19230769231</v>
      </c>
      <c r="Q289" s="17" t="str">
        <f t="shared" si="166"/>
        <v>1+150.58537621942i</v>
      </c>
      <c r="R289" s="17">
        <f t="shared" si="174"/>
        <v>150.5886965583548</v>
      </c>
      <c r="S289" s="17">
        <f t="shared" si="175"/>
        <v>1.5641556733288287</v>
      </c>
      <c r="T289" s="17" t="str">
        <f t="shared" si="167"/>
        <v>1+0.000321918070940182i</v>
      </c>
      <c r="U289" s="17">
        <f t="shared" si="176"/>
        <v>1.0000000518156209</v>
      </c>
      <c r="V289" s="17">
        <f t="shared" si="177"/>
        <v>3.219180598199259E-4</v>
      </c>
      <c r="W289" s="31" t="str">
        <f t="shared" si="168"/>
        <v>1-0.522029304227321i</v>
      </c>
      <c r="X289" s="17">
        <f t="shared" si="178"/>
        <v>1.1280578861353086</v>
      </c>
      <c r="Y289" s="17">
        <f t="shared" si="179"/>
        <v>-0.48111533913859655</v>
      </c>
      <c r="Z289" s="31" t="str">
        <f t="shared" si="169"/>
        <v>0.989478928032419+3.17836061960338i</v>
      </c>
      <c r="AA289" s="17">
        <f t="shared" si="180"/>
        <v>3.3288203281741966</v>
      </c>
      <c r="AB289" s="17">
        <f t="shared" si="181"/>
        <v>1.2689892177587037</v>
      </c>
      <c r="AC289" s="66" t="str">
        <f t="shared" si="182"/>
        <v>-11.3514890984135+1.97598293975219i</v>
      </c>
      <c r="AD289" s="64">
        <f t="shared" si="183"/>
        <v>21.230699043532578</v>
      </c>
      <c r="AE289" s="61">
        <f t="shared" si="184"/>
        <v>170.12532114616306</v>
      </c>
      <c r="AF289" s="31" t="str">
        <f t="shared" si="170"/>
        <v>-1.39902068552014E-06</v>
      </c>
      <c r="AG289" s="31" t="str">
        <f t="shared" si="171"/>
        <v>0.00106558426124624i</v>
      </c>
      <c r="AH289" s="31">
        <f t="shared" si="185"/>
        <v>1.06558426124624E-3</v>
      </c>
      <c r="AI289" s="31">
        <f t="shared" si="186"/>
        <v>1.5707963267948966</v>
      </c>
      <c r="AJ289" s="31" t="str">
        <f t="shared" si="172"/>
        <v>1+0.0769728302206883i</v>
      </c>
      <c r="AK289" s="31">
        <f t="shared" si="187"/>
        <v>1.0029580333155435</v>
      </c>
      <c r="AL289" s="31">
        <f t="shared" si="188"/>
        <v>7.6821351712712177E-2</v>
      </c>
      <c r="AM289" s="31" t="str">
        <f t="shared" si="173"/>
        <v>1+37.4314345549665i</v>
      </c>
      <c r="AN289" s="31">
        <f t="shared" si="189"/>
        <v>37.444789929210984</v>
      </c>
      <c r="AO289" s="31">
        <f t="shared" si="190"/>
        <v>1.5440871662326416</v>
      </c>
      <c r="AP289" s="58" t="str">
        <f t="shared" si="191"/>
        <v>-0.0487543419137953+0.00506567386166201i</v>
      </c>
      <c r="AQ289" s="49">
        <f t="shared" si="192"/>
        <v>-26.193100484040567</v>
      </c>
      <c r="AR289" s="61">
        <f t="shared" si="193"/>
        <v>174.068138595817</v>
      </c>
      <c r="AS289" s="58" t="str">
        <f t="shared" si="194"/>
        <v>0.543424695605779-0.153840689477279i</v>
      </c>
      <c r="AT289" s="64">
        <f t="shared" si="195"/>
        <v>-4.9624014405079961</v>
      </c>
      <c r="AU289" s="61">
        <f t="shared" si="196"/>
        <v>-15.806540258019927</v>
      </c>
    </row>
    <row r="290" spans="14:47" x14ac:dyDescent="0.4">
      <c r="N290" s="10">
        <v>72</v>
      </c>
      <c r="O290" s="50">
        <f t="shared" si="197"/>
        <v>5248.0746024977261</v>
      </c>
      <c r="P290" s="48" t="str">
        <f t="shared" si="165"/>
        <v>5120.19230769231</v>
      </c>
      <c r="Q290" s="17" t="str">
        <f t="shared" si="166"/>
        <v>1+154.092960225293i</v>
      </c>
      <c r="R290" s="17">
        <f t="shared" si="174"/>
        <v>154.09620498569632</v>
      </c>
      <c r="S290" s="17">
        <f t="shared" si="175"/>
        <v>1.5643068287630788</v>
      </c>
      <c r="T290" s="17" t="str">
        <f t="shared" si="167"/>
        <v>1+0.000329416506081627i</v>
      </c>
      <c r="U290" s="17">
        <f t="shared" si="176"/>
        <v>1.0000000542576157</v>
      </c>
      <c r="V290" s="17">
        <f t="shared" si="177"/>
        <v>3.2941649416605797E-4</v>
      </c>
      <c r="W290" s="31" t="str">
        <f t="shared" si="168"/>
        <v>1-0.534188928781017i</v>
      </c>
      <c r="X290" s="17">
        <f t="shared" si="178"/>
        <v>1.1337362178356174</v>
      </c>
      <c r="Y290" s="17">
        <f t="shared" si="179"/>
        <v>-0.49062321061345371</v>
      </c>
      <c r="Z290" s="31" t="str">
        <f t="shared" si="169"/>
        <v>0.988983085186647+3.25239414898126i</v>
      </c>
      <c r="AA290" s="17">
        <f t="shared" si="180"/>
        <v>3.3994345475553476</v>
      </c>
      <c r="AB290" s="17">
        <f t="shared" si="181"/>
        <v>1.275602015887326</v>
      </c>
      <c r="AC290" s="66" t="str">
        <f t="shared" si="182"/>
        <v>-10.8850070502333+2.07771702573039i</v>
      </c>
      <c r="AD290" s="64">
        <f t="shared" si="183"/>
        <v>20.891993801199348</v>
      </c>
      <c r="AE290" s="61">
        <f t="shared" si="184"/>
        <v>169.19344387516679</v>
      </c>
      <c r="AF290" s="31" t="str">
        <f t="shared" si="170"/>
        <v>-1.39902068552014E-06</v>
      </c>
      <c r="AG290" s="31" t="str">
        <f t="shared" si="171"/>
        <v>0.00109040490721794i</v>
      </c>
      <c r="AH290" s="31">
        <f t="shared" si="185"/>
        <v>1.09040490721794E-3</v>
      </c>
      <c r="AI290" s="31">
        <f t="shared" si="186"/>
        <v>1.5707963267948966</v>
      </c>
      <c r="AJ290" s="31" t="str">
        <f t="shared" si="172"/>
        <v>1+0.0787657577608467i</v>
      </c>
      <c r="AK290" s="31">
        <f t="shared" si="187"/>
        <v>1.0030972258937019</v>
      </c>
      <c r="AL290" s="31">
        <f t="shared" si="188"/>
        <v>7.8603472670320376E-2</v>
      </c>
      <c r="AM290" s="31" t="str">
        <f t="shared" si="173"/>
        <v>1+38.3033246711129i</v>
      </c>
      <c r="AN290" s="31">
        <f t="shared" si="189"/>
        <v>38.316376144681094</v>
      </c>
      <c r="AO290" s="31">
        <f t="shared" si="190"/>
        <v>1.5446948616407645</v>
      </c>
      <c r="AP290" s="58" t="str">
        <f t="shared" si="191"/>
        <v>-0.0487408122747271+0.00512213561634731i</v>
      </c>
      <c r="AQ290" s="49">
        <f t="shared" si="192"/>
        <v>-26.194445255581464</v>
      </c>
      <c r="AR290" s="61">
        <f t="shared" si="193"/>
        <v>174.0008489684792</v>
      </c>
      <c r="AS290" s="58" t="str">
        <f t="shared" si="194"/>
        <v>0.519901736866317-0.157024097807321i</v>
      </c>
      <c r="AT290" s="64">
        <f t="shared" si="195"/>
        <v>-5.30245145438212</v>
      </c>
      <c r="AU290" s="61">
        <f t="shared" si="196"/>
        <v>-16.80570715635406</v>
      </c>
    </row>
    <row r="291" spans="14:47" x14ac:dyDescent="0.4">
      <c r="N291" s="10">
        <v>73</v>
      </c>
      <c r="O291" s="50">
        <f t="shared" si="197"/>
        <v>5370.3179637025269</v>
      </c>
      <c r="P291" s="48" t="str">
        <f t="shared" si="165"/>
        <v>5120.19230769231</v>
      </c>
      <c r="Q291" s="17" t="str">
        <f t="shared" si="166"/>
        <v>1+157.682246358339i</v>
      </c>
      <c r="R291" s="17">
        <f t="shared" si="174"/>
        <v>157.68541726048073</v>
      </c>
      <c r="S291" s="17">
        <f t="shared" si="175"/>
        <v>1.5644545437661281</v>
      </c>
      <c r="T291" s="17" t="str">
        <f t="shared" si="167"/>
        <v>1+0.000337089602214939i</v>
      </c>
      <c r="U291" s="17">
        <f t="shared" si="176"/>
        <v>1.0000000568146983</v>
      </c>
      <c r="V291" s="17">
        <f t="shared" si="177"/>
        <v>3.3708958944717678E-4</v>
      </c>
      <c r="W291" s="31" t="str">
        <f t="shared" si="168"/>
        <v>1-0.546631787375576i</v>
      </c>
      <c r="X291" s="17">
        <f t="shared" si="178"/>
        <v>1.1396518376106877</v>
      </c>
      <c r="Y291" s="17">
        <f t="shared" si="179"/>
        <v>-0.50025357373640655</v>
      </c>
      <c r="Z291" s="31" t="str">
        <f t="shared" si="169"/>
        <v>0.988463873987493+3.32815214078745i</v>
      </c>
      <c r="AA291" s="17">
        <f t="shared" si="180"/>
        <v>3.4718377701739533</v>
      </c>
      <c r="AB291" s="17">
        <f t="shared" si="181"/>
        <v>1.2820933511065651</v>
      </c>
      <c r="AC291" s="66" t="str">
        <f t="shared" si="182"/>
        <v>-10.4358748203459+2.16843912823228i</v>
      </c>
      <c r="AD291" s="64">
        <f t="shared" si="183"/>
        <v>20.554150747992132</v>
      </c>
      <c r="AE291" s="61">
        <f t="shared" si="184"/>
        <v>168.26171479130591</v>
      </c>
      <c r="AF291" s="31" t="str">
        <f t="shared" si="170"/>
        <v>-1.39902068552014E-06</v>
      </c>
      <c r="AG291" s="31" t="str">
        <f t="shared" si="171"/>
        <v>0.00111580370030466i</v>
      </c>
      <c r="AH291" s="31">
        <f t="shared" si="185"/>
        <v>1.11580370030466E-3</v>
      </c>
      <c r="AI291" s="31">
        <f t="shared" si="186"/>
        <v>1.5707963267948966</v>
      </c>
      <c r="AJ291" s="31" t="str">
        <f t="shared" si="172"/>
        <v>1+0.0806004479483578i</v>
      </c>
      <c r="AK291" s="31">
        <f t="shared" si="187"/>
        <v>1.0032429577173598</v>
      </c>
      <c r="AL291" s="31">
        <f t="shared" si="188"/>
        <v>8.0426586684903961E-2</v>
      </c>
      <c r="AM291" s="31" t="str">
        <f t="shared" si="173"/>
        <v>1+39.1955237170043i</v>
      </c>
      <c r="AN291" s="31">
        <f t="shared" si="189"/>
        <v>39.208278200531154</v>
      </c>
      <c r="AO291" s="31">
        <f t="shared" si="190"/>
        <v>1.5452887428456592</v>
      </c>
      <c r="AP291" s="58" t="str">
        <f t="shared" si="191"/>
        <v>-0.0487266530493774+0.00518121336984105i</v>
      </c>
      <c r="AQ291" s="49">
        <f t="shared" si="192"/>
        <v>-26.195840205335937</v>
      </c>
      <c r="AR291" s="61">
        <f t="shared" si="193"/>
        <v>173.93041911644502</v>
      </c>
      <c r="AS291" s="58" t="str">
        <f t="shared" si="194"/>
        <v>0.497270105834845-0.159731275205232i</v>
      </c>
      <c r="AT291" s="64">
        <f t="shared" si="195"/>
        <v>-5.6416894573438086</v>
      </c>
      <c r="AU291" s="61">
        <f t="shared" si="196"/>
        <v>-17.807866092249029</v>
      </c>
    </row>
    <row r="292" spans="14:47" x14ac:dyDescent="0.4">
      <c r="N292" s="10">
        <v>74</v>
      </c>
      <c r="O292" s="50">
        <f t="shared" si="197"/>
        <v>5495.4087385762541</v>
      </c>
      <c r="P292" s="48" t="str">
        <f t="shared" si="165"/>
        <v>5120.19230769231</v>
      </c>
      <c r="Q292" s="17" t="str">
        <f t="shared" si="166"/>
        <v>1+161.355137705576i</v>
      </c>
      <c r="R292" s="17">
        <f t="shared" si="174"/>
        <v>161.35823643057515</v>
      </c>
      <c r="S292" s="17">
        <f t="shared" si="175"/>
        <v>1.5645988966326272</v>
      </c>
      <c r="T292" s="17" t="str">
        <f t="shared" si="167"/>
        <v>1+0.000344941427717255i</v>
      </c>
      <c r="U292" s="17">
        <f t="shared" si="176"/>
        <v>1.0000000594922926</v>
      </c>
      <c r="V292" s="17">
        <f t="shared" si="177"/>
        <v>3.4494141403635135E-4</v>
      </c>
      <c r="W292" s="31" t="str">
        <f t="shared" si="168"/>
        <v>1-0.559364477379331i</v>
      </c>
      <c r="X292" s="17">
        <f t="shared" si="178"/>
        <v>1.1458135182279237</v>
      </c>
      <c r="Y292" s="17">
        <f t="shared" si="179"/>
        <v>-0.51000438860421859</v>
      </c>
      <c r="Z292" s="31" t="str">
        <f t="shared" si="169"/>
        <v>0.987920193118392+3.40567476291199i</v>
      </c>
      <c r="AA292" s="17">
        <f t="shared" si="180"/>
        <v>3.546069217980202</v>
      </c>
      <c r="AB292" s="17">
        <f t="shared" si="181"/>
        <v>1.2884645551076652</v>
      </c>
      <c r="AC292" s="66" t="str">
        <f t="shared" si="182"/>
        <v>-10.0035931170959+2.24887261640098i</v>
      </c>
      <c r="AD292" s="64">
        <f t="shared" si="183"/>
        <v>20.217237863087526</v>
      </c>
      <c r="AE292" s="61">
        <f t="shared" si="184"/>
        <v>167.33017021928649</v>
      </c>
      <c r="AF292" s="31" t="str">
        <f t="shared" si="170"/>
        <v>-1.39902068552014E-06</v>
      </c>
      <c r="AG292" s="31" t="str">
        <f t="shared" si="171"/>
        <v>0.0011417941072827i</v>
      </c>
      <c r="AH292" s="31">
        <f t="shared" si="185"/>
        <v>1.1417941072827001E-3</v>
      </c>
      <c r="AI292" s="31">
        <f t="shared" si="186"/>
        <v>1.5707963267948966</v>
      </c>
      <c r="AJ292" s="31" t="str">
        <f t="shared" si="172"/>
        <v>1+0.0824778735602443i</v>
      </c>
      <c r="AK292" s="31">
        <f t="shared" si="187"/>
        <v>1.003395534984594</v>
      </c>
      <c r="AL292" s="31">
        <f t="shared" si="188"/>
        <v>8.2291611892077468E-2</v>
      </c>
      <c r="AM292" s="31" t="str">
        <f t="shared" si="173"/>
        <v>1+40.1085047483847i</v>
      </c>
      <c r="AN292" s="31">
        <f t="shared" si="189"/>
        <v>40.120968995666068</v>
      </c>
      <c r="AO292" s="31">
        <f t="shared" si="190"/>
        <v>1.5458691230543709</v>
      </c>
      <c r="AP292" s="58" t="str">
        <f t="shared" si="191"/>
        <v>-0.048711835334827+0.00524293139977178i</v>
      </c>
      <c r="AQ292" s="49">
        <f t="shared" si="192"/>
        <v>-26.197288241126717</v>
      </c>
      <c r="AR292" s="61">
        <f t="shared" si="193"/>
        <v>173.85681437986054</v>
      </c>
      <c r="AS292" s="58" t="str">
        <f t="shared" si="194"/>
        <v>0.475502695821969-0.161994865043289i</v>
      </c>
      <c r="AT292" s="64">
        <f t="shared" si="195"/>
        <v>-5.980050378039186</v>
      </c>
      <c r="AU292" s="61">
        <f t="shared" si="196"/>
        <v>-18.813015400852937</v>
      </c>
    </row>
    <row r="293" spans="14:47" x14ac:dyDescent="0.4">
      <c r="N293" s="10">
        <v>75</v>
      </c>
      <c r="O293" s="50">
        <f t="shared" si="197"/>
        <v>5623.4132519034993</v>
      </c>
      <c r="P293" s="48" t="str">
        <f t="shared" si="165"/>
        <v>5120.19230769231</v>
      </c>
      <c r="Q293" s="17" t="str">
        <f t="shared" si="166"/>
        <v>1+165.113581682612i</v>
      </c>
      <c r="R293" s="17">
        <f t="shared" si="174"/>
        <v>165.11660987332735</v>
      </c>
      <c r="S293" s="17">
        <f t="shared" si="175"/>
        <v>1.5647399638762984</v>
      </c>
      <c r="T293" s="17" t="str">
        <f t="shared" si="167"/>
        <v>1+0.000352976145730385i</v>
      </c>
      <c r="U293" s="17">
        <f t="shared" si="176"/>
        <v>1.0000000622960779</v>
      </c>
      <c r="V293" s="17">
        <f t="shared" si="177"/>
        <v>3.5297613107103273E-4</v>
      </c>
      <c r="W293" s="31" t="str">
        <f t="shared" si="168"/>
        <v>1-0.572393749833056i</v>
      </c>
      <c r="X293" s="17">
        <f t="shared" si="178"/>
        <v>1.15223027422818</v>
      </c>
      <c r="Y293" s="17">
        <f t="shared" si="179"/>
        <v>-0.519873407760018</v>
      </c>
      <c r="Z293" s="31" t="str">
        <f t="shared" si="169"/>
        <v>0.987350889359326+3.48500311887525i</v>
      </c>
      <c r="AA293" s="17">
        <f t="shared" si="180"/>
        <v>3.6221690348862619</v>
      </c>
      <c r="AB293" s="17">
        <f t="shared" si="181"/>
        <v>1.2947170140051374</v>
      </c>
      <c r="AC293" s="66" t="str">
        <f t="shared" si="182"/>
        <v>-9.58766487330746+2.3197029943977i</v>
      </c>
      <c r="AD293" s="64">
        <f t="shared" si="183"/>
        <v>19.881322099285434</v>
      </c>
      <c r="AE293" s="61">
        <f t="shared" si="184"/>
        <v>166.39885536500702</v>
      </c>
      <c r="AF293" s="31" t="str">
        <f t="shared" si="170"/>
        <v>-1.39902068552014E-06</v>
      </c>
      <c r="AG293" s="31" t="str">
        <f t="shared" si="171"/>
        <v>0.00116838990860985i</v>
      </c>
      <c r="AH293" s="31">
        <f t="shared" si="185"/>
        <v>1.16838990860985E-3</v>
      </c>
      <c r="AI293" s="31">
        <f t="shared" si="186"/>
        <v>1.5707963267948966</v>
      </c>
      <c r="AJ293" s="31" t="str">
        <f t="shared" si="172"/>
        <v>1+0.084399030032416i</v>
      </c>
      <c r="AK293" s="31">
        <f t="shared" si="187"/>
        <v>1.0035552781339017</v>
      </c>
      <c r="AL293" s="31">
        <f t="shared" si="188"/>
        <v>8.4199485226759033E-2</v>
      </c>
      <c r="AM293" s="31" t="str">
        <f t="shared" si="173"/>
        <v>1+41.0427518398814i</v>
      </c>
      <c r="AN293" s="31">
        <f t="shared" si="189"/>
        <v>41.054932451413038</v>
      </c>
      <c r="AO293" s="31">
        <f t="shared" si="190"/>
        <v>1.5464363084273047</v>
      </c>
      <c r="AP293" s="58" t="str">
        <f t="shared" si="191"/>
        <v>-0.0486963289390257+0.00530731489099447i</v>
      </c>
      <c r="AQ293" s="49">
        <f t="shared" si="192"/>
        <v>-26.198792378601485</v>
      </c>
      <c r="AR293" s="61">
        <f t="shared" si="193"/>
        <v>173.77999861800842</v>
      </c>
      <c r="AS293" s="58" t="str">
        <f t="shared" si="194"/>
        <v>0.454572688182871-0.163845776608003i</v>
      </c>
      <c r="AT293" s="64">
        <f t="shared" si="195"/>
        <v>-6.3174702793160513</v>
      </c>
      <c r="AU293" s="61">
        <f t="shared" si="196"/>
        <v>-19.821146016984599</v>
      </c>
    </row>
    <row r="294" spans="14:47" x14ac:dyDescent="0.4">
      <c r="N294" s="10">
        <v>76</v>
      </c>
      <c r="O294" s="50">
        <f t="shared" si="197"/>
        <v>5754.399373371567</v>
      </c>
      <c r="P294" s="48" t="str">
        <f t="shared" si="165"/>
        <v>5120.19230769231</v>
      </c>
      <c r="Q294" s="17" t="str">
        <f t="shared" si="166"/>
        <v>1+168.959571066193i</v>
      </c>
      <c r="R294" s="17">
        <f t="shared" si="174"/>
        <v>168.96253032809349</v>
      </c>
      <c r="S294" s="17">
        <f t="shared" si="175"/>
        <v>1.5648778202703912</v>
      </c>
      <c r="T294" s="17" t="str">
        <f t="shared" si="167"/>
        <v>1+0.000361198016368172i</v>
      </c>
      <c r="U294" s="17">
        <f t="shared" si="176"/>
        <v>1.0000000652320014</v>
      </c>
      <c r="V294" s="17">
        <f t="shared" si="177"/>
        <v>3.6119800066039304E-4</v>
      </c>
      <c r="W294" s="31" t="str">
        <f t="shared" si="168"/>
        <v>1-0.585726513029468i</v>
      </c>
      <c r="X294" s="17">
        <f t="shared" si="178"/>
        <v>1.1589113633344268</v>
      </c>
      <c r="Y294" s="17">
        <f t="shared" si="179"/>
        <v>-0.52985817347140007</v>
      </c>
      <c r="Z294" s="31" t="str">
        <f t="shared" si="169"/>
        <v>0.986754755140696+3.56617926962161i</v>
      </c>
      <c r="AA294" s="17">
        <f t="shared" si="180"/>
        <v>3.7001783105509514</v>
      </c>
      <c r="AB294" s="17">
        <f t="shared" si="181"/>
        <v>1.3008521633529251</v>
      </c>
      <c r="AC294" s="66" t="str">
        <f t="shared" si="182"/>
        <v>-9.1875964235808+2.38157929427297i</v>
      </c>
      <c r="AD294" s="64">
        <f t="shared" si="183"/>
        <v>19.546469290137544</v>
      </c>
      <c r="AE294" s="61">
        <f t="shared" si="184"/>
        <v>165.46782475487402</v>
      </c>
      <c r="AF294" s="31" t="str">
        <f t="shared" si="170"/>
        <v>-1.39902068552014E-06</v>
      </c>
      <c r="AG294" s="31" t="str">
        <f t="shared" si="171"/>
        <v>0.001195605205732i</v>
      </c>
      <c r="AH294" s="31">
        <f t="shared" si="185"/>
        <v>1.195605205732E-3</v>
      </c>
      <c r="AI294" s="31">
        <f t="shared" si="186"/>
        <v>1.5707963267948966</v>
      </c>
      <c r="AJ294" s="31" t="str">
        <f t="shared" si="172"/>
        <v>1+0.0863649359874641i</v>
      </c>
      <c r="AK294" s="31">
        <f t="shared" si="187"/>
        <v>1.0037225224971884</v>
      </c>
      <c r="AL294" s="31">
        <f t="shared" si="188"/>
        <v>8.6151162680762616E-2</v>
      </c>
      <c r="AM294" s="31" t="str">
        <f t="shared" si="173"/>
        <v>1+41.9987603416685i</v>
      </c>
      <c r="AN294" s="31">
        <f t="shared" si="189"/>
        <v>42.010663768106625</v>
      </c>
      <c r="AO294" s="31">
        <f t="shared" si="190"/>
        <v>1.546990598233112</v>
      </c>
      <c r="AP294" s="58" t="str">
        <f t="shared" si="191"/>
        <v>-0.0486801023269167+0.00537438991505917i</v>
      </c>
      <c r="AQ294" s="49">
        <f t="shared" si="192"/>
        <v>-26.200355747165951</v>
      </c>
      <c r="AR294" s="61">
        <f t="shared" si="193"/>
        <v>173.69993420342306</v>
      </c>
      <c r="AS294" s="58" t="str">
        <f t="shared" si="194"/>
        <v>0.434453598297273-0.165313249307401i</v>
      </c>
      <c r="AT294" s="64">
        <f t="shared" si="195"/>
        <v>-6.6538864570283982</v>
      </c>
      <c r="AU294" s="61">
        <f t="shared" si="196"/>
        <v>-20.832241041703</v>
      </c>
    </row>
    <row r="295" spans="14:47" x14ac:dyDescent="0.4">
      <c r="N295" s="10">
        <v>77</v>
      </c>
      <c r="O295" s="50">
        <f t="shared" si="197"/>
        <v>5888.4365535558973</v>
      </c>
      <c r="P295" s="48" t="str">
        <f t="shared" si="165"/>
        <v>5120.19230769231</v>
      </c>
      <c r="Q295" s="17" t="str">
        <f t="shared" si="166"/>
        <v>1+172.895145050798i</v>
      </c>
      <c r="R295" s="17">
        <f t="shared" si="174"/>
        <v>172.89803695281356</v>
      </c>
      <c r="S295" s="17">
        <f t="shared" si="175"/>
        <v>1.5650125388872191</v>
      </c>
      <c r="T295" s="17" t="str">
        <f t="shared" si="167"/>
        <v>1+0.000369611398975261i</v>
      </c>
      <c r="U295" s="17">
        <f t="shared" si="176"/>
        <v>1.0000000683062908</v>
      </c>
      <c r="V295" s="17">
        <f t="shared" si="177"/>
        <v>3.6961138214407262E-4</v>
      </c>
      <c r="W295" s="31" t="str">
        <f t="shared" si="168"/>
        <v>1-0.599369836176098i</v>
      </c>
      <c r="X295" s="17">
        <f t="shared" si="178"/>
        <v>1.1658662875809398</v>
      </c>
      <c r="Y295" s="17">
        <f t="shared" si="179"/>
        <v>-0.53995601569594764</v>
      </c>
      <c r="Z295" s="31" t="str">
        <f t="shared" si="169"/>
        <v>0.986130525981899+3.6492462558207i</v>
      </c>
      <c r="AA295" s="17">
        <f t="shared" si="180"/>
        <v>3.7801391045693982</v>
      </c>
      <c r="AB295" s="17">
        <f t="shared" si="181"/>
        <v>1.3068714833737125</v>
      </c>
      <c r="AC295" s="66" t="str">
        <f t="shared" si="182"/>
        <v>-8.80289856931421+2.43511547288623i</v>
      </c>
      <c r="AD295" s="64">
        <f t="shared" si="183"/>
        <v>19.21274405506842</v>
      </c>
      <c r="AE295" s="61">
        <f t="shared" si="184"/>
        <v>164.53714262357312</v>
      </c>
      <c r="AF295" s="31" t="str">
        <f t="shared" si="170"/>
        <v>-1.39902068552014E-06</v>
      </c>
      <c r="AG295" s="31" t="str">
        <f t="shared" si="171"/>
        <v>0.00122345442855995i</v>
      </c>
      <c r="AH295" s="31">
        <f t="shared" si="185"/>
        <v>1.22345442855995E-3</v>
      </c>
      <c r="AI295" s="31">
        <f t="shared" si="186"/>
        <v>1.5707963267948966</v>
      </c>
      <c r="AJ295" s="31" t="str">
        <f t="shared" si="172"/>
        <v>1+0.0883766337747481i</v>
      </c>
      <c r="AK295" s="31">
        <f t="shared" si="187"/>
        <v>1.0038976189818143</v>
      </c>
      <c r="AL295" s="31">
        <f t="shared" si="188"/>
        <v>8.8147619554058698E-2</v>
      </c>
      <c r="AM295" s="31" t="str">
        <f t="shared" si="173"/>
        <v>1+42.9770371421084i</v>
      </c>
      <c r="AN295" s="31">
        <f t="shared" si="189"/>
        <v>42.988669687653342</v>
      </c>
      <c r="AO295" s="31">
        <f t="shared" si="190"/>
        <v>1.547532285000417</v>
      </c>
      <c r="AP295" s="58" t="str">
        <f t="shared" si="191"/>
        <v>-0.048663122564661+0.00544418340788754i</v>
      </c>
      <c r="AQ295" s="49">
        <f t="shared" si="192"/>
        <v>-26.201981596115292</v>
      </c>
      <c r="AR295" s="61">
        <f t="shared" si="193"/>
        <v>173.61658201618798</v>
      </c>
      <c r="AS295" s="58" t="str">
        <f t="shared" si="194"/>
        <v>0.415119316749039-0.166424917048542i</v>
      </c>
      <c r="AT295" s="64">
        <f t="shared" si="195"/>
        <v>-6.9892375410468723</v>
      </c>
      <c r="AU295" s="61">
        <f t="shared" si="196"/>
        <v>-21.84627536023887</v>
      </c>
    </row>
    <row r="296" spans="14:47" x14ac:dyDescent="0.4">
      <c r="N296" s="10">
        <v>78</v>
      </c>
      <c r="O296" s="50">
        <f t="shared" si="197"/>
        <v>6025.595860743585</v>
      </c>
      <c r="P296" s="48" t="str">
        <f t="shared" si="165"/>
        <v>5120.19230769231</v>
      </c>
      <c r="Q296" s="17" t="str">
        <f t="shared" si="166"/>
        <v>1+176.922390329846i</v>
      </c>
      <c r="R296" s="17">
        <f t="shared" si="174"/>
        <v>176.92521640519865</v>
      </c>
      <c r="S296" s="17">
        <f t="shared" si="175"/>
        <v>1.5651441911368049</v>
      </c>
      <c r="T296" s="17" t="str">
        <f t="shared" si="167"/>
        <v>1+0.00037822075443847i</v>
      </c>
      <c r="U296" s="17">
        <f t="shared" si="176"/>
        <v>1.0000000715254669</v>
      </c>
      <c r="V296" s="17">
        <f t="shared" si="177"/>
        <v>3.7822073640352683E-4</v>
      </c>
      <c r="W296" s="31" t="str">
        <f t="shared" si="168"/>
        <v>1-0.613330953143464i</v>
      </c>
      <c r="X296" s="17">
        <f t="shared" si="178"/>
        <v>1.1731047941611483</v>
      </c>
      <c r="Y296" s="17">
        <f t="shared" si="179"/>
        <v>-0.55016405078565411</v>
      </c>
      <c r="Z296" s="31" t="str">
        <f t="shared" si="169"/>
        <v>0.985476877809196+3.7342481206881i</v>
      </c>
      <c r="AA296" s="17">
        <f t="shared" si="180"/>
        <v>3.8620944710816132</v>
      </c>
      <c r="AB296" s="17">
        <f t="shared" si="181"/>
        <v>1.312776494402315</v>
      </c>
      <c r="AC296" s="66" t="str">
        <f t="shared" si="182"/>
        <v>-8.43308753659111+2.48089180586001i</v>
      </c>
      <c r="AD296" s="64">
        <f t="shared" si="183"/>
        <v>18.880209702706825</v>
      </c>
      <c r="AE296" s="61">
        <f t="shared" si="184"/>
        <v>163.60688324729307</v>
      </c>
      <c r="AF296" s="31" t="str">
        <f t="shared" si="170"/>
        <v>-1.39902068552014E-06</v>
      </c>
      <c r="AG296" s="31" t="str">
        <f t="shared" si="171"/>
        <v>0.00125195234312025i</v>
      </c>
      <c r="AH296" s="31">
        <f t="shared" si="185"/>
        <v>1.2519523431202501E-3</v>
      </c>
      <c r="AI296" s="31">
        <f t="shared" si="186"/>
        <v>1.5707963267948966</v>
      </c>
      <c r="AJ296" s="31" t="str">
        <f t="shared" si="172"/>
        <v>1+0.0904351900230623i</v>
      </c>
      <c r="AK296" s="31">
        <f t="shared" si="187"/>
        <v>1.0040809347829025</v>
      </c>
      <c r="AL296" s="31">
        <f t="shared" si="188"/>
        <v>9.0189850698741955E-2</v>
      </c>
      <c r="AM296" s="31" t="str">
        <f t="shared" si="173"/>
        <v>1+43.9781009365092i</v>
      </c>
      <c r="AN296" s="31">
        <f t="shared" si="189"/>
        <v>43.989468762213882</v>
      </c>
      <c r="AO296" s="31">
        <f t="shared" si="190"/>
        <v>1.5480616546664308</v>
      </c>
      <c r="AP296" s="58" t="str">
        <f t="shared" si="191"/>
        <v>-0.0486453552619343+0.00551672314550311i</v>
      </c>
      <c r="AQ296" s="49">
        <f t="shared" si="192"/>
        <v>-26.203673300972362</v>
      </c>
      <c r="AR296" s="61">
        <f t="shared" si="193"/>
        <v>173.52990143847228</v>
      </c>
      <c r="AS296" s="58" t="str">
        <f t="shared" si="194"/>
        <v>0.396544145925588-0.167206872463648i</v>
      </c>
      <c r="AT296" s="64">
        <f t="shared" si="195"/>
        <v>-7.3234635982655369</v>
      </c>
      <c r="AU296" s="61">
        <f t="shared" si="196"/>
        <v>-22.863215314234676</v>
      </c>
    </row>
    <row r="297" spans="14:47" x14ac:dyDescent="0.4">
      <c r="N297" s="10">
        <v>79</v>
      </c>
      <c r="O297" s="50">
        <f t="shared" si="197"/>
        <v>6165.9500186148289</v>
      </c>
      <c r="P297" s="48" t="str">
        <f t="shared" si="165"/>
        <v>5120.19230769231</v>
      </c>
      <c r="Q297" s="17" t="str">
        <f t="shared" si="166"/>
        <v>1+181.043442202091i</v>
      </c>
      <c r="R297" s="17">
        <f t="shared" si="174"/>
        <v>181.04620394910759</v>
      </c>
      <c r="S297" s="17">
        <f t="shared" si="175"/>
        <v>1.5652728468046484</v>
      </c>
      <c r="T297" s="17" t="str">
        <f t="shared" si="167"/>
        <v>1+0.000387030647552027i</v>
      </c>
      <c r="U297" s="17">
        <f t="shared" si="176"/>
        <v>1.0000000748963582</v>
      </c>
      <c r="V297" s="17">
        <f t="shared" si="177"/>
        <v>3.8703062822723728E-4</v>
      </c>
      <c r="W297" s="31" t="str">
        <f t="shared" si="168"/>
        <v>1-0.627617266300583i</v>
      </c>
      <c r="X297" s="17">
        <f t="shared" si="178"/>
        <v>1.180636875994739</v>
      </c>
      <c r="Y297" s="17">
        <f t="shared" si="179"/>
        <v>-0.56047918097910288</v>
      </c>
      <c r="Z297" s="31" t="str">
        <f t="shared" si="169"/>
        <v>0.984792424147177+3.82122993333772i</v>
      </c>
      <c r="AA297" s="17">
        <f t="shared" si="180"/>
        <v>3.9460884838145569</v>
      </c>
      <c r="AB297" s="17">
        <f t="shared" si="181"/>
        <v>1.3185687525428826</v>
      </c>
      <c r="AC297" s="66" t="str">
        <f t="shared" si="182"/>
        <v>-8.07768583225409+2.5194562723076i</v>
      </c>
      <c r="AD297" s="64">
        <f t="shared" si="183"/>
        <v>18.548928132703022</v>
      </c>
      <c r="AE297" s="61">
        <f t="shared" si="184"/>
        <v>162.67713121961722</v>
      </c>
      <c r="AF297" s="31" t="str">
        <f t="shared" si="170"/>
        <v>-1.39902068552014E-06</v>
      </c>
      <c r="AG297" s="31" t="str">
        <f t="shared" si="171"/>
        <v>0.00128111405938442i</v>
      </c>
      <c r="AH297" s="31">
        <f t="shared" si="185"/>
        <v>1.28111405938442E-3</v>
      </c>
      <c r="AI297" s="31">
        <f t="shared" si="186"/>
        <v>1.5707963267948966</v>
      </c>
      <c r="AJ297" s="31" t="str">
        <f t="shared" si="172"/>
        <v>1+0.0925416962061781i</v>
      </c>
      <c r="AK297" s="31">
        <f t="shared" si="187"/>
        <v>1.0042728541271622</v>
      </c>
      <c r="AL297" s="31">
        <f t="shared" si="188"/>
        <v>9.2278870754674183E-2</v>
      </c>
      <c r="AM297" s="31" t="str">
        <f t="shared" si="173"/>
        <v>1+45.0024825021456i</v>
      </c>
      <c r="AN297" s="31">
        <f t="shared" si="189"/>
        <v>45.013591629150419</v>
      </c>
      <c r="AO297" s="31">
        <f t="shared" si="190"/>
        <v>1.5485789867225059</v>
      </c>
      <c r="AP297" s="58" t="str">
        <f t="shared" si="191"/>
        <v>-0.0486267645122623+0.00559203771765073i</v>
      </c>
      <c r="AQ297" s="49">
        <f t="shared" si="192"/>
        <v>-26.205434370042653</v>
      </c>
      <c r="AR297" s="61">
        <f t="shared" si="193"/>
        <v>173.4398503493691</v>
      </c>
      <c r="AS297" s="58" t="str">
        <f t="shared" si="194"/>
        <v>0.378702832266341-0.167683730697742i</v>
      </c>
      <c r="AT297" s="64">
        <f t="shared" si="195"/>
        <v>-7.6565062373396326</v>
      </c>
      <c r="AU297" s="61">
        <f t="shared" si="196"/>
        <v>-23.883018431013731</v>
      </c>
    </row>
    <row r="298" spans="14:47" x14ac:dyDescent="0.4">
      <c r="N298" s="10">
        <v>80</v>
      </c>
      <c r="O298" s="50">
        <f t="shared" si="197"/>
        <v>6309.5734448019384</v>
      </c>
      <c r="P298" s="48" t="str">
        <f t="shared" si="165"/>
        <v>5120.19230769231</v>
      </c>
      <c r="Q298" s="17" t="str">
        <f t="shared" si="166"/>
        <v>1+185.260485703786i</v>
      </c>
      <c r="R298" s="17">
        <f t="shared" si="174"/>
        <v>185.26318458669198</v>
      </c>
      <c r="S298" s="17">
        <f t="shared" si="175"/>
        <v>1.5653985740886418</v>
      </c>
      <c r="T298" s="17" t="str">
        <f t="shared" si="167"/>
        <v>1+0.000396045749437871i</v>
      </c>
      <c r="U298" s="17">
        <f t="shared" si="176"/>
        <v>1.0000000784261147</v>
      </c>
      <c r="V298" s="17">
        <f t="shared" si="177"/>
        <v>3.9604572873098591E-4</v>
      </c>
      <c r="W298" s="31" t="str">
        <f t="shared" si="168"/>
        <v>1-0.64223635043979i</v>
      </c>
      <c r="X298" s="17">
        <f t="shared" si="178"/>
        <v>1.1884727720171888</v>
      </c>
      <c r="Y298" s="17">
        <f t="shared" si="179"/>
        <v>-0.5708980947267468</v>
      </c>
      <c r="Z298" s="31" t="str">
        <f t="shared" si="169"/>
        <v>0.98407571317786+3.91023781267793i</v>
      </c>
      <c r="AA298" s="17">
        <f t="shared" si="180"/>
        <v>4.0321662615724065</v>
      </c>
      <c r="AB298" s="17">
        <f t="shared" si="181"/>
        <v>1.3242498455385523</v>
      </c>
      <c r="AC298" s="66" t="str">
        <f t="shared" si="182"/>
        <v>-7.73622300360745+2.55132592479115i</v>
      </c>
      <c r="AD298" s="64">
        <f t="shared" si="183"/>
        <v>18.218959736370127</v>
      </c>
      <c r="AE298" s="61">
        <f t="shared" si="184"/>
        <v>161.74798166756153</v>
      </c>
      <c r="AF298" s="31" t="str">
        <f t="shared" si="170"/>
        <v>-1.39902068552014E-06</v>
      </c>
      <c r="AG298" s="31" t="str">
        <f t="shared" si="171"/>
        <v>0.00131095503928043i</v>
      </c>
      <c r="AH298" s="31">
        <f t="shared" si="185"/>
        <v>1.31095503928043E-3</v>
      </c>
      <c r="AI298" s="31">
        <f t="shared" si="186"/>
        <v>1.5707963267948966</v>
      </c>
      <c r="AJ298" s="31" t="str">
        <f t="shared" si="172"/>
        <v>1+0.0946972692215564i</v>
      </c>
      <c r="AK298" s="31">
        <f t="shared" si="187"/>
        <v>1.004473779049518</v>
      </c>
      <c r="AL298" s="31">
        <f t="shared" si="188"/>
        <v>9.4415714375685106E-2</v>
      </c>
      <c r="AM298" s="31" t="str">
        <f t="shared" si="173"/>
        <v>1+46.0507249796827i</v>
      </c>
      <c r="AN298" s="31">
        <f t="shared" si="189"/>
        <v>46.061581292378278</v>
      </c>
      <c r="AO298" s="31">
        <f t="shared" si="190"/>
        <v>1.5490845543566727</v>
      </c>
      <c r="AP298" s="58" t="str">
        <f t="shared" si="191"/>
        <v>-0.0486073128313756+0.00567015649913309i</v>
      </c>
      <c r="AQ298" s="49">
        <f t="shared" si="192"/>
        <v>-26.207268451194338</v>
      </c>
      <c r="AR298" s="61">
        <f t="shared" si="193"/>
        <v>173.3463851201019</v>
      </c>
      <c r="AS298" s="58" t="str">
        <f t="shared" si="194"/>
        <v>0.36157059439577-0.16787869250377i</v>
      </c>
      <c r="AT298" s="64">
        <f t="shared" si="195"/>
        <v>-7.9883087148242113</v>
      </c>
      <c r="AU298" s="61">
        <f t="shared" si="196"/>
        <v>-24.905633212336628</v>
      </c>
    </row>
    <row r="299" spans="14:47" x14ac:dyDescent="0.4">
      <c r="N299" s="10">
        <v>81</v>
      </c>
      <c r="O299" s="50">
        <f t="shared" si="197"/>
        <v>6456.5422903465615</v>
      </c>
      <c r="P299" s="48" t="str">
        <f t="shared" si="165"/>
        <v>5120.19230769231</v>
      </c>
      <c r="Q299" s="17" t="str">
        <f t="shared" si="166"/>
        <v>1+189.575756767213i</v>
      </c>
      <c r="R299" s="17">
        <f t="shared" si="174"/>
        <v>189.57839421690835</v>
      </c>
      <c r="S299" s="17">
        <f t="shared" si="175"/>
        <v>1.5655214396351465</v>
      </c>
      <c r="T299" s="17" t="str">
        <f t="shared" si="167"/>
        <v>1+0.000405270840022354i</v>
      </c>
      <c r="U299" s="17">
        <f t="shared" si="176"/>
        <v>1.0000000821222235</v>
      </c>
      <c r="V299" s="17">
        <f t="shared" si="177"/>
        <v>4.0527081783452694E-4</v>
      </c>
      <c r="W299" s="31" t="str">
        <f t="shared" si="168"/>
        <v>1-0.657195956793005i</v>
      </c>
      <c r="X299" s="17">
        <f t="shared" si="178"/>
        <v>1.1966229671977191</v>
      </c>
      <c r="Y299" s="17">
        <f t="shared" si="179"/>
        <v>-0.58141726789055193</v>
      </c>
      <c r="Z299" s="31" t="str">
        <f t="shared" si="169"/>
        <v>0.983325224661187+4.00131895186456i</v>
      </c>
      <c r="AA299" s="17">
        <f t="shared" si="180"/>
        <v>4.1203739941909978</v>
      </c>
      <c r="AB299" s="17">
        <f t="shared" si="181"/>
        <v>1.3298213888512822</v>
      </c>
      <c r="AC299" s="66" t="str">
        <f t="shared" si="182"/>
        <v>-7.40823630724398+2.57698823964781i</v>
      </c>
      <c r="AD299" s="64">
        <f t="shared" si="183"/>
        <v>17.890363296545392</v>
      </c>
      <c r="AE299" s="61">
        <f t="shared" si="184"/>
        <v>160.81954040552341</v>
      </c>
      <c r="AF299" s="31" t="str">
        <f t="shared" si="170"/>
        <v>-1.39902068552014E-06</v>
      </c>
      <c r="AG299" s="31" t="str">
        <f t="shared" si="171"/>
        <v>0.00134149110489081i</v>
      </c>
      <c r="AH299" s="31">
        <f t="shared" si="185"/>
        <v>1.34149110489081E-3</v>
      </c>
      <c r="AI299" s="31">
        <f t="shared" si="186"/>
        <v>1.5707963267948966</v>
      </c>
      <c r="AJ299" s="31" t="str">
        <f t="shared" si="172"/>
        <v>1+0.0969030519825428i</v>
      </c>
      <c r="AK299" s="31">
        <f t="shared" si="187"/>
        <v>1.0046841302038823</v>
      </c>
      <c r="AL299" s="31">
        <f t="shared" si="188"/>
        <v>9.6601436445143074E-2</v>
      </c>
      <c r="AM299" s="31" t="str">
        <f t="shared" si="173"/>
        <v>1+47.1233841611577i</v>
      </c>
      <c r="AN299" s="31">
        <f t="shared" si="189"/>
        <v>47.133993410277135</v>
      </c>
      <c r="AO299" s="31">
        <f t="shared" si="190"/>
        <v>1.5495786245932108</v>
      </c>
      <c r="AP299" s="58" t="str">
        <f t="shared" si="191"/>
        <v>-0.0485869610935659+0.00575110961868114i</v>
      </c>
      <c r="AQ299" s="49">
        <f t="shared" si="192"/>
        <v>-26.209179338872495</v>
      </c>
      <c r="AR299" s="61">
        <f t="shared" si="193"/>
        <v>173.24946060967</v>
      </c>
      <c r="AS299" s="58" t="str">
        <f t="shared" si="194"/>
        <v>0.345123147379739-0.167813606422399i</v>
      </c>
      <c r="AT299" s="64">
        <f t="shared" si="195"/>
        <v>-8.3188160423270947</v>
      </c>
      <c r="AU299" s="61">
        <f t="shared" si="196"/>
        <v>-25.93099898480661</v>
      </c>
    </row>
    <row r="300" spans="14:47" x14ac:dyDescent="0.4">
      <c r="N300" s="10">
        <v>82</v>
      </c>
      <c r="O300" s="50">
        <f t="shared" si="197"/>
        <v>6606.9344800759654</v>
      </c>
      <c r="P300" s="48" t="str">
        <f t="shared" si="165"/>
        <v>5120.19230769231</v>
      </c>
      <c r="Q300" s="17" t="str">
        <f t="shared" si="166"/>
        <v>1+193.99154340621i</v>
      </c>
      <c r="R300" s="17">
        <f t="shared" si="174"/>
        <v>193.99412082102759</v>
      </c>
      <c r="S300" s="17">
        <f t="shared" si="175"/>
        <v>1.5656415085742552</v>
      </c>
      <c r="T300" s="17" t="str">
        <f t="shared" si="167"/>
        <v>1+0.000414710810570608i</v>
      </c>
      <c r="U300" s="17">
        <f t="shared" si="176"/>
        <v>1.0000000859925244</v>
      </c>
      <c r="V300" s="17">
        <f t="shared" si="177"/>
        <v>4.1471078679592311E-4</v>
      </c>
      <c r="W300" s="31" t="str">
        <f t="shared" si="168"/>
        <v>1-0.672504017141526i</v>
      </c>
      <c r="X300" s="17">
        <f t="shared" si="178"/>
        <v>1.2050981922945074</v>
      </c>
      <c r="Y300" s="17">
        <f t="shared" si="179"/>
        <v>-0.59203296585424914</v>
      </c>
      <c r="Z300" s="31" t="str">
        <f t="shared" si="169"/>
        <v>0.982539366710393+4.09452164332317i</v>
      </c>
      <c r="AA300" s="17">
        <f t="shared" si="180"/>
        <v>4.2107589689719278</v>
      </c>
      <c r="AB300" s="17">
        <f t="shared" si="181"/>
        <v>1.3352850219487036</v>
      </c>
      <c r="AC300" s="66" t="str">
        <f t="shared" si="182"/>
        <v>-7.09327129249462+2.59690244346i</v>
      </c>
      <c r="AD300" s="64">
        <f t="shared" si="183"/>
        <v>17.563195887123658</v>
      </c>
      <c r="AE300" s="61">
        <f t="shared" si="184"/>
        <v>159.89192402524631</v>
      </c>
      <c r="AF300" s="31" t="str">
        <f t="shared" si="170"/>
        <v>-1.39902068552014E-06</v>
      </c>
      <c r="AG300" s="31" t="str">
        <f t="shared" si="171"/>
        <v>0.00137273844684173i</v>
      </c>
      <c r="AH300" s="31">
        <f t="shared" si="185"/>
        <v>1.3727384468417299E-3</v>
      </c>
      <c r="AI300" s="31">
        <f t="shared" si="186"/>
        <v>1.5707963267948966</v>
      </c>
      <c r="AJ300" s="31" t="str">
        <f t="shared" si="172"/>
        <v>1+0.0991602140243535i</v>
      </c>
      <c r="AK300" s="31">
        <f t="shared" si="187"/>
        <v>1.0049043477094501</v>
      </c>
      <c r="AL300" s="31">
        <f t="shared" si="188"/>
        <v>9.8837112279609507E-2</v>
      </c>
      <c r="AM300" s="31" t="str">
        <f t="shared" si="173"/>
        <v>1+48.2210287846665i</v>
      </c>
      <c r="AN300" s="31">
        <f t="shared" si="189"/>
        <v>48.231396590308634</v>
      </c>
      <c r="AO300" s="31">
        <f t="shared" si="190"/>
        <v>1.5500614584293047</v>
      </c>
      <c r="AP300" s="58" t="str">
        <f t="shared" si="191"/>
        <v>-0.0485656684660263+0.00583492792516446i</v>
      </c>
      <c r="AQ300" s="49">
        <f t="shared" si="192"/>
        <v>-26.211170981357277</v>
      </c>
      <c r="AR300" s="61">
        <f t="shared" si="193"/>
        <v>173.14903016100999</v>
      </c>
      <c r="AS300" s="58" t="str">
        <f t="shared" si="194"/>
        <v>0.329336723344603-0.167509029853036i</v>
      </c>
      <c r="AT300" s="64">
        <f t="shared" si="195"/>
        <v>-8.6479750942336242</v>
      </c>
      <c r="AU300" s="61">
        <f t="shared" si="196"/>
        <v>-26.959045813743682</v>
      </c>
    </row>
    <row r="301" spans="14:47" x14ac:dyDescent="0.4">
      <c r="N301" s="10">
        <v>83</v>
      </c>
      <c r="O301" s="50">
        <f t="shared" si="197"/>
        <v>6760.8297539198229</v>
      </c>
      <c r="P301" s="48" t="str">
        <f t="shared" si="165"/>
        <v>5120.19230769231</v>
      </c>
      <c r="Q301" s="17" t="str">
        <f t="shared" si="166"/>
        <v>1+198.510186929302i</v>
      </c>
      <c r="R301" s="17">
        <f t="shared" si="174"/>
        <v>198.51270567574866</v>
      </c>
      <c r="S301" s="17">
        <f t="shared" si="175"/>
        <v>1.5657588445542527</v>
      </c>
      <c r="T301" s="17" t="str">
        <f t="shared" si="167"/>
        <v>1+0.000424370666279975i</v>
      </c>
      <c r="U301" s="17">
        <f t="shared" si="176"/>
        <v>1.0000000900452271</v>
      </c>
      <c r="V301" s="17">
        <f t="shared" si="177"/>
        <v>4.2437064080494126E-4</v>
      </c>
      <c r="W301" s="31" t="str">
        <f t="shared" si="168"/>
        <v>1-0.68816864802158i</v>
      </c>
      <c r="X301" s="17">
        <f t="shared" si="178"/>
        <v>1.2139094233590286</v>
      </c>
      <c r="Y301" s="17">
        <f t="shared" si="179"/>
        <v>-0.60274124657484218</v>
      </c>
      <c r="Z301" s="31" t="str">
        <f t="shared" si="169"/>
        <v>0.981716472415405+4.18989530435448i</v>
      </c>
      <c r="AA301" s="17">
        <f t="shared" si="180"/>
        <v>4.3033695976134174</v>
      </c>
      <c r="AB301" s="17">
        <f t="shared" si="181"/>
        <v>1.3406424047941847</v>
      </c>
      <c r="AC301" s="66" t="str">
        <f t="shared" si="182"/>
        <v>-6.79088230495492+2.61150081204516i</v>
      </c>
      <c r="AD301" s="64">
        <f t="shared" si="183"/>
        <v>17.237512772768081</v>
      </c>
      <c r="AE301" s="61">
        <f t="shared" si="184"/>
        <v>158.9652599202598</v>
      </c>
      <c r="AF301" s="31" t="str">
        <f t="shared" si="170"/>
        <v>-1.39902068552014E-06</v>
      </c>
      <c r="AG301" s="31" t="str">
        <f t="shared" si="171"/>
        <v>0.00140471363288751i</v>
      </c>
      <c r="AH301" s="31">
        <f t="shared" si="185"/>
        <v>1.4047136328875099E-3</v>
      </c>
      <c r="AI301" s="31">
        <f t="shared" si="186"/>
        <v>1.5707963267948966</v>
      </c>
      <c r="AJ301" s="31" t="str">
        <f t="shared" si="172"/>
        <v>1+0.101469952124181i</v>
      </c>
      <c r="AK301" s="31">
        <f t="shared" si="187"/>
        <v>1.0051348920339416</v>
      </c>
      <c r="AL301" s="31">
        <f t="shared" si="188"/>
        <v>0.10112383781921323</v>
      </c>
      <c r="AM301" s="31" t="str">
        <f t="shared" si="173"/>
        <v>1+49.3442408359178i</v>
      </c>
      <c r="AN301" s="31">
        <f t="shared" si="189"/>
        <v>49.354372690502892</v>
      </c>
      <c r="AO301" s="31">
        <f t="shared" si="190"/>
        <v>1.5505333109688304</v>
      </c>
      <c r="AP301" s="58" t="str">
        <f t="shared" si="191"/>
        <v>-0.048543392341174+0.00592164295093913i</v>
      </c>
      <c r="AQ301" s="49">
        <f t="shared" si="192"/>
        <v>-26.213247488274433</v>
      </c>
      <c r="AR301" s="61">
        <f t="shared" si="193"/>
        <v>173.0450455977533</v>
      </c>
      <c r="AS301" s="58" t="str">
        <f t="shared" si="194"/>
        <v>0.314188088697144-0.166984288850196i</v>
      </c>
      <c r="AT301" s="64">
        <f t="shared" si="195"/>
        <v>-8.9757347155063485</v>
      </c>
      <c r="AU301" s="61">
        <f t="shared" si="196"/>
        <v>-27.989694481986845</v>
      </c>
    </row>
    <row r="302" spans="14:47" x14ac:dyDescent="0.4">
      <c r="N302" s="10">
        <v>84</v>
      </c>
      <c r="O302" s="50">
        <f t="shared" si="197"/>
        <v>6918.3097091893687</v>
      </c>
      <c r="P302" s="48" t="str">
        <f t="shared" si="165"/>
        <v>5120.19230769231</v>
      </c>
      <c r="Q302" s="17" t="str">
        <f t="shared" si="166"/>
        <v>1+203.134083181097i</v>
      </c>
      <c r="R302" s="17">
        <f t="shared" si="174"/>
        <v>203.13654459457763</v>
      </c>
      <c r="S302" s="17">
        <f t="shared" si="175"/>
        <v>1.5658735097752978</v>
      </c>
      <c r="T302" s="17" t="str">
        <f t="shared" si="167"/>
        <v>1+0.000434255528933812i</v>
      </c>
      <c r="U302" s="17">
        <f t="shared" si="176"/>
        <v>1.0000000942889278</v>
      </c>
      <c r="V302" s="17">
        <f t="shared" si="177"/>
        <v>4.3425550163682164E-4</v>
      </c>
      <c r="W302" s="31" t="str">
        <f t="shared" si="168"/>
        <v>1-0.704198155027803i</v>
      </c>
      <c r="X302" s="17">
        <f t="shared" si="178"/>
        <v>1.2230678810043871</v>
      </c>
      <c r="Y302" s="17">
        <f t="shared" si="179"/>
        <v>-0.61353796459954557</v>
      </c>
      <c r="Z302" s="31" t="str">
        <f t="shared" si="169"/>
        <v>0.980854796307094+4.28749050333597i</v>
      </c>
      <c r="AA302" s="17">
        <f t="shared" si="180"/>
        <v>4.3982554436543086</v>
      </c>
      <c r="AB302" s="17">
        <f t="shared" si="181"/>
        <v>1.3458952145356182</v>
      </c>
      <c r="AC302" s="66" t="str">
        <f t="shared" si="182"/>
        <v>-6.50063291545882+2.62118993889505i</v>
      </c>
      <c r="AD302" s="64">
        <f t="shared" si="183"/>
        <v>16.913367309351774</v>
      </c>
      <c r="AE302" s="61">
        <f t="shared" si="184"/>
        <v>158.03968624366604</v>
      </c>
      <c r="AF302" s="31" t="str">
        <f t="shared" si="170"/>
        <v>-1.39902068552014E-06</v>
      </c>
      <c r="AG302" s="31" t="str">
        <f t="shared" si="171"/>
        <v>0.00143743361669503i</v>
      </c>
      <c r="AH302" s="31">
        <f t="shared" si="185"/>
        <v>1.43743361669503E-3</v>
      </c>
      <c r="AI302" s="31">
        <f t="shared" si="186"/>
        <v>1.5707963267948966</v>
      </c>
      <c r="AJ302" s="31" t="str">
        <f t="shared" si="172"/>
        <v>1+0.103833490935738i</v>
      </c>
      <c r="AK302" s="31">
        <f t="shared" si="187"/>
        <v>1.0053762449152566</v>
      </c>
      <c r="AL302" s="31">
        <f t="shared" si="188"/>
        <v>0.1034627298032665</v>
      </c>
      <c r="AM302" s="31" t="str">
        <f t="shared" si="173"/>
        <v>1+50.4936158568084i</v>
      </c>
      <c r="AN302" s="31">
        <f t="shared" si="189"/>
        <v>50.503517127967747</v>
      </c>
      <c r="AO302" s="31">
        <f t="shared" si="190"/>
        <v>1.5509944315533242</v>
      </c>
      <c r="AP302" s="58" t="str">
        <f t="shared" si="191"/>
        <v>-0.048520088266954+0.00601128687211733i</v>
      </c>
      <c r="AQ302" s="49">
        <f t="shared" si="192"/>
        <v>-26.215413138367531</v>
      </c>
      <c r="AR302" s="61">
        <f t="shared" si="193"/>
        <v>172.93745722166813</v>
      </c>
      <c r="AS302" s="58" t="str">
        <f t="shared" si="194"/>
        <v>0.299654558180123-0.166257536504791i</v>
      </c>
      <c r="AT302" s="64">
        <f t="shared" si="195"/>
        <v>-9.3020458290157535</v>
      </c>
      <c r="AU302" s="61">
        <f t="shared" si="196"/>
        <v>-29.02285653466582</v>
      </c>
    </row>
    <row r="303" spans="14:47" x14ac:dyDescent="0.4">
      <c r="N303" s="10">
        <v>85</v>
      </c>
      <c r="O303" s="50">
        <f t="shared" si="197"/>
        <v>7079.4578438413828</v>
      </c>
      <c r="P303" s="48" t="str">
        <f t="shared" si="165"/>
        <v>5120.19230769231</v>
      </c>
      <c r="Q303" s="17" t="str">
        <f t="shared" si="166"/>
        <v>1+207.865683812592i</v>
      </c>
      <c r="R303" s="17">
        <f t="shared" si="174"/>
        <v>207.86808919811736</v>
      </c>
      <c r="S303" s="17">
        <f t="shared" si="175"/>
        <v>1.5659855650223407</v>
      </c>
      <c r="T303" s="17" t="str">
        <f t="shared" si="167"/>
        <v>1+0.000444370639617142i</v>
      </c>
      <c r="U303" s="17">
        <f t="shared" si="176"/>
        <v>1.0000000987326279</v>
      </c>
      <c r="V303" s="17">
        <f t="shared" si="177"/>
        <v>4.4437061036789005E-4</v>
      </c>
      <c r="W303" s="31" t="str">
        <f t="shared" si="168"/>
        <v>1-0.720601037216987i</v>
      </c>
      <c r="X303" s="17">
        <f t="shared" si="178"/>
        <v>1.2325850294556548</v>
      </c>
      <c r="Y303" s="17">
        <f t="shared" si="179"/>
        <v>-0.62441877606534657</v>
      </c>
      <c r="Z303" s="31" t="str">
        <f t="shared" si="169"/>
        <v>0.979952510654909+4.38735898653398i</v>
      </c>
      <c r="AA303" s="17">
        <f t="shared" si="180"/>
        <v>4.4954672504489821</v>
      </c>
      <c r="AB303" s="17">
        <f t="shared" si="181"/>
        <v>1.3510451423879712</v>
      </c>
      <c r="AC303" s="66" t="str">
        <f t="shared" si="182"/>
        <v>-6.22209627975251+2.62635197050845i</v>
      </c>
      <c r="AD303" s="64">
        <f t="shared" si="183"/>
        <v>16.590810845726832</v>
      </c>
      <c r="AE303" s="61">
        <f t="shared" si="184"/>
        <v>157.11535179857316</v>
      </c>
      <c r="AF303" s="31" t="str">
        <f t="shared" si="170"/>
        <v>-1.39902068552014E-06</v>
      </c>
      <c r="AG303" s="31" t="str">
        <f t="shared" si="171"/>
        <v>0.0014709157468328i</v>
      </c>
      <c r="AH303" s="31">
        <f t="shared" si="185"/>
        <v>1.4709157468328E-3</v>
      </c>
      <c r="AI303" s="31">
        <f t="shared" si="186"/>
        <v>1.5707963267948966</v>
      </c>
      <c r="AJ303" s="31" t="str">
        <f t="shared" si="172"/>
        <v>1+0.106252083638588i</v>
      </c>
      <c r="AK303" s="31">
        <f t="shared" si="187"/>
        <v>1.0056289103230582</v>
      </c>
      <c r="AL303" s="31">
        <f t="shared" si="188"/>
        <v>0.10585492592956441</v>
      </c>
      <c r="AM303" s="31" t="str">
        <f t="shared" si="173"/>
        <v>1+51.6697632611884i</v>
      </c>
      <c r="AN303" s="31">
        <f t="shared" si="189"/>
        <v>51.679439194589314</v>
      </c>
      <c r="AO303" s="31">
        <f t="shared" si="190"/>
        <v>1.5514450638901807</v>
      </c>
      <c r="AP303" s="58" t="str">
        <f t="shared" si="191"/>
        <v>-0.0484957098751336+0.00610389246553261i</v>
      </c>
      <c r="AQ303" s="49">
        <f t="shared" si="192"/>
        <v>-26.217672387540883</v>
      </c>
      <c r="AR303" s="61">
        <f t="shared" si="193"/>
        <v>172.8262138108777</v>
      </c>
      <c r="AS303" s="58" t="str">
        <f t="shared" si="194"/>
        <v>0.285714005993403-0.165345809793563i</v>
      </c>
      <c r="AT303" s="64">
        <f t="shared" si="195"/>
        <v>-9.6268615418140424</v>
      </c>
      <c r="AU303" s="61">
        <f t="shared" si="196"/>
        <v>-30.058434390549092</v>
      </c>
    </row>
    <row r="304" spans="14:47" x14ac:dyDescent="0.4">
      <c r="N304" s="10">
        <v>86</v>
      </c>
      <c r="O304" s="50">
        <f t="shared" si="197"/>
        <v>7244.3596007499036</v>
      </c>
      <c r="P304" s="48" t="str">
        <f t="shared" si="165"/>
        <v>5120.19230769231</v>
      </c>
      <c r="Q304" s="17" t="str">
        <f t="shared" si="166"/>
        <v>1+212.707497581073i</v>
      </c>
      <c r="R304" s="17">
        <f t="shared" si="174"/>
        <v>212.70984821395123</v>
      </c>
      <c r="S304" s="17">
        <f t="shared" si="175"/>
        <v>1.5660950696972937</v>
      </c>
      <c r="T304" s="17" t="str">
        <f t="shared" si="167"/>
        <v>1+0.000454721361495539i</v>
      </c>
      <c r="U304" s="17">
        <f t="shared" si="176"/>
        <v>1.0000001033857528</v>
      </c>
      <c r="V304" s="17">
        <f t="shared" si="177"/>
        <v>4.5472133015440105E-4</v>
      </c>
      <c r="W304" s="31" t="str">
        <f t="shared" si="168"/>
        <v>1-0.737385991614387i</v>
      </c>
      <c r="X304" s="17">
        <f t="shared" si="178"/>
        <v>1.2424725754032291</v>
      </c>
      <c r="Y304" s="17">
        <f t="shared" si="179"/>
        <v>-0.63537914469064372</v>
      </c>
      <c r="Z304" s="31" t="str">
        <f t="shared" si="169"/>
        <v>0.979007701590009+4.48955370554022i</v>
      </c>
      <c r="AA304" s="17">
        <f t="shared" si="180"/>
        <v>4.595056969690634</v>
      </c>
      <c r="AB304" s="17">
        <f t="shared" si="181"/>
        <v>1.3560938907041791</v>
      </c>
      <c r="AC304" s="66" t="str">
        <f t="shared" si="182"/>
        <v>-5.95485543397547+2.62734580653261i</v>
      </c>
      <c r="AD304" s="64">
        <f t="shared" si="183"/>
        <v>16.269892627453618</v>
      </c>
      <c r="AE304" s="61">
        <f t="shared" si="184"/>
        <v>156.19241586094043</v>
      </c>
      <c r="AF304" s="31" t="str">
        <f t="shared" si="170"/>
        <v>-1.39902068552014E-06</v>
      </c>
      <c r="AG304" s="31" t="str">
        <f t="shared" si="171"/>
        <v>0.00150517777596941i</v>
      </c>
      <c r="AH304" s="31">
        <f t="shared" si="185"/>
        <v>1.5051777759694099E-3</v>
      </c>
      <c r="AI304" s="31">
        <f t="shared" si="186"/>
        <v>1.5707963267948966</v>
      </c>
      <c r="AJ304" s="31" t="str">
        <f t="shared" si="172"/>
        <v>1+0.108727012602595i</v>
      </c>
      <c r="AK304" s="31">
        <f t="shared" si="187"/>
        <v>1.0058934154618395</v>
      </c>
      <c r="AL304" s="31">
        <f t="shared" si="188"/>
        <v>0.10830158499567893</v>
      </c>
      <c r="AM304" s="31" t="str">
        <f t="shared" si="173"/>
        <v>1+52.8733066579798i</v>
      </c>
      <c r="AN304" s="31">
        <f t="shared" si="189"/>
        <v>52.88276238008725</v>
      </c>
      <c r="AO304" s="31">
        <f t="shared" si="190"/>
        <v>1.5518854461781328</v>
      </c>
      <c r="AP304" s="58" t="str">
        <f t="shared" si="191"/>
        <v>-0.0484702088076031+0.006199493062163i</v>
      </c>
      <c r="AQ304" s="49">
        <f t="shared" si="192"/>
        <v>-26.220029877182498</v>
      </c>
      <c r="AR304" s="61">
        <f t="shared" si="193"/>
        <v>172.71126261895392</v>
      </c>
      <c r="AS304" s="58" t="str">
        <f t="shared" si="194"/>
        <v>0.272344874204379-0.164265084801531i</v>
      </c>
      <c r="AT304" s="64">
        <f t="shared" si="195"/>
        <v>-9.9501372497288756</v>
      </c>
      <c r="AU304" s="61">
        <f t="shared" si="196"/>
        <v>-31.096321520105739</v>
      </c>
    </row>
    <row r="305" spans="14:47" x14ac:dyDescent="0.4">
      <c r="N305" s="10">
        <v>87</v>
      </c>
      <c r="O305" s="50">
        <f t="shared" si="197"/>
        <v>7413.1024130091773</v>
      </c>
      <c r="P305" s="48" t="str">
        <f t="shared" si="165"/>
        <v>5120.19230769231</v>
      </c>
      <c r="Q305" s="17" t="str">
        <f t="shared" si="166"/>
        <v>1+217.662091680287i</v>
      </c>
      <c r="R305" s="17">
        <f t="shared" si="174"/>
        <v>217.66438880679971</v>
      </c>
      <c r="S305" s="17">
        <f t="shared" si="175"/>
        <v>1.5662020818504743</v>
      </c>
      <c r="T305" s="17" t="str">
        <f t="shared" si="167"/>
        <v>1+0.000465313182658748i</v>
      </c>
      <c r="U305" s="17">
        <f t="shared" si="176"/>
        <v>1.0000001082581731</v>
      </c>
      <c r="V305" s="17">
        <f t="shared" si="177"/>
        <v>4.6531314907611383E-4</v>
      </c>
      <c r="W305" s="31" t="str">
        <f t="shared" si="168"/>
        <v>1-0.754561917824996i</v>
      </c>
      <c r="X305" s="17">
        <f t="shared" si="178"/>
        <v>1.2527424666832909</v>
      </c>
      <c r="Y305" s="17">
        <f t="shared" si="179"/>
        <v>-0.64641434876024306</v>
      </c>
      <c r="Z305" s="31" t="str">
        <f t="shared" si="169"/>
        <v>0.978018365045695+4.5941288453474i</v>
      </c>
      <c r="AA305" s="17">
        <f t="shared" si="180"/>
        <v>4.6970777905012051</v>
      </c>
      <c r="AB305" s="17">
        <f t="shared" si="181"/>
        <v>1.3610431702286285</v>
      </c>
      <c r="AC305" s="66" t="str">
        <f t="shared" si="182"/>
        <v>-5.69850353088854+2.62450826305942i</v>
      </c>
      <c r="AD305" s="64">
        <f t="shared" si="183"/>
        <v>15.950659703153207</v>
      </c>
      <c r="AE305" s="61">
        <f t="shared" si="184"/>
        <v>155.27104793509315</v>
      </c>
      <c r="AF305" s="31" t="str">
        <f t="shared" si="170"/>
        <v>-1.39902068552014E-06</v>
      </c>
      <c r="AG305" s="31" t="str">
        <f t="shared" si="171"/>
        <v>0.00154023787028623i</v>
      </c>
      <c r="AH305" s="31">
        <f t="shared" si="185"/>
        <v>1.5402378702862301E-3</v>
      </c>
      <c r="AI305" s="31">
        <f t="shared" si="186"/>
        <v>1.5707963267948966</v>
      </c>
      <c r="AJ305" s="31" t="str">
        <f t="shared" si="172"/>
        <v>1+0.111259590067857i</v>
      </c>
      <c r="AK305" s="31">
        <f t="shared" si="187"/>
        <v>1.0061703118170737</v>
      </c>
      <c r="AL305" s="31">
        <f t="shared" si="188"/>
        <v>0.11080388702046948</v>
      </c>
      <c r="AM305" s="31" t="str">
        <f t="shared" si="173"/>
        <v>1+54.104884181822i</v>
      </c>
      <c r="AN305" s="31">
        <f t="shared" si="189"/>
        <v>54.114124702598424</v>
      </c>
      <c r="AO305" s="31">
        <f t="shared" si="190"/>
        <v>1.5523158112300568</v>
      </c>
      <c r="AP305" s="58" t="str">
        <f t="shared" si="191"/>
        <v>-0.0484435346407157+0.00629812249676182i</v>
      </c>
      <c r="AQ305" s="49">
        <f t="shared" si="192"/>
        <v>-26.222490442775218</v>
      </c>
      <c r="AR305" s="61">
        <f t="shared" si="193"/>
        <v>172.59254937499156</v>
      </c>
      <c r="AS305" s="58" t="str">
        <f t="shared" si="194"/>
        <v>0.259526178664328-0.163030330242129i</v>
      </c>
      <c r="AT305" s="64">
        <f t="shared" si="195"/>
        <v>-10.271830739622011</v>
      </c>
      <c r="AU305" s="61">
        <f t="shared" si="196"/>
        <v>-32.136402689915208</v>
      </c>
    </row>
    <row r="306" spans="14:47" x14ac:dyDescent="0.4">
      <c r="N306" s="10">
        <v>88</v>
      </c>
      <c r="O306" s="50">
        <f t="shared" si="197"/>
        <v>7585.7757502918394</v>
      </c>
      <c r="P306" s="48" t="str">
        <f t="shared" si="165"/>
        <v>5120.19230769231</v>
      </c>
      <c r="Q306" s="17" t="str">
        <f t="shared" si="166"/>
        <v>1+222.732093101609i</v>
      </c>
      <c r="R306" s="17">
        <f t="shared" si="174"/>
        <v>222.73433793967158</v>
      </c>
      <c r="S306" s="17">
        <f t="shared" si="175"/>
        <v>1.5663066582113332</v>
      </c>
      <c r="T306" s="17" t="str">
        <f t="shared" si="167"/>
        <v>1+0.000476151719030552i</v>
      </c>
      <c r="U306" s="17">
        <f t="shared" si="176"/>
        <v>1.0000001133602234</v>
      </c>
      <c r="V306" s="17">
        <f t="shared" si="177"/>
        <v>4.7615168304611139E-4</v>
      </c>
      <c r="W306" s="31" t="str">
        <f t="shared" si="168"/>
        <v>1-0.772137922752245i</v>
      </c>
      <c r="X306" s="17">
        <f t="shared" si="178"/>
        <v>1.263406890812359</v>
      </c>
      <c r="Y306" s="17">
        <f t="shared" si="179"/>
        <v>-0.65751948909633839</v>
      </c>
      <c r="Z306" s="31" t="str">
        <f t="shared" si="169"/>
        <v>0.976982402506514+4.70113985307887i</v>
      </c>
      <c r="AA306" s="17">
        <f t="shared" si="180"/>
        <v>4.801584169106464</v>
      </c>
      <c r="AB306" s="17">
        <f t="shared" si="181"/>
        <v>1.3658946975272004</v>
      </c>
      <c r="AC306" s="66" t="str">
        <f t="shared" si="182"/>
        <v>-5.45264402160165+2.61815519781344i</v>
      </c>
      <c r="AD306" s="64">
        <f t="shared" si="183"/>
        <v>15.633156834165952</v>
      </c>
      <c r="AE306" s="61">
        <f t="shared" si="184"/>
        <v>154.35142744267219</v>
      </c>
      <c r="AF306" s="31" t="str">
        <f t="shared" si="170"/>
        <v>-1.39902068552014E-06</v>
      </c>
      <c r="AG306" s="31" t="str">
        <f t="shared" si="171"/>
        <v>0.00157611461910934i</v>
      </c>
      <c r="AH306" s="31">
        <f t="shared" si="185"/>
        <v>1.57611461910934E-3</v>
      </c>
      <c r="AI306" s="31">
        <f t="shared" si="186"/>
        <v>1.5707963267948966</v>
      </c>
      <c r="AJ306" s="31" t="str">
        <f t="shared" si="172"/>
        <v>1+0.113851158840467i</v>
      </c>
      <c r="AK306" s="31">
        <f t="shared" si="187"/>
        <v>1.0064601762460932</v>
      </c>
      <c r="AL306" s="31">
        <f t="shared" si="188"/>
        <v>0.11336303334388444</v>
      </c>
      <c r="AM306" s="31" t="str">
        <f t="shared" si="173"/>
        <v>1+55.3651488314203i</v>
      </c>
      <c r="AN306" s="31">
        <f t="shared" si="189"/>
        <v>55.374179046964848</v>
      </c>
      <c r="AO306" s="31">
        <f t="shared" si="190"/>
        <v>1.5527363865931569</v>
      </c>
      <c r="AP306" s="58" t="str">
        <f t="shared" si="191"/>
        <v>-0.0484156348077042+0.00639981505343342i</v>
      </c>
      <c r="AQ306" s="49">
        <f t="shared" si="192"/>
        <v>-26.225059122804943</v>
      </c>
      <c r="AR306" s="61">
        <f t="shared" si="193"/>
        <v>172.47001828477627</v>
      </c>
      <c r="AS306" s="58" t="str">
        <f t="shared" si="194"/>
        <v>0.247237512639086-0.161655559217688i</v>
      </c>
      <c r="AT306" s="64">
        <f t="shared" si="195"/>
        <v>-10.591902288638984</v>
      </c>
      <c r="AU306" s="61">
        <f t="shared" si="196"/>
        <v>-33.178554272551509</v>
      </c>
    </row>
    <row r="307" spans="14:47" x14ac:dyDescent="0.4">
      <c r="N307" s="10">
        <v>89</v>
      </c>
      <c r="O307" s="50">
        <f t="shared" si="197"/>
        <v>7762.4711662869322</v>
      </c>
      <c r="P307" s="48" t="str">
        <f t="shared" si="165"/>
        <v>5120.19230769231</v>
      </c>
      <c r="Q307" s="17" t="str">
        <f t="shared" si="166"/>
        <v>1+227.920190026901i</v>
      </c>
      <c r="R307" s="17">
        <f t="shared" si="174"/>
        <v>227.92238376670829</v>
      </c>
      <c r="S307" s="17">
        <f t="shared" si="175"/>
        <v>1.5664088542184864</v>
      </c>
      <c r="T307" s="17" t="str">
        <f t="shared" si="167"/>
        <v>1+0.000487242717346398i</v>
      </c>
      <c r="U307" s="17">
        <f t="shared" si="176"/>
        <v>1.0000001187027256</v>
      </c>
      <c r="V307" s="17">
        <f t="shared" si="177"/>
        <v>4.8724267878837542E-4</v>
      </c>
      <c r="W307" s="31" t="str">
        <f t="shared" si="168"/>
        <v>1-0.790123325426591i</v>
      </c>
      <c r="X307" s="17">
        <f t="shared" si="178"/>
        <v>1.2744782734057003</v>
      </c>
      <c r="Y307" s="17">
        <f t="shared" si="179"/>
        <v>-0.66868949799906552</v>
      </c>
      <c r="Z307" s="31" t="str">
        <f t="shared" si="169"/>
        <v>0.975897616557026+4.81064346738738i</v>
      </c>
      <c r="AA307" s="17">
        <f t="shared" si="180"/>
        <v>4.9086318591149771</v>
      </c>
      <c r="AB307" s="17">
        <f t="shared" si="181"/>
        <v>1.3706501925876213</v>
      </c>
      <c r="AC307" s="66" t="str">
        <f t="shared" si="182"/>
        <v>-5.21689078735642+2.60858259632207i</v>
      </c>
      <c r="AD307" s="64">
        <f t="shared" si="183"/>
        <v>15.317426408214454</v>
      </c>
      <c r="AE307" s="61">
        <f t="shared" si="184"/>
        <v>153.43374334631869</v>
      </c>
      <c r="AF307" s="31" t="str">
        <f t="shared" si="170"/>
        <v>-1.39902068552014E-06</v>
      </c>
      <c r="AG307" s="31" t="str">
        <f t="shared" si="171"/>
        <v>0.00161282704476584i</v>
      </c>
      <c r="AH307" s="31">
        <f t="shared" si="185"/>
        <v>1.61282704476584E-3</v>
      </c>
      <c r="AI307" s="31">
        <f t="shared" si="186"/>
        <v>1.5707963267948966</v>
      </c>
      <c r="AJ307" s="31" t="str">
        <f t="shared" si="172"/>
        <v>1+0.116503093004493i</v>
      </c>
      <c r="AK307" s="31">
        <f t="shared" si="187"/>
        <v>1.0067636121153831</v>
      </c>
      <c r="AL307" s="31">
        <f t="shared" si="188"/>
        <v>0.11598024670304238</v>
      </c>
      <c r="AM307" s="31" t="str">
        <f t="shared" si="173"/>
        <v>1+56.6547688157734i</v>
      </c>
      <c r="AN307" s="31">
        <f t="shared" si="189"/>
        <v>56.663593510901954</v>
      </c>
      <c r="AO307" s="31">
        <f t="shared" si="190"/>
        <v>1.553147394666573</v>
      </c>
      <c r="AP307" s="58" t="str">
        <f t="shared" si="191"/>
        <v>-0.048386454519227+0.00650460540687938i</v>
      </c>
      <c r="AQ307" s="49">
        <f t="shared" si="192"/>
        <v>-26.227741167974578</v>
      </c>
      <c r="AR307" s="61">
        <f t="shared" si="193"/>
        <v>172.34361203316379</v>
      </c>
      <c r="AS307" s="58" t="str">
        <f t="shared" si="194"/>
        <v>0.235459048353868-0.160153879179123i</v>
      </c>
      <c r="AT307" s="64">
        <f t="shared" si="195"/>
        <v>-10.910314759760109</v>
      </c>
      <c r="AU307" s="61">
        <f t="shared" si="196"/>
        <v>-34.222644620517514</v>
      </c>
    </row>
    <row r="308" spans="14:47" x14ac:dyDescent="0.4">
      <c r="N308" s="10">
        <v>90</v>
      </c>
      <c r="O308" s="50">
        <f t="shared" si="197"/>
        <v>7943.2823472428154</v>
      </c>
      <c r="P308" s="48" t="str">
        <f t="shared" si="165"/>
        <v>5120.19230769231</v>
      </c>
      <c r="Q308" s="17" t="str">
        <f t="shared" si="166"/>
        <v>1+233.229133253826i</v>
      </c>
      <c r="R308" s="17">
        <f t="shared" si="174"/>
        <v>233.23127705848316</v>
      </c>
      <c r="S308" s="17">
        <f t="shared" si="175"/>
        <v>1.5665087240490663</v>
      </c>
      <c r="T308" s="17" t="str">
        <f t="shared" si="167"/>
        <v>1+0.000498592058200401i</v>
      </c>
      <c r="U308" s="17">
        <f t="shared" si="176"/>
        <v>1.0000001242970125</v>
      </c>
      <c r="V308" s="17">
        <f t="shared" si="177"/>
        <v>4.9859201688473565E-4</v>
      </c>
      <c r="W308" s="31" t="str">
        <f t="shared" si="168"/>
        <v>1-0.808527661946595i</v>
      </c>
      <c r="X308" s="17">
        <f t="shared" si="178"/>
        <v>1.2859692765120119</v>
      </c>
      <c r="Y308" s="17">
        <f t="shared" si="179"/>
        <v>-0.67991914913105955</v>
      </c>
      <c r="Z308" s="31" t="str">
        <f t="shared" si="169"/>
        <v>0.974761706220792+4.92269774853869i</v>
      </c>
      <c r="AA308" s="17">
        <f t="shared" si="180"/>
        <v>5.0182779424203234</v>
      </c>
      <c r="AB308" s="17">
        <f t="shared" si="181"/>
        <v>1.3753113765837424</v>
      </c>
      <c r="AC308" s="66" t="str">
        <f t="shared" si="182"/>
        <v>-4.99086822570661+2.59606761847543i</v>
      </c>
      <c r="AD308" s="64">
        <f t="shared" si="183"/>
        <v>15.003508357769888</v>
      </c>
      <c r="AE308" s="61">
        <f t="shared" si="184"/>
        <v>152.51819370991967</v>
      </c>
      <c r="AF308" s="31" t="str">
        <f t="shared" si="170"/>
        <v>-1.39902068552014E-06</v>
      </c>
      <c r="AG308" s="31" t="str">
        <f t="shared" si="171"/>
        <v>0.00165039461266975i</v>
      </c>
      <c r="AH308" s="31">
        <f t="shared" si="185"/>
        <v>1.6503946126697499E-3</v>
      </c>
      <c r="AI308" s="31">
        <f t="shared" si="186"/>
        <v>1.5707963267948966</v>
      </c>
      <c r="AJ308" s="31" t="str">
        <f t="shared" si="172"/>
        <v>1+0.119216798650531i</v>
      </c>
      <c r="AK308" s="31">
        <f t="shared" si="187"/>
        <v>1.0070812504860178</v>
      </c>
      <c r="AL308" s="31">
        <f t="shared" si="188"/>
        <v>0.11865677128240536</v>
      </c>
      <c r="AM308" s="31" t="str">
        <f t="shared" si="173"/>
        <v>1+57.974427908467i</v>
      </c>
      <c r="AN308" s="31">
        <f t="shared" si="189"/>
        <v>57.983051759234243</v>
      </c>
      <c r="AO308" s="31">
        <f t="shared" si="190"/>
        <v>1.5535490528164622</v>
      </c>
      <c r="AP308" s="58" t="str">
        <f t="shared" si="191"/>
        <v>-0.0483559366821102+0.00661252855902636i</v>
      </c>
      <c r="AQ308" s="49">
        <f t="shared" si="192"/>
        <v>-26.230542050731817</v>
      </c>
      <c r="AR308" s="61">
        <f t="shared" si="193"/>
        <v>172.21327178779899</v>
      </c>
      <c r="AS308" s="58" t="str">
        <f t="shared" si="194"/>
        <v>0.224171536642692-0.158537540058297i</v>
      </c>
      <c r="AT308" s="64">
        <f t="shared" si="195"/>
        <v>-11.227033692961928</v>
      </c>
      <c r="AU308" s="61">
        <f t="shared" si="196"/>
        <v>-35.26853450228144</v>
      </c>
    </row>
    <row r="309" spans="14:47" x14ac:dyDescent="0.4">
      <c r="N309" s="10">
        <v>91</v>
      </c>
      <c r="O309" s="50">
        <f t="shared" si="197"/>
        <v>8128.3051616410066</v>
      </c>
      <c r="P309" s="48" t="str">
        <f t="shared" si="165"/>
        <v>5120.19230769231</v>
      </c>
      <c r="Q309" s="17" t="str">
        <f t="shared" si="166"/>
        <v>1+238.661737654355i</v>
      </c>
      <c r="R309" s="17">
        <f t="shared" si="174"/>
        <v>238.66383266049377</v>
      </c>
      <c r="S309" s="17">
        <f t="shared" si="175"/>
        <v>1.5666063206474055</v>
      </c>
      <c r="T309" s="17" t="str">
        <f t="shared" si="167"/>
        <v>1+0.00051020575916331i</v>
      </c>
      <c r="U309" s="17">
        <f t="shared" si="176"/>
        <v>1.0000001301549499</v>
      </c>
      <c r="V309" s="17">
        <f t="shared" si="177"/>
        <v>5.1020571489277737E-4</v>
      </c>
      <c r="W309" s="31" t="str">
        <f t="shared" si="168"/>
        <v>1-0.827360690535096i</v>
      </c>
      <c r="X309" s="17">
        <f t="shared" si="178"/>
        <v>1.2978927968991549</v>
      </c>
      <c r="Y309" s="17">
        <f t="shared" si="179"/>
        <v>-0.69120306831109424</v>
      </c>
      <c r="Z309" s="31" t="str">
        <f t="shared" si="169"/>
        <v>0.973572262079696+5.0373621091959i</v>
      </c>
      <c r="AA309" s="17">
        <f t="shared" si="180"/>
        <v>5.1305808607460373</v>
      </c>
      <c r="AB309" s="17">
        <f t="shared" si="181"/>
        <v>1.3798799697972559</v>
      </c>
      <c r="AC309" s="66" t="str">
        <f t="shared" si="182"/>
        <v>-4.77421129522564+2.58086960516579i</v>
      </c>
      <c r="AD309" s="64">
        <f t="shared" si="183"/>
        <v>14.6914400838172</v>
      </c>
      <c r="AE309" s="61">
        <f t="shared" si="184"/>
        <v>151.60498519779122</v>
      </c>
      <c r="AF309" s="31" t="str">
        <f t="shared" si="170"/>
        <v>-1.39902068552014E-06</v>
      </c>
      <c r="AG309" s="31" t="str">
        <f t="shared" si="171"/>
        <v>0.00168883724164287i</v>
      </c>
      <c r="AH309" s="31">
        <f t="shared" si="185"/>
        <v>1.6888372416428701E-3</v>
      </c>
      <c r="AI309" s="31">
        <f t="shared" si="186"/>
        <v>1.5707963267948966</v>
      </c>
      <c r="AJ309" s="31" t="str">
        <f t="shared" si="172"/>
        <v>1+0.121993714621234i</v>
      </c>
      <c r="AK309" s="31">
        <f t="shared" si="187"/>
        <v>1.0074137513490111</v>
      </c>
      <c r="AL309" s="31">
        <f t="shared" si="188"/>
        <v>0.12139387273575979</v>
      </c>
      <c r="AM309" s="31" t="str">
        <f t="shared" si="173"/>
        <v>1+59.3248258102202i</v>
      </c>
      <c r="AN309" s="31">
        <f t="shared" si="189"/>
        <v>59.33325338638501</v>
      </c>
      <c r="AO309" s="31">
        <f t="shared" si="190"/>
        <v>1.5539415734886011</v>
      </c>
      <c r="AP309" s="58" t="str">
        <f t="shared" si="191"/>
        <v>-0.0483240218163696+0.00672361977073507i</v>
      </c>
      <c r="AQ309" s="49">
        <f t="shared" si="192"/>
        <v>-26.233467475118452</v>
      </c>
      <c r="AR309" s="61">
        <f t="shared" si="193"/>
        <v>172.07893720430781</v>
      </c>
      <c r="AS309" s="58" t="str">
        <f t="shared" si="194"/>
        <v>0.21335630488346-0.156817980559483i</v>
      </c>
      <c r="AT309" s="64">
        <f t="shared" si="195"/>
        <v>-11.542027391301243</v>
      </c>
      <c r="AU309" s="61">
        <f t="shared" si="196"/>
        <v>-36.316077597901042</v>
      </c>
    </row>
    <row r="310" spans="14:47" x14ac:dyDescent="0.4">
      <c r="N310" s="10">
        <v>92</v>
      </c>
      <c r="O310" s="50">
        <f t="shared" si="197"/>
        <v>8317.6377110267094</v>
      </c>
      <c r="P310" s="48" t="str">
        <f t="shared" si="165"/>
        <v>5120.19230769231</v>
      </c>
      <c r="Q310" s="17" t="str">
        <f t="shared" si="166"/>
        <v>1+244.220883667248i</v>
      </c>
      <c r="R310" s="17">
        <f t="shared" si="174"/>
        <v>244.22293098562938</v>
      </c>
      <c r="S310" s="17">
        <f t="shared" si="175"/>
        <v>1.5667016957530711</v>
      </c>
      <c r="T310" s="17" t="str">
        <f t="shared" si="167"/>
        <v>1+0.000522089977973096i</v>
      </c>
      <c r="U310" s="17">
        <f t="shared" si="176"/>
        <v>1.0000001362889632</v>
      </c>
      <c r="V310" s="17">
        <f t="shared" si="177"/>
        <v>5.2208993053636595E-4</v>
      </c>
      <c r="W310" s="31" t="str">
        <f t="shared" si="168"/>
        <v>1-0.846632396713128i</v>
      </c>
      <c r="X310" s="17">
        <f t="shared" si="178"/>
        <v>1.3102619643278268</v>
      </c>
      <c r="Y310" s="17">
        <f t="shared" si="179"/>
        <v>-0.70253574517260298</v>
      </c>
      <c r="Z310" s="31" t="str">
        <f t="shared" si="169"/>
        <v>0.972326761163242+5.15469734592075i</v>
      </c>
      <c r="AA310" s="17">
        <f t="shared" si="180"/>
        <v>5.2456004478530991</v>
      </c>
      <c r="AB310" s="17">
        <f t="shared" si="181"/>
        <v>1.3843576896903214</v>
      </c>
      <c r="AC310" s="66" t="str">
        <f t="shared" si="182"/>
        <v>-4.56656552264851+2.56323104494719i</v>
      </c>
      <c r="AD310" s="64">
        <f t="shared" si="183"/>
        <v>14.381256385696695</v>
      </c>
      <c r="AE310" s="61">
        <f t="shared" si="184"/>
        <v>150.69433251570081</v>
      </c>
      <c r="AF310" s="31" t="str">
        <f t="shared" si="170"/>
        <v>-1.39902068552014E-06</v>
      </c>
      <c r="AG310" s="31" t="str">
        <f t="shared" si="171"/>
        <v>0.00172817531447591i</v>
      </c>
      <c r="AH310" s="31">
        <f t="shared" si="185"/>
        <v>1.7281753144759099E-3</v>
      </c>
      <c r="AI310" s="31">
        <f t="shared" si="186"/>
        <v>1.5707963267948966</v>
      </c>
      <c r="AJ310" s="31" t="str">
        <f t="shared" si="172"/>
        <v>1+0.124835313274207i</v>
      </c>
      <c r="AK310" s="31">
        <f t="shared" si="187"/>
        <v>1.0077618049123858</v>
      </c>
      <c r="AL310" s="31">
        <f t="shared" si="188"/>
        <v>0.12419283817755554</v>
      </c>
      <c r="AM310" s="31" t="str">
        <f t="shared" si="173"/>
        <v>1+60.7066785198747i</v>
      </c>
      <c r="AN310" s="31">
        <f t="shared" si="189"/>
        <v>60.71491428731013</v>
      </c>
      <c r="AO310" s="31">
        <f t="shared" si="190"/>
        <v>1.5543251643185552</v>
      </c>
      <c r="AP310" s="58" t="str">
        <f t="shared" si="191"/>
        <v>-0.0482906479706161+0.00683791448827697i</v>
      </c>
      <c r="AQ310" s="49">
        <f t="shared" si="192"/>
        <v>-26.236523386947994</v>
      </c>
      <c r="AR310" s="61">
        <f t="shared" si="193"/>
        <v>171.94054643310625</v>
      </c>
      <c r="AS310" s="58" t="str">
        <f t="shared" si="194"/>
        <v>0.202995253389926-0.155005872607884i</v>
      </c>
      <c r="AT310" s="64">
        <f t="shared" si="195"/>
        <v>-11.855267001251288</v>
      </c>
      <c r="AU310" s="61">
        <f t="shared" si="196"/>
        <v>-37.365121051193036</v>
      </c>
    </row>
    <row r="311" spans="14:47" x14ac:dyDescent="0.4">
      <c r="N311" s="10">
        <v>93</v>
      </c>
      <c r="O311" s="50">
        <f t="shared" si="197"/>
        <v>8511.3803820237772</v>
      </c>
      <c r="P311" s="48" t="str">
        <f t="shared" si="165"/>
        <v>5120.19230769231</v>
      </c>
      <c r="Q311" s="17" t="str">
        <f t="shared" si="166"/>
        <v>1+249.909518825309i</v>
      </c>
      <c r="R311" s="17">
        <f t="shared" si="174"/>
        <v>249.91151954141182</v>
      </c>
      <c r="S311" s="17">
        <f t="shared" si="175"/>
        <v>1.5667948999282619</v>
      </c>
      <c r="T311" s="17" t="str">
        <f t="shared" si="167"/>
        <v>1+0.000534251015799883i</v>
      </c>
      <c r="U311" s="17">
        <f t="shared" si="176"/>
        <v>1.0000001427120637</v>
      </c>
      <c r="V311" s="17">
        <f t="shared" si="177"/>
        <v>5.3425096497051138E-4</v>
      </c>
      <c r="W311" s="31" t="str">
        <f t="shared" si="168"/>
        <v>1-0.866352998594404i</v>
      </c>
      <c r="X311" s="17">
        <f t="shared" si="178"/>
        <v>1.3230901398519737</v>
      </c>
      <c r="Y311" s="17">
        <f t="shared" si="179"/>
        <v>-0.71391154563387105</v>
      </c>
      <c r="Z311" s="31" t="str">
        <f t="shared" si="169"/>
        <v>0.971022561597+5.27476567140892i</v>
      </c>
      <c r="AA311" s="17">
        <f t="shared" si="180"/>
        <v>5.3633979624305708</v>
      </c>
      <c r="AB311" s="17">
        <f t="shared" si="181"/>
        <v>1.3887462491225693</v>
      </c>
      <c r="AC311" s="66" t="str">
        <f t="shared" si="182"/>
        <v>-4.36758697613551+2.54337850087648i</v>
      </c>
      <c r="AD311" s="64">
        <f t="shared" si="183"/>
        <v>14.072989397675276</v>
      </c>
      <c r="AE311" s="61">
        <f t="shared" si="184"/>
        <v>149.78645779715322</v>
      </c>
      <c r="AF311" s="31" t="str">
        <f t="shared" si="170"/>
        <v>-1.39902068552014E-06</v>
      </c>
      <c r="AG311" s="31" t="str">
        <f t="shared" si="171"/>
        <v>0.00176842968873579i</v>
      </c>
      <c r="AH311" s="31">
        <f t="shared" si="185"/>
        <v>1.7684296887357899E-3</v>
      </c>
      <c r="AI311" s="31">
        <f t="shared" si="186"/>
        <v>1.5707963267948966</v>
      </c>
      <c r="AJ311" s="31" t="str">
        <f t="shared" si="172"/>
        <v>1+0.127743101262669i</v>
      </c>
      <c r="AK311" s="31">
        <f t="shared" si="187"/>
        <v>1.0081261329418083</v>
      </c>
      <c r="AL311" s="31">
        <f t="shared" si="188"/>
        <v>0.12705497614100686</v>
      </c>
      <c r="AM311" s="31" t="str">
        <f t="shared" si="173"/>
        <v>1+62.1207187140284i</v>
      </c>
      <c r="AN311" s="31">
        <f t="shared" si="189"/>
        <v>62.128767037077424</v>
      </c>
      <c r="AO311" s="31">
        <f t="shared" si="190"/>
        <v>1.5547000282394621</v>
      </c>
      <c r="AP311" s="58" t="str">
        <f t="shared" si="191"/>
        <v>-0.0482557506359549+0.00695544826425033i</v>
      </c>
      <c r="AQ311" s="49">
        <f t="shared" si="192"/>
        <v>-26.23971598432016</v>
      </c>
      <c r="AR311" s="61">
        <f t="shared" si="193"/>
        <v>171.79803612797602</v>
      </c>
      <c r="AS311" s="58" t="str">
        <f t="shared" si="194"/>
        <v>0.193070850421987-0.153111163963268i</v>
      </c>
      <c r="AT311" s="64">
        <f t="shared" si="195"/>
        <v>-12.166726586644881</v>
      </c>
      <c r="AU311" s="61">
        <f t="shared" si="196"/>
        <v>-38.415506074870635</v>
      </c>
    </row>
    <row r="312" spans="14:47" x14ac:dyDescent="0.4">
      <c r="N312" s="10">
        <v>94</v>
      </c>
      <c r="O312" s="50">
        <f t="shared" si="197"/>
        <v>8709.6358995608189</v>
      </c>
      <c r="P312" s="48" t="str">
        <f t="shared" si="165"/>
        <v>5120.19230769231</v>
      </c>
      <c r="Q312" s="17" t="str">
        <f t="shared" si="166"/>
        <v>1+255.730659318194i</v>
      </c>
      <c r="R312" s="17">
        <f t="shared" si="174"/>
        <v>255.73261449279047</v>
      </c>
      <c r="S312" s="17">
        <f t="shared" si="175"/>
        <v>1.5668859825845844</v>
      </c>
      <c r="T312" s="17" t="str">
        <f t="shared" si="167"/>
        <v>1+0.000546695320586895i</v>
      </c>
      <c r="U312" s="17">
        <f t="shared" si="176"/>
        <v>1.0000001494378756</v>
      </c>
      <c r="V312" s="17">
        <f t="shared" si="177"/>
        <v>5.4669526612224244E-4</v>
      </c>
      <c r="W312" s="31" t="str">
        <f t="shared" si="168"/>
        <v>1-0.886532952303071i</v>
      </c>
      <c r="X312" s="17">
        <f t="shared" si="178"/>
        <v>1.3363909141861148</v>
      </c>
      <c r="Y312" s="17">
        <f t="shared" si="179"/>
        <v>-0.72532472511783552</v>
      </c>
      <c r="Z312" s="31" t="str">
        <f t="shared" si="169"/>
        <v>0.969656896998833+5.39763074747583i</v>
      </c>
      <c r="AA312" s="17">
        <f t="shared" si="180"/>
        <v>5.48403612168938</v>
      </c>
      <c r="AB312" s="17">
        <f t="shared" si="181"/>
        <v>1.3930473547059741</v>
      </c>
      <c r="AC312" s="66" t="str">
        <f t="shared" si="182"/>
        <v>-4.17694220812478+2.52152349788904i</v>
      </c>
      <c r="AD312" s="64">
        <f t="shared" si="183"/>
        <v>13.76666853286487</v>
      </c>
      <c r="AE312" s="61">
        <f t="shared" si="184"/>
        <v>148.8815899388683</v>
      </c>
      <c r="AF312" s="31" t="str">
        <f t="shared" si="170"/>
        <v>-1.39902068552014E-06</v>
      </c>
      <c r="AG312" s="31" t="str">
        <f t="shared" si="171"/>
        <v>0.00180962170782457i</v>
      </c>
      <c r="AH312" s="31">
        <f t="shared" si="185"/>
        <v>1.80962170782457E-3</v>
      </c>
      <c r="AI312" s="31">
        <f t="shared" si="186"/>
        <v>1.5707963267948966</v>
      </c>
      <c r="AJ312" s="31" t="str">
        <f t="shared" si="172"/>
        <v>1+0.1307186203343i</v>
      </c>
      <c r="AK312" s="31">
        <f t="shared" si="187"/>
        <v>1.0085074901566686</v>
      </c>
      <c r="AL312" s="31">
        <f t="shared" si="188"/>
        <v>0.12998161650021051</v>
      </c>
      <c r="AM312" s="31" t="str">
        <f t="shared" si="173"/>
        <v>1+63.5676961355091i</v>
      </c>
      <c r="AN312" s="31">
        <f t="shared" si="189"/>
        <v>63.575561279287328</v>
      </c>
      <c r="AO312" s="31">
        <f t="shared" si="190"/>
        <v>1.5550663635874773</v>
      </c>
      <c r="AP312" s="58" t="str">
        <f t="shared" si="191"/>
        <v>-0.048219262658529+0.00707625667259662i</v>
      </c>
      <c r="AQ312" s="49">
        <f t="shared" si="192"/>
        <v>-26.24305172847685</v>
      </c>
      <c r="AR312" s="61">
        <f t="shared" si="193"/>
        <v>171.6513414565687</v>
      </c>
      <c r="AS312" s="58" t="str">
        <f t="shared" si="194"/>
        <v>0.183566125966018-0.151143119015658i</v>
      </c>
      <c r="AT312" s="64">
        <f t="shared" si="195"/>
        <v>-12.476383195611989</v>
      </c>
      <c r="AU312" s="61">
        <f t="shared" si="196"/>
        <v>-39.467068604563075</v>
      </c>
    </row>
    <row r="313" spans="14:47" x14ac:dyDescent="0.4">
      <c r="N313" s="10">
        <v>95</v>
      </c>
      <c r="O313" s="50">
        <f t="shared" si="197"/>
        <v>8912.5093813374679</v>
      </c>
      <c r="P313" s="48" t="str">
        <f t="shared" si="165"/>
        <v>5120.19230769231</v>
      </c>
      <c r="Q313" s="17" t="str">
        <f t="shared" si="166"/>
        <v>1+261.687391591645i</v>
      </c>
      <c r="R313" s="17">
        <f t="shared" si="174"/>
        <v>261.68930226136291</v>
      </c>
      <c r="S313" s="17">
        <f t="shared" si="175"/>
        <v>1.5669749920092202</v>
      </c>
      <c r="T313" s="17" t="str">
        <f t="shared" si="167"/>
        <v>1+0.000559429490469249i</v>
      </c>
      <c r="U313" s="17">
        <f t="shared" si="176"/>
        <v>1.0000001564806651</v>
      </c>
      <c r="V313" s="17">
        <f t="shared" si="177"/>
        <v>5.5942943210932289E-4</v>
      </c>
      <c r="W313" s="31" t="str">
        <f t="shared" si="168"/>
        <v>1-0.907182957517701i</v>
      </c>
      <c r="X313" s="17">
        <f t="shared" si="178"/>
        <v>1.350178106181019</v>
      </c>
      <c r="Y313" s="17">
        <f t="shared" si="179"/>
        <v>-0.73676944245128151</v>
      </c>
      <c r="Z313" s="31" t="str">
        <f t="shared" si="169"/>
        <v>0.968226870611029+5.52335771881114i</v>
      </c>
      <c r="AA313" s="17">
        <f t="shared" si="180"/>
        <v>5.6075791356809068</v>
      </c>
      <c r="AB313" s="17">
        <f t="shared" si="181"/>
        <v>1.3972627052911757</v>
      </c>
      <c r="AC313" s="66" t="str">
        <f t="shared" si="182"/>
        <v>-3.99430817102212+2.49786337122912i</v>
      </c>
      <c r="AD313" s="64">
        <f t="shared" si="183"/>
        <v>13.462320435058784</v>
      </c>
      <c r="AE313" s="61">
        <f t="shared" si="184"/>
        <v>147.97996388983969</v>
      </c>
      <c r="AF313" s="31" t="str">
        <f t="shared" si="170"/>
        <v>-1.39902068552014E-06</v>
      </c>
      <c r="AG313" s="31" t="str">
        <f t="shared" si="171"/>
        <v>0.00185177321229601i</v>
      </c>
      <c r="AH313" s="31">
        <f t="shared" si="185"/>
        <v>1.8517732122960099E-3</v>
      </c>
      <c r="AI313" s="31">
        <f t="shared" si="186"/>
        <v>1.5707963267948966</v>
      </c>
      <c r="AJ313" s="31" t="str">
        <f t="shared" si="172"/>
        <v>1+0.133763448148697i</v>
      </c>
      <c r="AK313" s="31">
        <f t="shared" si="187"/>
        <v>1.0089066656835155</v>
      </c>
      <c r="AL313" s="31">
        <f t="shared" si="188"/>
        <v>0.13297411035337206</v>
      </c>
      <c r="AM313" s="31" t="str">
        <f t="shared" si="173"/>
        <v>1+65.0483779908989i</v>
      </c>
      <c r="AN313" s="31">
        <f t="shared" si="189"/>
        <v>65.056064123545482</v>
      </c>
      <c r="AO313" s="31">
        <f t="shared" si="190"/>
        <v>1.5554243642049232</v>
      </c>
      <c r="AP313" s="58" t="str">
        <f t="shared" si="191"/>
        <v>-0.0481811141508634+0.00720037521736405i</v>
      </c>
      <c r="AQ313" s="49">
        <f t="shared" si="192"/>
        <v>-26.246537355006492</v>
      </c>
      <c r="AR313" s="61">
        <f t="shared" si="193"/>
        <v>171.5003961130065</v>
      </c>
      <c r="AS313" s="58" t="str">
        <f t="shared" si="194"/>
        <v>0.174464664427184-0.149110357787593i</v>
      </c>
      <c r="AT313" s="64">
        <f t="shared" si="195"/>
        <v>-12.784216919947699</v>
      </c>
      <c r="AU313" s="61">
        <f t="shared" si="196"/>
        <v>-40.51963999715371</v>
      </c>
    </row>
    <row r="314" spans="14:47" x14ac:dyDescent="0.4">
      <c r="N314" s="10">
        <v>96</v>
      </c>
      <c r="O314" s="50">
        <f t="shared" si="197"/>
        <v>9120.1083935591087</v>
      </c>
      <c r="P314" s="48" t="str">
        <f t="shared" si="165"/>
        <v>5120.19230769231</v>
      </c>
      <c r="Q314" s="17" t="str">
        <f t="shared" si="166"/>
        <v>1+267.782873983959i</v>
      </c>
      <c r="R314" s="17">
        <f t="shared" si="174"/>
        <v>267.78474116183105</v>
      </c>
      <c r="S314" s="17">
        <f t="shared" si="175"/>
        <v>1.5670619753904993</v>
      </c>
      <c r="T314" s="17" t="str">
        <f t="shared" si="167"/>
        <v>1+0.000572460277272376i</v>
      </c>
      <c r="U314" s="17">
        <f t="shared" si="176"/>
        <v>1.000000163855371</v>
      </c>
      <c r="V314" s="17">
        <f t="shared" si="177"/>
        <v>5.72460214738589E-4</v>
      </c>
      <c r="W314" s="31" t="str">
        <f t="shared" si="168"/>
        <v>1-0.928313963144392i</v>
      </c>
      <c r="X314" s="17">
        <f t="shared" si="178"/>
        <v>1.3644657614498239</v>
      </c>
      <c r="Y314" s="17">
        <f t="shared" si="179"/>
        <v>-0.74823977436549349</v>
      </c>
      <c r="Z314" s="31" t="str">
        <f t="shared" si="169"/>
        <v>0.966729449155893+5.65201324751926i</v>
      </c>
      <c r="AA314" s="17">
        <f t="shared" si="180"/>
        <v>5.7340927423611197</v>
      </c>
      <c r="AB314" s="17">
        <f t="shared" si="181"/>
        <v>1.4013939905788948</v>
      </c>
      <c r="AC314" s="66" t="str">
        <f t="shared" si="182"/>
        <v>-3.81937210876444+2.47258207659739i</v>
      </c>
      <c r="AD314" s="64">
        <f t="shared" si="183"/>
        <v>13.159968939004344</v>
      </c>
      <c r="AE314" s="61">
        <f t="shared" si="184"/>
        <v>147.0818198988037</v>
      </c>
      <c r="AF314" s="31" t="str">
        <f t="shared" si="170"/>
        <v>-1.39902068552014E-06</v>
      </c>
      <c r="AG314" s="31" t="str">
        <f t="shared" si="171"/>
        <v>0.00189490655143573i</v>
      </c>
      <c r="AH314" s="31">
        <f t="shared" si="185"/>
        <v>1.89490655143573E-3</v>
      </c>
      <c r="AI314" s="31">
        <f t="shared" si="186"/>
        <v>1.5707963267948966</v>
      </c>
      <c r="AJ314" s="31" t="str">
        <f t="shared" si="172"/>
        <v>1+0.136879199113872i</v>
      </c>
      <c r="AK314" s="31">
        <f t="shared" si="187"/>
        <v>1.0093244845687908</v>
      </c>
      <c r="AL314" s="31">
        <f t="shared" si="188"/>
        <v>0.13603382986406309</v>
      </c>
      <c r="AM314" s="31" t="str">
        <f t="shared" si="173"/>
        <v>1+66.5635493573164i</v>
      </c>
      <c r="AN314" s="31">
        <f t="shared" si="189"/>
        <v>66.571060552194126</v>
      </c>
      <c r="AO314" s="31">
        <f t="shared" si="190"/>
        <v>1.5557742195411919</v>
      </c>
      <c r="AP314" s="58" t="str">
        <f t="shared" si="191"/>
        <v>-0.0481412324022003+0.00732783923485367i</v>
      </c>
      <c r="AQ314" s="49">
        <f t="shared" si="192"/>
        <v>-26.250179885401504</v>
      </c>
      <c r="AR314" s="61">
        <f t="shared" si="193"/>
        <v>171.34513233275834</v>
      </c>
      <c r="AS314" s="58" t="str">
        <f t="shared" si="194"/>
        <v>0.165750596366224-0.1470208931741i</v>
      </c>
      <c r="AT314" s="64">
        <f t="shared" si="195"/>
        <v>-13.090210946397175</v>
      </c>
      <c r="AU314" s="61">
        <f t="shared" si="196"/>
        <v>-41.573047768438087</v>
      </c>
    </row>
    <row r="315" spans="14:47" x14ac:dyDescent="0.4">
      <c r="N315" s="10">
        <v>97</v>
      </c>
      <c r="O315" s="50">
        <f t="shared" si="197"/>
        <v>9332.5430079699217</v>
      </c>
      <c r="P315" s="48" t="str">
        <f t="shared" si="165"/>
        <v>5120.19230769231</v>
      </c>
      <c r="Q315" s="17" t="str">
        <f t="shared" si="166"/>
        <v>1+274.020338400586i</v>
      </c>
      <c r="R315" s="17">
        <f t="shared" si="174"/>
        <v>274.02216307658705</v>
      </c>
      <c r="S315" s="17">
        <f t="shared" si="175"/>
        <v>1.567146978842894</v>
      </c>
      <c r="T315" s="17" t="str">
        <f t="shared" si="167"/>
        <v>1+0.00058579459009192i</v>
      </c>
      <c r="U315" s="17">
        <f t="shared" si="176"/>
        <v>1.0000001715776361</v>
      </c>
      <c r="V315" s="17">
        <f t="shared" si="177"/>
        <v>5.8579452308576074E-4</v>
      </c>
      <c r="W315" s="31" t="str">
        <f t="shared" si="168"/>
        <v>1-0.949937173122031i</v>
      </c>
      <c r="X315" s="17">
        <f t="shared" si="178"/>
        <v>1.3792681511870979</v>
      </c>
      <c r="Y315" s="17">
        <f t="shared" si="179"/>
        <v>-0.75972973051360371</v>
      </c>
      <c r="Z315" s="31" t="str">
        <f t="shared" si="169"/>
        <v>0.965161456401757+5.78366554846444i</v>
      </c>
      <c r="AA315" s="17">
        <f t="shared" si="180"/>
        <v>5.8636442434221765</v>
      </c>
      <c r="AB315" s="17">
        <f t="shared" si="181"/>
        <v>1.4054428898502258</v>
      </c>
      <c r="AC315" s="66" t="str">
        <f t="shared" si="182"/>
        <v>-3.65183142708505+2.44585096279924i</v>
      </c>
      <c r="AD315" s="64">
        <f t="shared" si="183"/>
        <v>12.859635039567245</v>
      </c>
      <c r="AE315" s="61">
        <f t="shared" si="184"/>
        <v>146.18740272533049</v>
      </c>
      <c r="AF315" s="31" t="str">
        <f t="shared" si="170"/>
        <v>-1.39902068552014E-06</v>
      </c>
      <c r="AG315" s="31" t="str">
        <f t="shared" si="171"/>
        <v>0.00193904459511107i</v>
      </c>
      <c r="AH315" s="31">
        <f t="shared" si="185"/>
        <v>1.93904459511107E-3</v>
      </c>
      <c r="AI315" s="31">
        <f t="shared" si="186"/>
        <v>1.5707963267948966</v>
      </c>
      <c r="AJ315" s="31" t="str">
        <f t="shared" si="172"/>
        <v>1+0.140067525242227i</v>
      </c>
      <c r="AK315" s="31">
        <f t="shared" si="187"/>
        <v>1.0097618093528204</v>
      </c>
      <c r="AL315" s="31">
        <f t="shared" si="188"/>
        <v>0.1391621680572509</v>
      </c>
      <c r="AM315" s="31" t="str">
        <f t="shared" si="173"/>
        <v>1+68.114013598676i</v>
      </c>
      <c r="AN315" s="31">
        <f t="shared" si="189"/>
        <v>68.121353836521905</v>
      </c>
      <c r="AO315" s="31">
        <f t="shared" si="190"/>
        <v>1.5561161147514415</v>
      </c>
      <c r="AP315" s="58" t="str">
        <f t="shared" si="191"/>
        <v>-0.048099541788045+0.00745868378876981i</v>
      </c>
      <c r="AQ315" s="49">
        <f t="shared" si="192"/>
        <v>-26.253986638972378</v>
      </c>
      <c r="AR315" s="61">
        <f t="shared" si="193"/>
        <v>171.18548090998215</v>
      </c>
      <c r="AS315" s="58" t="str">
        <f t="shared" si="194"/>
        <v>0.157408589403996-0.144882166457012i</v>
      </c>
      <c r="AT315" s="64">
        <f t="shared" si="195"/>
        <v>-13.394351599405107</v>
      </c>
      <c r="AU315" s="61">
        <f t="shared" si="196"/>
        <v>-42.627116364687424</v>
      </c>
    </row>
    <row r="316" spans="14:47" x14ac:dyDescent="0.4">
      <c r="N316" s="10">
        <v>98</v>
      </c>
      <c r="O316" s="50">
        <f t="shared" si="197"/>
        <v>9549.9258602143691</v>
      </c>
      <c r="P316" s="48" t="str">
        <f t="shared" si="165"/>
        <v>5120.19230769231</v>
      </c>
      <c r="Q316" s="17" t="str">
        <f t="shared" si="166"/>
        <v>1+280.40309202772i</v>
      </c>
      <c r="R316" s="17">
        <f t="shared" si="174"/>
        <v>280.40487516929159</v>
      </c>
      <c r="S316" s="17">
        <f t="shared" si="175"/>
        <v>1.5672300474314436</v>
      </c>
      <c r="T316" s="17" t="str">
        <f t="shared" si="167"/>
        <v>1+0.000599439498957038i</v>
      </c>
      <c r="U316" s="17">
        <f t="shared" si="176"/>
        <v>1.0000001796638402</v>
      </c>
      <c r="V316" s="17">
        <f t="shared" si="177"/>
        <v>5.9943942715864548E-4</v>
      </c>
      <c r="W316" s="31" t="str">
        <f t="shared" si="168"/>
        <v>1-0.972064052362763i</v>
      </c>
      <c r="X316" s="17">
        <f t="shared" si="178"/>
        <v>1.3945997712232412</v>
      </c>
      <c r="Y316" s="17">
        <f t="shared" si="179"/>
        <v>-0.77123326891384625</v>
      </c>
      <c r="Z316" s="31" t="str">
        <f t="shared" si="169"/>
        <v>0.963519566425764+5.91838442543929i</v>
      </c>
      <c r="AA316" s="17">
        <f t="shared" si="180"/>
        <v>5.9963025409136632</v>
      </c>
      <c r="AB316" s="17">
        <f t="shared" si="181"/>
        <v>1.4094110708097296</v>
      </c>
      <c r="AC316" s="66" t="str">
        <f t="shared" si="182"/>
        <v>-3.4913935451073+2.41782950777801i</v>
      </c>
      <c r="AD316" s="64">
        <f t="shared" si="183"/>
        <v>12.56133687017201</v>
      </c>
      <c r="AE316" s="61">
        <f t="shared" si="184"/>
        <v>145.29696082008743</v>
      </c>
      <c r="AF316" s="31" t="str">
        <f t="shared" si="170"/>
        <v>-1.39902068552014E-06</v>
      </c>
      <c r="AG316" s="31" t="str">
        <f t="shared" si="171"/>
        <v>0.00198421074589703i</v>
      </c>
      <c r="AH316" s="31">
        <f t="shared" si="185"/>
        <v>1.98421074589703E-3</v>
      </c>
      <c r="AI316" s="31">
        <f t="shared" si="186"/>
        <v>1.5707963267948966</v>
      </c>
      <c r="AJ316" s="31" t="str">
        <f t="shared" si="172"/>
        <v>1+0.143330117026479i</v>
      </c>
      <c r="AK316" s="31">
        <f t="shared" si="187"/>
        <v>1.010219541707061</v>
      </c>
      <c r="AL316" s="31">
        <f t="shared" si="188"/>
        <v>0.14236053856669109</v>
      </c>
      <c r="AM316" s="31" t="str">
        <f t="shared" si="173"/>
        <v>1+69.7005927916412i</v>
      </c>
      <c r="AN316" s="31">
        <f t="shared" si="189"/>
        <v>69.707765962668631</v>
      </c>
      <c r="AO316" s="31">
        <f t="shared" si="190"/>
        <v>1.5564502307931356</v>
      </c>
      <c r="AP316" s="58" t="str">
        <f t="shared" si="191"/>
        <v>-0.0480559636791605+0.00759294355798803i</v>
      </c>
      <c r="AQ316" s="49">
        <f t="shared" si="192"/>
        <v>-26.257965245122818</v>
      </c>
      <c r="AR316" s="61">
        <f t="shared" si="193"/>
        <v>171.02137121752881</v>
      </c>
      <c r="AS316" s="58" t="str">
        <f t="shared" si="194"/>
        <v>0.149423838407935-0.142701081134906i</v>
      </c>
      <c r="AT316" s="64">
        <f t="shared" si="195"/>
        <v>-13.696628374950819</v>
      </c>
      <c r="AU316" s="61">
        <f t="shared" si="196"/>
        <v>-43.68166796238382</v>
      </c>
    </row>
    <row r="317" spans="14:47" x14ac:dyDescent="0.4">
      <c r="N317" s="10">
        <v>99</v>
      </c>
      <c r="O317" s="50">
        <f t="shared" si="197"/>
        <v>9772.3722095581161</v>
      </c>
      <c r="P317" s="48" t="str">
        <f t="shared" si="165"/>
        <v>5120.19230769231</v>
      </c>
      <c r="Q317" s="17" t="str">
        <f t="shared" si="166"/>
        <v>1+286.934519085822i</v>
      </c>
      <c r="R317" s="17">
        <f t="shared" si="174"/>
        <v>286.93626163838536</v>
      </c>
      <c r="S317" s="17">
        <f t="shared" si="175"/>
        <v>1.5673112251956247</v>
      </c>
      <c r="T317" s="17" t="str">
        <f t="shared" si="167"/>
        <v>1+0.000613402238579024i</v>
      </c>
      <c r="U317" s="17">
        <f t="shared" si="176"/>
        <v>1.0000001881311353</v>
      </c>
      <c r="V317" s="17">
        <f t="shared" si="177"/>
        <v>6.1340216164566103E-4</v>
      </c>
      <c r="W317" s="31" t="str">
        <f t="shared" si="168"/>
        <v>1-0.994706332830848i</v>
      </c>
      <c r="X317" s="17">
        <f t="shared" si="178"/>
        <v>1.4104753413561661</v>
      </c>
      <c r="Y317" s="17">
        <f t="shared" si="179"/>
        <v>-0.78274431172295478</v>
      </c>
      <c r="Z317" s="31" t="str">
        <f t="shared" si="169"/>
        <v>0.961800296559142+6.05624130817558i</v>
      </c>
      <c r="AA317" s="17">
        <f t="shared" si="180"/>
        <v>6.1321381746755765</v>
      </c>
      <c r="AB317" s="17">
        <f t="shared" si="181"/>
        <v>1.413300188535378</v>
      </c>
      <c r="AC317" s="66" t="str">
        <f t="shared" si="182"/>
        <v>-3.33777573069941+2.38866601900028i</v>
      </c>
      <c r="AD317" s="64">
        <f t="shared" si="183"/>
        <v>12.2650896908267</v>
      </c>
      <c r="AE317" s="61">
        <f t="shared" si="184"/>
        <v>144.41074548010064</v>
      </c>
      <c r="AF317" s="31" t="str">
        <f t="shared" si="170"/>
        <v>-1.39902068552014E-06</v>
      </c>
      <c r="AG317" s="31" t="str">
        <f t="shared" si="171"/>
        <v>0.0020304289514846i</v>
      </c>
      <c r="AH317" s="31">
        <f t="shared" si="185"/>
        <v>2.0304289514845998E-3</v>
      </c>
      <c r="AI317" s="31">
        <f t="shared" si="186"/>
        <v>1.5707963267948966</v>
      </c>
      <c r="AJ317" s="31" t="str">
        <f t="shared" si="172"/>
        <v>1+0.146668704335976i</v>
      </c>
      <c r="AK317" s="31">
        <f t="shared" si="187"/>
        <v>1.010698624136589</v>
      </c>
      <c r="AL317" s="31">
        <f t="shared" si="188"/>
        <v>0.14563037533004847</v>
      </c>
      <c r="AM317" s="31" t="str">
        <f t="shared" si="173"/>
        <v>1+71.3241281615009i</v>
      </c>
      <c r="AN317" s="31">
        <f t="shared" si="189"/>
        <v>71.331138067454134</v>
      </c>
      <c r="AO317" s="31">
        <f t="shared" si="190"/>
        <v>1.5567767445204623</v>
      </c>
      <c r="AP317" s="58" t="str">
        <f t="shared" si="191"/>
        <v>-0.0480104163502959+0.00773065271654085i</v>
      </c>
      <c r="AQ317" s="49">
        <f t="shared" si="192"/>
        <v>-26.262123655986951</v>
      </c>
      <c r="AR317" s="61">
        <f t="shared" si="193"/>
        <v>170.85273122982059</v>
      </c>
      <c r="AS317" s="58" t="str">
        <f t="shared" si="194"/>
        <v>0.141782055066098-0.140484035113743i</v>
      </c>
      <c r="AT317" s="64">
        <f t="shared" si="195"/>
        <v>-13.997033965160259</v>
      </c>
      <c r="AU317" s="61">
        <f t="shared" si="196"/>
        <v>-44.736523290078871</v>
      </c>
    </row>
    <row r="318" spans="14:47" x14ac:dyDescent="0.4">
      <c r="N318" s="10">
        <v>100</v>
      </c>
      <c r="O318" s="50">
        <f t="shared" si="197"/>
        <v>10000</v>
      </c>
      <c r="P318" s="48" t="str">
        <f t="shared" si="165"/>
        <v>5120.19230769231</v>
      </c>
      <c r="Q318" s="17" t="str">
        <f t="shared" si="166"/>
        <v>1+293.618082623969i</v>
      </c>
      <c r="R318" s="17">
        <f t="shared" si="174"/>
        <v>293.61978551142613</v>
      </c>
      <c r="S318" s="17">
        <f t="shared" si="175"/>
        <v>1.5673905551726806</v>
      </c>
      <c r="T318" s="17" t="str">
        <f t="shared" si="167"/>
        <v>1+0.000627690212187242i</v>
      </c>
      <c r="U318" s="17">
        <f t="shared" si="176"/>
        <v>1.0000001969974819</v>
      </c>
      <c r="V318" s="17">
        <f t="shared" si="177"/>
        <v>6.2769012975165926E-4</v>
      </c>
      <c r="W318" s="31" t="str">
        <f t="shared" si="168"/>
        <v>1-1.01787601976309i</v>
      </c>
      <c r="X318" s="17">
        <f t="shared" si="178"/>
        <v>1.4269098050012659</v>
      </c>
      <c r="Y318" s="17">
        <f t="shared" si="179"/>
        <v>-0.79425676124000266</v>
      </c>
      <c r="Z318" s="31" t="str">
        <f t="shared" si="169"/>
        <v>0.96+6.1973092902173i</v>
      </c>
      <c r="AA318" s="17">
        <f t="shared" si="180"/>
        <v>6.2712233606062577</v>
      </c>
      <c r="AB318" s="17">
        <f t="shared" si="181"/>
        <v>1.417111884529608</v>
      </c>
      <c r="AC318" s="66" t="str">
        <f t="shared" si="182"/>
        <v>-3.19070492183772+2.35849829922741i</v>
      </c>
      <c r="AD318" s="64">
        <f t="shared" si="183"/>
        <v>11.970905885959557</v>
      </c>
      <c r="AE318" s="61">
        <f t="shared" si="184"/>
        <v>143.52900998505615</v>
      </c>
      <c r="AF318" s="31" t="str">
        <f t="shared" si="170"/>
        <v>-1.39902068552014E-06</v>
      </c>
      <c r="AG318" s="31" t="str">
        <f t="shared" si="171"/>
        <v>0.00207772371737815i</v>
      </c>
      <c r="AH318" s="31">
        <f t="shared" si="185"/>
        <v>2.07772371737815E-3</v>
      </c>
      <c r="AI318" s="31">
        <f t="shared" si="186"/>
        <v>1.5707963267948966</v>
      </c>
      <c r="AJ318" s="31" t="str">
        <f t="shared" si="172"/>
        <v>1+0.150085057333902i</v>
      </c>
      <c r="AK318" s="31">
        <f t="shared" si="187"/>
        <v>1.011200041749861</v>
      </c>
      <c r="AL318" s="31">
        <f t="shared" si="188"/>
        <v>0.14897313222796821</v>
      </c>
      <c r="AM318" s="31" t="str">
        <f t="shared" si="173"/>
        <v>1+72.9854805281982i</v>
      </c>
      <c r="AN318" s="31">
        <f t="shared" si="189"/>
        <v>72.992330884360712</v>
      </c>
      <c r="AO318" s="31">
        <f t="shared" si="190"/>
        <v>1.5570958287766816</v>
      </c>
      <c r="AP318" s="58" t="str">
        <f t="shared" si="191"/>
        <v>-0.0479628148889582+0.00787184480541361i</v>
      </c>
      <c r="AQ318" s="49">
        <f t="shared" si="192"/>
        <v>-26.266470159429929</v>
      </c>
      <c r="AR318" s="61">
        <f t="shared" si="193"/>
        <v>170.67948754882198</v>
      </c>
      <c r="AS318" s="58" t="str">
        <f t="shared" si="194"/>
        <v>0.13446945694604-0.138236951306343i</v>
      </c>
      <c r="AT318" s="64">
        <f t="shared" si="195"/>
        <v>-14.295564273470379</v>
      </c>
      <c r="AU318" s="61">
        <f t="shared" si="196"/>
        <v>-45.791502466121919</v>
      </c>
    </row>
    <row r="319" spans="14:47" x14ac:dyDescent="0.4">
      <c r="N319" s="10">
        <v>1</v>
      </c>
      <c r="O319" s="50">
        <f>10^(4+(N319/100))</f>
        <v>10232.929922807549</v>
      </c>
      <c r="P319" s="48" t="str">
        <f t="shared" si="165"/>
        <v>5120.19230769231</v>
      </c>
      <c r="Q319" s="17" t="str">
        <f t="shared" si="166"/>
        <v>1+300.457326356019i</v>
      </c>
      <c r="R319" s="17">
        <f t="shared" si="174"/>
        <v>300.45899048124244</v>
      </c>
      <c r="S319" s="17">
        <f t="shared" si="175"/>
        <v>1.5674680794204188</v>
      </c>
      <c r="T319" s="17" t="str">
        <f t="shared" si="167"/>
        <v>1+0.000642310995454424i</v>
      </c>
      <c r="U319" s="17">
        <f t="shared" si="176"/>
        <v>1.0000002062816862</v>
      </c>
      <c r="V319" s="17">
        <f t="shared" si="177"/>
        <v>6.4231090712310655E-4</v>
      </c>
      <c r="W319" s="31" t="str">
        <f t="shared" si="168"/>
        <v>1-1.0415853980342i</v>
      </c>
      <c r="X319" s="17">
        <f t="shared" si="178"/>
        <v>1.4439183291994264</v>
      </c>
      <c r="Y319" s="17">
        <f t="shared" si="179"/>
        <v>-0.8057645160382807</v>
      </c>
      <c r="Z319" s="31" t="str">
        <f t="shared" si="169"/>
        <v>0.958114858077964+6.34166316767577i</v>
      </c>
      <c r="AA319" s="17">
        <f t="shared" si="180"/>
        <v>6.4136320297882108</v>
      </c>
      <c r="AB319" s="17">
        <f t="shared" si="181"/>
        <v>1.4208477858658883</v>
      </c>
      <c r="AC319" s="66" t="str">
        <f t="shared" si="182"/>
        <v>-3.04991753604672+2.32745427875869i</v>
      </c>
      <c r="AD319" s="64">
        <f t="shared" si="183"/>
        <v>11.678794972206321</v>
      </c>
      <c r="AE319" s="61">
        <f t="shared" si="184"/>
        <v>142.65200872082841</v>
      </c>
      <c r="AF319" s="31" t="str">
        <f t="shared" si="170"/>
        <v>-1.39902068552014E-06</v>
      </c>
      <c r="AG319" s="31" t="str">
        <f t="shared" si="171"/>
        <v>0.00212612011988858i</v>
      </c>
      <c r="AH319" s="31">
        <f t="shared" si="185"/>
        <v>2.12612011988858E-3</v>
      </c>
      <c r="AI319" s="31">
        <f t="shared" si="186"/>
        <v>1.5707963267948966</v>
      </c>
      <c r="AJ319" s="31" t="str">
        <f t="shared" si="172"/>
        <v>1+0.153580987415837i</v>
      </c>
      <c r="AK319" s="31">
        <f t="shared" si="187"/>
        <v>1.0117248240977501</v>
      </c>
      <c r="AL319" s="31">
        <f t="shared" si="188"/>
        <v>0.15239028266308488</v>
      </c>
      <c r="AM319" s="31" t="str">
        <f t="shared" si="173"/>
        <v>1+74.6855307627486i</v>
      </c>
      <c r="AN319" s="31">
        <f t="shared" si="189"/>
        <v>74.692225199905963</v>
      </c>
      <c r="AO319" s="31">
        <f t="shared" si="190"/>
        <v>1.5574076524844405</v>
      </c>
      <c r="AP319" s="58" t="str">
        <f t="shared" si="191"/>
        <v>-0.0479130711045784+0.00801655259573443i</v>
      </c>
      <c r="AQ319" s="49">
        <f t="shared" si="192"/>
        <v>-26.271013392411508</v>
      </c>
      <c r="AR319" s="61">
        <f t="shared" si="193"/>
        <v>170.50156543333523</v>
      </c>
      <c r="AS319" s="58" t="str">
        <f t="shared" si="194"/>
        <v>0.127472756127871-0.135965306691192i</v>
      </c>
      <c r="AT319" s="64">
        <f t="shared" si="195"/>
        <v>-14.592218420205171</v>
      </c>
      <c r="AU319" s="61">
        <f t="shared" si="196"/>
        <v>-46.846425845836414</v>
      </c>
    </row>
    <row r="320" spans="14:47" x14ac:dyDescent="0.4">
      <c r="N320" s="10">
        <v>2</v>
      </c>
      <c r="O320" s="50">
        <f t="shared" ref="O320:O383" si="198">10^(4+(N320/100))</f>
        <v>10471.285480509003</v>
      </c>
      <c r="P320" s="48" t="str">
        <f t="shared" si="165"/>
        <v>5120.19230769231</v>
      </c>
      <c r="Q320" s="17" t="str">
        <f t="shared" si="166"/>
        <v>1+307.455876539526i</v>
      </c>
      <c r="R320" s="17">
        <f t="shared" si="174"/>
        <v>307.45750278483729</v>
      </c>
      <c r="S320" s="17">
        <f t="shared" si="175"/>
        <v>1.567543839039492</v>
      </c>
      <c r="T320" s="17" t="str">
        <f t="shared" si="167"/>
        <v>1+0.000657272340513388i</v>
      </c>
      <c r="U320" s="17">
        <f t="shared" si="176"/>
        <v>1.0000002160034414</v>
      </c>
      <c r="V320" s="17">
        <f t="shared" si="177"/>
        <v>6.5727224586467723E-4</v>
      </c>
      <c r="W320" s="31" t="str">
        <f t="shared" si="168"/>
        <v>1-1.06584703867036i</v>
      </c>
      <c r="X320" s="17">
        <f t="shared" si="178"/>
        <v>1.4615163050210476</v>
      </c>
      <c r="Y320" s="17">
        <f t="shared" si="179"/>
        <v>-0.81726148712119417</v>
      </c>
      <c r="Z320" s="31" t="str">
        <f t="shared" si="169"/>
        <v>0.956140872154272+6.48937947888759i</v>
      </c>
      <c r="AA320" s="17">
        <f t="shared" si="180"/>
        <v>6.5594398684957307</v>
      </c>
      <c r="AB320" s="17">
        <f t="shared" si="181"/>
        <v>1.4245095044254099</v>
      </c>
      <c r="AC320" s="66" t="str">
        <f t="shared" si="182"/>
        <v>-2.9151592698165+2.29565261527117i</v>
      </c>
      <c r="AD320" s="64">
        <f t="shared" si="183"/>
        <v>11.388763616201498</v>
      </c>
      <c r="AE320" s="61">
        <f t="shared" si="184"/>
        <v>141.77999629650367</v>
      </c>
      <c r="AF320" s="31" t="str">
        <f t="shared" si="170"/>
        <v>-1.39902068552014E-06</v>
      </c>
      <c r="AG320" s="31" t="str">
        <f t="shared" si="171"/>
        <v>0.0021756438194291i</v>
      </c>
      <c r="AH320" s="31">
        <f t="shared" si="185"/>
        <v>2.1756438194291002E-3</v>
      </c>
      <c r="AI320" s="31">
        <f t="shared" si="186"/>
        <v>1.5707963267948966</v>
      </c>
      <c r="AJ320" s="31" t="str">
        <f t="shared" si="172"/>
        <v>1+0.157158348170185i</v>
      </c>
      <c r="AK320" s="31">
        <f t="shared" si="187"/>
        <v>1.0122740470838818</v>
      </c>
      <c r="AL320" s="31">
        <f t="shared" si="188"/>
        <v>0.15588331907479644</v>
      </c>
      <c r="AM320" s="31" t="str">
        <f t="shared" si="173"/>
        <v>1+76.4251802542893i</v>
      </c>
      <c r="AN320" s="31">
        <f t="shared" si="189"/>
        <v>76.431722320647808</v>
      </c>
      <c r="AO320" s="31">
        <f t="shared" si="190"/>
        <v>1.5577123807340982</v>
      </c>
      <c r="AP320" s="58" t="str">
        <f t="shared" si="191"/>
        <v>-0.0478610934384637+0.00816480794293548i</v>
      </c>
      <c r="AQ320" s="49">
        <f t="shared" si="192"/>
        <v>-26.275762354710501</v>
      </c>
      <c r="AR320" s="61">
        <f t="shared" si="193"/>
        <v>170.31888883186244</v>
      </c>
      <c r="AS320" s="58" t="str">
        <f t="shared" si="194"/>
        <v>0.120779147493304-0.133674159882867i</v>
      </c>
      <c r="AT320" s="64">
        <f t="shared" si="195"/>
        <v>-14.886998738509007</v>
      </c>
      <c r="AU320" s="61">
        <f t="shared" si="196"/>
        <v>-47.90111487163405</v>
      </c>
    </row>
    <row r="321" spans="14:47" x14ac:dyDescent="0.4">
      <c r="N321" s="10">
        <v>3</v>
      </c>
      <c r="O321" s="50">
        <f t="shared" si="198"/>
        <v>10715.193052376071</v>
      </c>
      <c r="P321" s="48" t="str">
        <f t="shared" si="165"/>
        <v>5120.19230769231</v>
      </c>
      <c r="Q321" s="17" t="str">
        <f t="shared" si="166"/>
        <v>1+314.617443898434i</v>
      </c>
      <c r="R321" s="17">
        <f t="shared" si="174"/>
        <v>314.61903312607177</v>
      </c>
      <c r="S321" s="17">
        <f t="shared" si="175"/>
        <v>1.567617874195173</v>
      </c>
      <c r="T321" s="17" t="str">
        <f t="shared" si="167"/>
        <v>1+0.000672582180067319i</v>
      </c>
      <c r="U321" s="17">
        <f t="shared" si="176"/>
        <v>1.0000002261833689</v>
      </c>
      <c r="V321" s="17">
        <f t="shared" si="177"/>
        <v>6.7258207864939951E-4</v>
      </c>
      <c r="W321" s="31" t="str">
        <f t="shared" si="168"/>
        <v>1-1.09067380551457i</v>
      </c>
      <c r="X321" s="17">
        <f t="shared" si="178"/>
        <v>1.4797193484021331</v>
      </c>
      <c r="Y321" s="17">
        <f t="shared" si="179"/>
        <v>-0.82874161399798829</v>
      </c>
      <c r="Z321" s="31" t="str">
        <f t="shared" si="169"/>
        <v>0.954073855140125+6.6405365449962i</v>
      </c>
      <c r="AA321" s="17">
        <f t="shared" si="180"/>
        <v>6.7087243591082206</v>
      </c>
      <c r="AB321" s="17">
        <f t="shared" si="181"/>
        <v>1.4280986362186949</v>
      </c>
      <c r="AC321" s="66" t="str">
        <f t="shared" si="182"/>
        <v>-2.78618488973641+2.26320326240801i</v>
      </c>
      <c r="AD321" s="64">
        <f t="shared" si="183"/>
        <v>11.100815662333513</v>
      </c>
      <c r="AE321" s="61">
        <f t="shared" si="184"/>
        <v>140.91322666116471</v>
      </c>
      <c r="AF321" s="31" t="str">
        <f t="shared" si="170"/>
        <v>-1.39902068552014E-06</v>
      </c>
      <c r="AG321" s="31" t="str">
        <f t="shared" si="171"/>
        <v>0.00222632107412073i</v>
      </c>
      <c r="AH321" s="31">
        <f t="shared" si="185"/>
        <v>2.2263210741207298E-3</v>
      </c>
      <c r="AI321" s="31">
        <f t="shared" si="186"/>
        <v>1.5707963267948966</v>
      </c>
      <c r="AJ321" s="31" t="str">
        <f t="shared" si="172"/>
        <v>1+0.160819036360969i</v>
      </c>
      <c r="AK321" s="31">
        <f t="shared" si="187"/>
        <v>1.0128488349482714</v>
      </c>
      <c r="AL321" s="31">
        <f t="shared" si="188"/>
        <v>0.15945375238540591</v>
      </c>
      <c r="AM321" s="31" t="str">
        <f t="shared" si="173"/>
        <v>1+78.2053513880077i</v>
      </c>
      <c r="AN321" s="31">
        <f t="shared" si="189"/>
        <v>78.211744551069557</v>
      </c>
      <c r="AO321" s="31">
        <f t="shared" si="190"/>
        <v>1.5580101748701018</v>
      </c>
      <c r="AP321" s="58" t="str">
        <f t="shared" si="191"/>
        <v>-0.0478067868749716+0.00831664163145844i</v>
      </c>
      <c r="AQ321" s="49">
        <f t="shared" si="192"/>
        <v>-26.280726423006236</v>
      </c>
      <c r="AR321" s="61">
        <f t="shared" si="193"/>
        <v>170.13138041928835</v>
      </c>
      <c r="AS321" s="58" t="str">
        <f t="shared" si="194"/>
        <v>0.1143762967453-0.131368177267602i</v>
      </c>
      <c r="AT321" s="64">
        <f t="shared" si="195"/>
        <v>-15.179910760672733</v>
      </c>
      <c r="AU321" s="61">
        <f t="shared" si="196"/>
        <v>-48.955392919546789</v>
      </c>
    </row>
    <row r="322" spans="14:47" x14ac:dyDescent="0.4">
      <c r="N322" s="10">
        <v>4</v>
      </c>
      <c r="O322" s="50">
        <f t="shared" si="198"/>
        <v>10964.781961431856</v>
      </c>
      <c r="P322" s="48" t="str">
        <f t="shared" si="165"/>
        <v>5120.19230769231</v>
      </c>
      <c r="Q322" s="17" t="str">
        <f t="shared" si="166"/>
        <v>1+321.945825590551i</v>
      </c>
      <c r="R322" s="17">
        <f t="shared" si="174"/>
        <v>321.94737864312776</v>
      </c>
      <c r="S322" s="17">
        <f t="shared" si="175"/>
        <v>1.5676902241386323</v>
      </c>
      <c r="T322" s="17" t="str">
        <f t="shared" si="167"/>
        <v>1+0.0006882486315958i</v>
      </c>
      <c r="U322" s="17">
        <f t="shared" si="176"/>
        <v>1.0000002368430614</v>
      </c>
      <c r="V322" s="17">
        <f t="shared" si="177"/>
        <v>6.8824852292454278E-4</v>
      </c>
      <c r="W322" s="31" t="str">
        <f t="shared" si="168"/>
        <v>1-1.11607886204724i</v>
      </c>
      <c r="X322" s="17">
        <f t="shared" si="178"/>
        <v>1.498543301445995</v>
      </c>
      <c r="Y322" s="17">
        <f t="shared" si="179"/>
        <v>-0.84019888057597003</v>
      </c>
      <c r="Z322" s="31" t="str">
        <f t="shared" si="169"/>
        <v>0.951909422615303+6.79521451147886i</v>
      </c>
      <c r="AA322" s="17">
        <f t="shared" si="180"/>
        <v>6.861564821954004</v>
      </c>
      <c r="AB322" s="17">
        <f t="shared" si="181"/>
        <v>1.4316167607871249</v>
      </c>
      <c r="AC322" s="66" t="str">
        <f t="shared" si="182"/>
        <v>-2.66275801693395+2.23020800828465i</v>
      </c>
      <c r="AD322" s="64">
        <f t="shared" si="183"/>
        <v>10.814952170337371</v>
      </c>
      <c r="AE322" s="61">
        <f t="shared" si="184"/>
        <v>140.05195222664639</v>
      </c>
      <c r="AF322" s="31" t="str">
        <f t="shared" si="170"/>
        <v>-1.39902068552014E-06</v>
      </c>
      <c r="AG322" s="31" t="str">
        <f t="shared" si="171"/>
        <v>0.0022781787537147i</v>
      </c>
      <c r="AH322" s="31">
        <f t="shared" si="185"/>
        <v>2.2781787537147001E-3</v>
      </c>
      <c r="AI322" s="31">
        <f t="shared" si="186"/>
        <v>1.5707963267948966</v>
      </c>
      <c r="AJ322" s="31" t="str">
        <f t="shared" si="172"/>
        <v>1+0.164564992933524i</v>
      </c>
      <c r="AK322" s="31">
        <f t="shared" si="187"/>
        <v>1.0134503623262516</v>
      </c>
      <c r="AL322" s="31">
        <f t="shared" si="188"/>
        <v>0.16310311137305386</v>
      </c>
      <c r="AM322" s="31" t="str">
        <f t="shared" si="173"/>
        <v>1+80.0269880342023i</v>
      </c>
      <c r="AN322" s="31">
        <f t="shared" si="189"/>
        <v>80.033235682598516</v>
      </c>
      <c r="AO322" s="31">
        <f t="shared" si="190"/>
        <v>1.558301192575452</v>
      </c>
      <c r="AP322" s="58" t="str">
        <f t="shared" si="191"/>
        <v>-0.0477500528543865+0.00847208320957476i</v>
      </c>
      <c r="AQ322" s="49">
        <f t="shared" si="192"/>
        <v>-26.285915365311748</v>
      </c>
      <c r="AR322" s="61">
        <f t="shared" si="193"/>
        <v>169.93896163764811</v>
      </c>
      <c r="AS322" s="58" t="str">
        <f t="shared" si="194"/>
        <v>0.10825232822619-0.129051657758295i</v>
      </c>
      <c r="AT322" s="64">
        <f t="shared" si="195"/>
        <v>-15.470963194974365</v>
      </c>
      <c r="AU322" s="61">
        <f t="shared" si="196"/>
        <v>-50.00908613570553</v>
      </c>
    </row>
    <row r="323" spans="14:47" x14ac:dyDescent="0.4">
      <c r="N323" s="10">
        <v>5</v>
      </c>
      <c r="O323" s="50">
        <f t="shared" si="198"/>
        <v>11220.184543019639</v>
      </c>
      <c r="P323" s="48" t="str">
        <f t="shared" si="165"/>
        <v>5120.19230769231</v>
      </c>
      <c r="Q323" s="17" t="str">
        <f t="shared" si="166"/>
        <v>1+329.444907220852i</v>
      </c>
      <c r="R323" s="17">
        <f t="shared" si="174"/>
        <v>329.44642492180088</v>
      </c>
      <c r="S323" s="17">
        <f t="shared" si="175"/>
        <v>1.5677609272277366</v>
      </c>
      <c r="T323" s="17" t="str">
        <f t="shared" si="167"/>
        <v>1+0.0007042800016588i</v>
      </c>
      <c r="U323" s="17">
        <f t="shared" si="176"/>
        <v>1.0000002480051295</v>
      </c>
      <c r="V323" s="17">
        <f t="shared" si="177"/>
        <v>7.0427988521545143E-4</v>
      </c>
      <c r="W323" s="31" t="str">
        <f t="shared" si="168"/>
        <v>1-1.14207567836562i</v>
      </c>
      <c r="X323" s="17">
        <f t="shared" si="178"/>
        <v>1.5180042342214635</v>
      </c>
      <c r="Y323" s="17">
        <f t="shared" si="179"/>
        <v>-0.85162733076811814</v>
      </c>
      <c r="Z323" s="31" t="str">
        <f t="shared" si="169"/>
        <v>0.949642983528233+6.95349539064081i</v>
      </c>
      <c r="AA323" s="17">
        <f t="shared" si="180"/>
        <v>7.0180424581094831</v>
      </c>
      <c r="AB323" s="17">
        <f t="shared" si="181"/>
        <v>1.4350654406795769</v>
      </c>
      <c r="AC323" s="66" t="str">
        <f t="shared" si="182"/>
        <v>-2.54465090626352+2.1967609850896i</v>
      </c>
      <c r="AD323" s="64">
        <f t="shared" si="183"/>
        <v>10.531171462506222</v>
      </c>
      <c r="AE323" s="61">
        <f t="shared" si="184"/>
        <v>139.19642300232655</v>
      </c>
      <c r="AF323" s="31" t="str">
        <f t="shared" si="170"/>
        <v>-1.39902068552014E-06</v>
      </c>
      <c r="AG323" s="31" t="str">
        <f t="shared" si="171"/>
        <v>0.00233124435383916i</v>
      </c>
      <c r="AH323" s="31">
        <f t="shared" si="185"/>
        <v>2.3312443538391599E-3</v>
      </c>
      <c r="AI323" s="31">
        <f t="shared" si="186"/>
        <v>1.5707963267948966</v>
      </c>
      <c r="AJ323" s="31" t="str">
        <f t="shared" si="172"/>
        <v>1+0.168398204043606i</v>
      </c>
      <c r="AK323" s="31">
        <f t="shared" si="187"/>
        <v>1.0140798563846498</v>
      </c>
      <c r="AL323" s="31">
        <f t="shared" si="188"/>
        <v>0.16683294196663914</v>
      </c>
      <c r="AM323" s="31" t="str">
        <f t="shared" si="173"/>
        <v>1+81.8910560487349i</v>
      </c>
      <c r="AN323" s="31">
        <f t="shared" si="189"/>
        <v>81.897161494016643</v>
      </c>
      <c r="AO323" s="31">
        <f t="shared" si="190"/>
        <v>1.5585855879543018</v>
      </c>
      <c r="AP323" s="58" t="str">
        <f t="shared" si="191"/>
        <v>-0.0476907891880316+0.00863116081389015i</v>
      </c>
      <c r="AQ323" s="49">
        <f t="shared" si="192"/>
        <v>-26.291339355750765</v>
      </c>
      <c r="AR323" s="61">
        <f t="shared" si="193"/>
        <v>169.741552741258</v>
      </c>
      <c r="AS323" s="58" t="str">
        <f t="shared" si="194"/>
        <v>0.102395812595759-0.126728556223572i</v>
      </c>
      <c r="AT323" s="64">
        <f t="shared" si="195"/>
        <v>-15.760167893244567</v>
      </c>
      <c r="AU323" s="61">
        <f t="shared" si="196"/>
        <v>-51.062024256415299</v>
      </c>
    </row>
    <row r="324" spans="14:47" x14ac:dyDescent="0.4">
      <c r="N324" s="10">
        <v>6</v>
      </c>
      <c r="O324" s="50">
        <f t="shared" si="198"/>
        <v>11481.536214968832</v>
      </c>
      <c r="P324" s="48" t="str">
        <f t="shared" si="165"/>
        <v>5120.19230769231</v>
      </c>
      <c r="Q324" s="17" t="str">
        <f t="shared" si="166"/>
        <v>1+337.118664901681i</v>
      </c>
      <c r="R324" s="17">
        <f t="shared" si="174"/>
        <v>337.12014805569225</v>
      </c>
      <c r="S324" s="17">
        <f t="shared" si="175"/>
        <v>1.5678300209473701</v>
      </c>
      <c r="T324" s="17" t="str">
        <f t="shared" si="167"/>
        <v>1+0.000720684790300928i</v>
      </c>
      <c r="U324" s="17">
        <f t="shared" si="176"/>
        <v>1.0000002596932498</v>
      </c>
      <c r="V324" s="17">
        <f t="shared" si="177"/>
        <v>7.2068466552963387E-4</v>
      </c>
      <c r="W324" s="31" t="str">
        <f t="shared" si="168"/>
        <v>1-1.16867803832583i</v>
      </c>
      <c r="X324" s="17">
        <f t="shared" si="178"/>
        <v>1.5381184470856299</v>
      </c>
      <c r="Y324" s="17">
        <f t="shared" si="179"/>
        <v>-0.86302108371839126</v>
      </c>
      <c r="Z324" s="31" t="str">
        <f t="shared" si="169"/>
        <v>0.947269730457744+7.11546310509926i</v>
      </c>
      <c r="AA324" s="17">
        <f t="shared" si="180"/>
        <v>7.1782403931792569</v>
      </c>
      <c r="AB324" s="17">
        <f t="shared" si="181"/>
        <v>1.4384462209995725</v>
      </c>
      <c r="AC324" s="66" t="str">
        <f t="shared" si="182"/>
        <v>-2.43164422155708+2.16294915095759i</v>
      </c>
      <c r="AD324" s="64">
        <f t="shared" si="183"/>
        <v>10.249469180221569</v>
      </c>
      <c r="AE324" s="61">
        <f t="shared" si="184"/>
        <v>138.34688574781467</v>
      </c>
      <c r="AF324" s="31" t="str">
        <f t="shared" si="170"/>
        <v>-1.39902068552014E-06</v>
      </c>
      <c r="AG324" s="31" t="str">
        <f t="shared" si="171"/>
        <v>0.00238554601057768i</v>
      </c>
      <c r="AH324" s="31">
        <f t="shared" si="185"/>
        <v>2.3855460105776799E-3</v>
      </c>
      <c r="AI324" s="31">
        <f t="shared" si="186"/>
        <v>1.5707963267948966</v>
      </c>
      <c r="AJ324" s="31" t="str">
        <f t="shared" si="172"/>
        <v>1+0.172320702110487i</v>
      </c>
      <c r="AK324" s="31">
        <f t="shared" si="187"/>
        <v>1.0147385990371369</v>
      </c>
      <c r="AL324" s="31">
        <f t="shared" si="188"/>
        <v>0.17064480645776361</v>
      </c>
      <c r="AM324" s="31" t="str">
        <f t="shared" si="173"/>
        <v>1+83.7985437851409i</v>
      </c>
      <c r="AN324" s="31">
        <f t="shared" si="189"/>
        <v>83.804510263530418</v>
      </c>
      <c r="AO324" s="31">
        <f t="shared" si="190"/>
        <v>1.558863511612723</v>
      </c>
      <c r="AP324" s="58" t="str">
        <f t="shared" si="191"/>
        <v>-0.0476288899762031+0.00879390098310859i</v>
      </c>
      <c r="AQ324" s="49">
        <f t="shared" si="192"/>
        <v>-26.297008989668367</v>
      </c>
      <c r="AR324" s="61">
        <f t="shared" si="193"/>
        <v>169.5390728464952</v>
      </c>
      <c r="AS324" s="58" t="str">
        <f t="shared" si="194"/>
        <v>0.0967957544247924-0.124402505645602i</v>
      </c>
      <c r="AT324" s="64">
        <f t="shared" si="195"/>
        <v>-16.0475398094468</v>
      </c>
      <c r="AU324" s="61">
        <f t="shared" si="196"/>
        <v>-52.114041405690074</v>
      </c>
    </row>
    <row r="325" spans="14:47" x14ac:dyDescent="0.4">
      <c r="N325" s="10">
        <v>7</v>
      </c>
      <c r="O325" s="50">
        <f t="shared" si="198"/>
        <v>11748.975549395318</v>
      </c>
      <c r="P325" s="48" t="str">
        <f t="shared" si="165"/>
        <v>5120.19230769231</v>
      </c>
      <c r="Q325" s="17" t="str">
        <f t="shared" si="166"/>
        <v>1+344.971167360935i</v>
      </c>
      <c r="R325" s="17">
        <f t="shared" si="174"/>
        <v>344.97261675438273</v>
      </c>
      <c r="S325" s="17">
        <f t="shared" si="175"/>
        <v>1.5678975419292978</v>
      </c>
      <c r="T325" s="17" t="str">
        <f t="shared" si="167"/>
        <v>1+0.000737471695558266i</v>
      </c>
      <c r="U325" s="17">
        <f t="shared" si="176"/>
        <v>1.0000002719322139</v>
      </c>
      <c r="V325" s="17">
        <f t="shared" si="177"/>
        <v>7.3747156186341751E-4</v>
      </c>
      <c r="W325" s="31" t="str">
        <f t="shared" si="168"/>
        <v>1-1.19590004685124i</v>
      </c>
      <c r="X325" s="17">
        <f t="shared" si="178"/>
        <v>1.5589024735559303</v>
      </c>
      <c r="Y325" s="17">
        <f t="shared" si="179"/>
        <v>-0.8743743485515072</v>
      </c>
      <c r="Z325" s="31" t="str">
        <f t="shared" si="169"/>
        <v>0.944784629415884+7.28120353228034i</v>
      </c>
      <c r="AA325" s="17">
        <f t="shared" si="180"/>
        <v>7.3422437220833396</v>
      </c>
      <c r="AB325" s="17">
        <f t="shared" si="181"/>
        <v>1.4417606290185345</v>
      </c>
      <c r="AC325" s="66" t="str">
        <f t="shared" si="182"/>
        <v>-2.32352680812235+2.12885274528543i</v>
      </c>
      <c r="AD325" s="64">
        <f t="shared" si="183"/>
        <v>9.9698383494177936</v>
      </c>
      <c r="AE325" s="61">
        <f t="shared" si="184"/>
        <v>137.50358314913001</v>
      </c>
      <c r="AF325" s="31" t="str">
        <f t="shared" si="170"/>
        <v>-1.39902068552014E-06</v>
      </c>
      <c r="AG325" s="31" t="str">
        <f t="shared" si="171"/>
        <v>0.00244111251538746i</v>
      </c>
      <c r="AH325" s="31">
        <f t="shared" si="185"/>
        <v>2.4411125153874602E-3</v>
      </c>
      <c r="AI325" s="31">
        <f t="shared" si="186"/>
        <v>1.5707963267948966</v>
      </c>
      <c r="AJ325" s="31" t="str">
        <f t="shared" si="172"/>
        <v>1+0.176334566894561i</v>
      </c>
      <c r="AK325" s="31">
        <f t="shared" si="187"/>
        <v>1.0154279292406194</v>
      </c>
      <c r="AL325" s="31">
        <f t="shared" si="188"/>
        <v>0.17454028262448312</v>
      </c>
      <c r="AM325" s="31" t="str">
        <f t="shared" si="173"/>
        <v>1+85.7504626186668i</v>
      </c>
      <c r="AN325" s="31">
        <f t="shared" si="189"/>
        <v>85.756293292768731</v>
      </c>
      <c r="AO325" s="31">
        <f t="shared" si="190"/>
        <v>1.5591351107376814</v>
      </c>
      <c r="AP325" s="58" t="str">
        <f t="shared" si="191"/>
        <v>-0.0475642455295637+0.00896032846063266i</v>
      </c>
      <c r="AQ325" s="49">
        <f t="shared" si="192"/>
        <v>-26.302935299063609</v>
      </c>
      <c r="AR325" s="61">
        <f t="shared" si="193"/>
        <v>169.33143998652793</v>
      </c>
      <c r="AS325" s="58" t="str">
        <f t="shared" si="194"/>
        <v>0.0914415797539779-0.122076838060904i</v>
      </c>
      <c r="AT325" s="64">
        <f t="shared" si="195"/>
        <v>-16.333096949645796</v>
      </c>
      <c r="AU325" s="61">
        <f t="shared" si="196"/>
        <v>-53.164976864342144</v>
      </c>
    </row>
    <row r="326" spans="14:47" x14ac:dyDescent="0.4">
      <c r="N326" s="10">
        <v>8</v>
      </c>
      <c r="O326" s="50">
        <f t="shared" si="198"/>
        <v>12022.644346174151</v>
      </c>
      <c r="P326" s="48" t="str">
        <f t="shared" si="165"/>
        <v>5120.19230769231</v>
      </c>
      <c r="Q326" s="17" t="str">
        <f t="shared" si="166"/>
        <v>1+353.006578099356i</v>
      </c>
      <c r="R326" s="17">
        <f t="shared" si="174"/>
        <v>353.00799450071486</v>
      </c>
      <c r="S326" s="17">
        <f t="shared" si="175"/>
        <v>1.5679635259715734</v>
      </c>
      <c r="T326" s="17" t="str">
        <f t="shared" si="167"/>
        <v>1+0.000754649618070179i</v>
      </c>
      <c r="U326" s="17">
        <f t="shared" si="176"/>
        <v>1.0000002847479825</v>
      </c>
      <c r="V326" s="17">
        <f t="shared" si="177"/>
        <v>7.5464947481357011E-4</v>
      </c>
      <c r="W326" s="31" t="str">
        <f t="shared" si="168"/>
        <v>1-1.2237561374111i</v>
      </c>
      <c r="X326" s="17">
        <f t="shared" si="178"/>
        <v>1.5803730837531165</v>
      </c>
      <c r="Y326" s="17">
        <f t="shared" si="179"/>
        <v>-0.8856814385595404</v>
      </c>
      <c r="Z326" s="31" t="str">
        <f t="shared" si="169"/>
        <v>0.942182409170163+7.45080454995234i</v>
      </c>
      <c r="AA326" s="17">
        <f t="shared" si="180"/>
        <v>7.5101395548778038</v>
      </c>
      <c r="AB326" s="17">
        <f t="shared" si="181"/>
        <v>1.4450101738509449</v>
      </c>
      <c r="AC326" s="66" t="str">
        <f t="shared" si="182"/>
        <v>-2.22009546355792+2.09454571864903i</v>
      </c>
      <c r="AD326" s="64">
        <f t="shared" si="183"/>
        <v>9.692269454523867</v>
      </c>
      <c r="AE326" s="61">
        <f t="shared" si="184"/>
        <v>136.66675302363473</v>
      </c>
      <c r="AF326" s="31" t="str">
        <f t="shared" si="170"/>
        <v>-1.39902068552014E-06</v>
      </c>
      <c r="AG326" s="31" t="str">
        <f t="shared" si="171"/>
        <v>0.00249797333036483i</v>
      </c>
      <c r="AH326" s="31">
        <f t="shared" si="185"/>
        <v>2.4979733303648298E-3</v>
      </c>
      <c r="AI326" s="31">
        <f t="shared" si="186"/>
        <v>1.5707963267948966</v>
      </c>
      <c r="AJ326" s="31" t="str">
        <f t="shared" si="172"/>
        <v>1+0.180441926600066i</v>
      </c>
      <c r="AK326" s="31">
        <f t="shared" si="187"/>
        <v>1.0161492453744891</v>
      </c>
      <c r="AL326" s="31">
        <f t="shared" si="188"/>
        <v>0.17852096276151691</v>
      </c>
      <c r="AM326" s="31" t="str">
        <f t="shared" si="173"/>
        <v>1+87.7478474825144i</v>
      </c>
      <c r="AN326" s="31">
        <f t="shared" si="189"/>
        <v>87.753545442988283</v>
      </c>
      <c r="AO326" s="31">
        <f t="shared" si="190"/>
        <v>1.5594005291742576</v>
      </c>
      <c r="AP326" s="58" t="str">
        <f t="shared" si="191"/>
        <v>-0.0474967422947056+0.00913046598559339i</v>
      </c>
      <c r="AQ326" s="49">
        <f t="shared" si="192"/>
        <v>-26.309129768327523</v>
      </c>
      <c r="AR326" s="61">
        <f t="shared" si="193"/>
        <v>169.11857117130515</v>
      </c>
      <c r="AS326" s="58" t="str">
        <f t="shared" si="194"/>
        <v>0.0863231236628603-0.119754604337938i</v>
      </c>
      <c r="AT326" s="64">
        <f t="shared" si="195"/>
        <v>-16.616860313803645</v>
      </c>
      <c r="AU326" s="61">
        <f t="shared" si="196"/>
        <v>-54.214675805060189</v>
      </c>
    </row>
    <row r="327" spans="14:47" x14ac:dyDescent="0.4">
      <c r="N327" s="10">
        <v>9</v>
      </c>
      <c r="O327" s="50">
        <f t="shared" si="198"/>
        <v>12302.687708123816</v>
      </c>
      <c r="P327" s="48" t="str">
        <f t="shared" si="165"/>
        <v>5120.19230769231</v>
      </c>
      <c r="Q327" s="17" t="str">
        <f t="shared" si="166"/>
        <v>1+361.229157598079i</v>
      </c>
      <c r="R327" s="17">
        <f t="shared" si="174"/>
        <v>361.23054175833164</v>
      </c>
      <c r="S327" s="17">
        <f t="shared" si="175"/>
        <v>1.56802800805751</v>
      </c>
      <c r="T327" s="17" t="str">
        <f t="shared" si="167"/>
        <v>1+0.000772227665798561i</v>
      </c>
      <c r="U327" s="17">
        <f t="shared" si="176"/>
        <v>1.0000002981677394</v>
      </c>
      <c r="V327" s="17">
        <f t="shared" si="177"/>
        <v>7.7222751229634142E-4</v>
      </c>
      <c r="W327" s="31" t="str">
        <f t="shared" si="168"/>
        <v>1-1.25226107967334i</v>
      </c>
      <c r="X327" s="17">
        <f t="shared" si="178"/>
        <v>1.6025472884332115</v>
      </c>
      <c r="Y327" s="17">
        <f t="shared" si="179"/>
        <v>-0.89693678474414495</v>
      </c>
      <c r="Z327" s="31" t="str">
        <f t="shared" si="169"/>
        <v>0.939457550062551+7.62435608281978i</v>
      </c>
      <c r="AA327" s="17">
        <f t="shared" si="180"/>
        <v>7.6820170636363798</v>
      </c>
      <c r="AB327" s="17">
        <f t="shared" si="181"/>
        <v>1.4481963461874094</v>
      </c>
      <c r="AC327" s="66" t="str">
        <f t="shared" si="182"/>
        <v>-2.12115470784437+2.06009613846192i</v>
      </c>
      <c r="AD327" s="64">
        <f t="shared" si="183"/>
        <v>9.4167505203526183</v>
      </c>
      <c r="AE327" s="61">
        <f t="shared" si="184"/>
        <v>135.83662755859902</v>
      </c>
      <c r="AF327" s="31" t="str">
        <f t="shared" si="170"/>
        <v>-1.39902068552014E-06</v>
      </c>
      <c r="AG327" s="31" t="str">
        <f t="shared" si="171"/>
        <v>0.00255615860386654i</v>
      </c>
      <c r="AH327" s="31">
        <f t="shared" si="185"/>
        <v>2.5561586038665399E-3</v>
      </c>
      <c r="AI327" s="31">
        <f t="shared" si="186"/>
        <v>1.5707963267948966</v>
      </c>
      <c r="AJ327" s="31" t="str">
        <f t="shared" si="172"/>
        <v>1+0.184644959003486i</v>
      </c>
      <c r="AK327" s="31">
        <f t="shared" si="187"/>
        <v>1.0169040077044633</v>
      </c>
      <c r="AL327" s="31">
        <f t="shared" si="188"/>
        <v>0.18258845261132814</v>
      </c>
      <c r="AM327" s="31" t="str">
        <f t="shared" si="173"/>
        <v>1+89.7917574165774i</v>
      </c>
      <c r="AN327" s="31">
        <f t="shared" si="189"/>
        <v>89.797325683772357</v>
      </c>
      <c r="AO327" s="31">
        <f t="shared" si="190"/>
        <v>1.559659907501151</v>
      </c>
      <c r="AP327" s="58" t="str">
        <f t="shared" si="191"/>
        <v>-0.0474262627846396+0.00930433407191171i</v>
      </c>
      <c r="AQ327" s="49">
        <f t="shared" si="192"/>
        <v>-26.315604350269798</v>
      </c>
      <c r="AR327" s="61">
        <f t="shared" si="193"/>
        <v>168.90038245312678</v>
      </c>
      <c r="AS327" s="58" t="str">
        <f t="shared" si="194"/>
        <v>0.0814306178885975-0.117438592844309i</v>
      </c>
      <c r="AT327" s="64">
        <f t="shared" si="195"/>
        <v>-16.898853829917158</v>
      </c>
      <c r="AU327" s="61">
        <f t="shared" si="196"/>
        <v>-55.262989988274313</v>
      </c>
    </row>
    <row r="328" spans="14:47" x14ac:dyDescent="0.4">
      <c r="N328" s="10">
        <v>10</v>
      </c>
      <c r="O328" s="50">
        <f t="shared" si="198"/>
        <v>12589.254117941671</v>
      </c>
      <c r="P328" s="48" t="str">
        <f t="shared" si="165"/>
        <v>5120.19230769231</v>
      </c>
      <c r="Q328" s="17" t="str">
        <f t="shared" si="166"/>
        <v>1+369.643265577594i</v>
      </c>
      <c r="R328" s="17">
        <f t="shared" si="174"/>
        <v>369.64461823062931</v>
      </c>
      <c r="S328" s="17">
        <f t="shared" si="175"/>
        <v>1.568091022374217</v>
      </c>
      <c r="T328" s="17" t="str">
        <f t="shared" si="167"/>
        <v>1+0.000790215158856991i</v>
      </c>
      <c r="U328" s="17">
        <f t="shared" si="176"/>
        <v>1.0000003122199499</v>
      </c>
      <c r="V328" s="17">
        <f t="shared" si="177"/>
        <v>7.9021499437640199E-4</v>
      </c>
      <c r="W328" s="31" t="str">
        <f t="shared" si="168"/>
        <v>1-1.28142998733566i</v>
      </c>
      <c r="X328" s="17">
        <f t="shared" si="178"/>
        <v>1.6254423436231349</v>
      </c>
      <c r="Y328" s="17">
        <f t="shared" si="179"/>
        <v>-0.90813494864055333</v>
      </c>
      <c r="Z328" s="31" t="str">
        <f t="shared" si="169"/>
        <v>0.936604272301555+7.80195015020262i</v>
      </c>
      <c r="AA328" s="17">
        <f t="shared" si="180"/>
        <v>7.857967530420332</v>
      </c>
      <c r="AB328" s="17">
        <f t="shared" si="181"/>
        <v>1.4513206180818048</v>
      </c>
      <c r="AC328" s="66" t="str">
        <f t="shared" si="182"/>
        <v>-2.02651655357047+2.02556657149479i</v>
      </c>
      <c r="AD328" s="64">
        <f t="shared" si="183"/>
        <v>9.1432672013508522</v>
      </c>
      <c r="AE328" s="61">
        <f t="shared" si="184"/>
        <v>135.01343258784985</v>
      </c>
      <c r="AF328" s="31" t="str">
        <f t="shared" si="170"/>
        <v>-1.39902068552014E-06</v>
      </c>
      <c r="AG328" s="31" t="str">
        <f t="shared" si="171"/>
        <v>0.00261569918649479i</v>
      </c>
      <c r="AH328" s="31">
        <f t="shared" si="185"/>
        <v>2.6156991864947901E-3</v>
      </c>
      <c r="AI328" s="31">
        <f t="shared" si="186"/>
        <v>1.5707963267948966</v>
      </c>
      <c r="AJ328" s="31" t="str">
        <f t="shared" si="172"/>
        <v>1+0.188945892608234i</v>
      </c>
      <c r="AK328" s="31">
        <f t="shared" si="187"/>
        <v>1.017693740932665</v>
      </c>
      <c r="AL328" s="31">
        <f t="shared" si="188"/>
        <v>0.18674437019032894</v>
      </c>
      <c r="AM328" s="31" t="str">
        <f t="shared" si="173"/>
        <v>1+91.883276128957i</v>
      </c>
      <c r="AN328" s="31">
        <f t="shared" si="189"/>
        <v>91.888717654509463</v>
      </c>
      <c r="AO328" s="31">
        <f t="shared" si="190"/>
        <v>1.5599133831045013</v>
      </c>
      <c r="AP328" s="58" t="str">
        <f t="shared" si="191"/>
        <v>-0.0473526855150496+0.00948195077501612i</v>
      </c>
      <c r="AQ328" s="49">
        <f t="shared" si="192"/>
        <v>-26.322371482411306</v>
      </c>
      <c r="AR328" s="61">
        <f t="shared" si="193"/>
        <v>168.67678899812731</v>
      </c>
      <c r="AS328" s="58" t="str">
        <f t="shared" si="194"/>
        <v>0.0767546785298329-0.115131347055501i</v>
      </c>
      <c r="AT328" s="64">
        <f t="shared" si="195"/>
        <v>-17.179104281060425</v>
      </c>
      <c r="AU328" s="61">
        <f t="shared" si="196"/>
        <v>-56.309778414022944</v>
      </c>
    </row>
    <row r="329" spans="14:47" x14ac:dyDescent="0.4">
      <c r="N329" s="10">
        <v>11</v>
      </c>
      <c r="O329" s="50">
        <f t="shared" si="198"/>
        <v>12882.49551693136</v>
      </c>
      <c r="P329" s="48" t="str">
        <f t="shared" si="165"/>
        <v>5120.19230769231</v>
      </c>
      <c r="Q329" s="17" t="str">
        <f t="shared" si="166"/>
        <v>1+378.253363309327i</v>
      </c>
      <c r="R329" s="17">
        <f t="shared" si="174"/>
        <v>378.254685172329</v>
      </c>
      <c r="S329" s="17">
        <f t="shared" si="175"/>
        <v>1.5681526023307166</v>
      </c>
      <c r="T329" s="17" t="str">
        <f t="shared" si="167"/>
        <v>1+0.000808621634452383i</v>
      </c>
      <c r="U329" s="17">
        <f t="shared" si="176"/>
        <v>1.0000003269344204</v>
      </c>
      <c r="V329" s="17">
        <f t="shared" si="177"/>
        <v>8.0862145820825978E-4</v>
      </c>
      <c r="W329" s="31" t="str">
        <f t="shared" si="168"/>
        <v>1-1.311278326139i</v>
      </c>
      <c r="X329" s="17">
        <f t="shared" si="178"/>
        <v>1.6490757558711178</v>
      </c>
      <c r="Y329" s="17">
        <f t="shared" si="179"/>
        <v>-0.91927063435744638</v>
      </c>
      <c r="Z329" s="31" t="str">
        <f t="shared" si="169"/>
        <v>0.933616523702497+7.98368091482613i</v>
      </c>
      <c r="AA329" s="17">
        <f t="shared" si="180"/>
        <v>8.0380843963651767</v>
      </c>
      <c r="AB329" s="17">
        <f t="shared" si="181"/>
        <v>1.4543844427888937</v>
      </c>
      <c r="AC329" s="66" t="str">
        <f t="shared" si="182"/>
        <v>-1.93600027705848+1.99101444434937i</v>
      </c>
      <c r="AD329" s="64">
        <f t="shared" si="183"/>
        <v>8.8718028775661821</v>
      </c>
      <c r="AE329" s="61">
        <f t="shared" si="184"/>
        <v>134.1973869104869</v>
      </c>
      <c r="AF329" s="31" t="str">
        <f t="shared" si="170"/>
        <v>-1.39902068552014E-06</v>
      </c>
      <c r="AG329" s="31" t="str">
        <f t="shared" si="171"/>
        <v>0.00267662664745459i</v>
      </c>
      <c r="AH329" s="31">
        <f t="shared" si="185"/>
        <v>2.67662664745459E-3</v>
      </c>
      <c r="AI329" s="31">
        <f t="shared" si="186"/>
        <v>1.5707963267948966</v>
      </c>
      <c r="AJ329" s="31" t="str">
        <f t="shared" si="172"/>
        <v>1+0.193347007826238i</v>
      </c>
      <c r="AK329" s="31">
        <f t="shared" si="187"/>
        <v>1.0185200368354859</v>
      </c>
      <c r="AL329" s="31">
        <f t="shared" si="188"/>
        <v>0.19099034450430119</v>
      </c>
      <c r="AM329" s="31" t="str">
        <f t="shared" si="173"/>
        <v>1+94.0235125705593i</v>
      </c>
      <c r="AN329" s="31">
        <f t="shared" si="189"/>
        <v>94.028830238954484</v>
      </c>
      <c r="AO329" s="31">
        <f t="shared" si="190"/>
        <v>1.560161090250068</v>
      </c>
      <c r="AP329" s="58" t="str">
        <f t="shared" si="191"/>
        <v>-0.047275884947211+0.009663331445866i</v>
      </c>
      <c r="AQ329" s="49">
        <f t="shared" si="192"/>
        <v>-26.329444103518149</v>
      </c>
      <c r="AR329" s="61">
        <f t="shared" si="193"/>
        <v>168.44770516401192</v>
      </c>
      <c r="AS329" s="58" t="str">
        <f t="shared" si="194"/>
        <v>0.0722862938667306-0.112835182155801i</v>
      </c>
      <c r="AT329" s="64">
        <f t="shared" si="195"/>
        <v>-17.457641225951946</v>
      </c>
      <c r="AU329" s="61">
        <f t="shared" si="196"/>
        <v>-57.35490792550128</v>
      </c>
    </row>
    <row r="330" spans="14:47" x14ac:dyDescent="0.4">
      <c r="N330" s="10">
        <v>12</v>
      </c>
      <c r="O330" s="50">
        <f t="shared" si="198"/>
        <v>13182.567385564091</v>
      </c>
      <c r="P330" s="48" t="str">
        <f t="shared" si="165"/>
        <v>5120.19230769231</v>
      </c>
      <c r="Q330" s="17" t="str">
        <f t="shared" si="166"/>
        <v>1+387.06401598106i</v>
      </c>
      <c r="R330" s="17">
        <f t="shared" si="174"/>
        <v>387.06530775488812</v>
      </c>
      <c r="S330" s="17">
        <f t="shared" si="175"/>
        <v>1.5682127805756474</v>
      </c>
      <c r="T330" s="17" t="str">
        <f t="shared" si="167"/>
        <v>1+0.000827456851941733i</v>
      </c>
      <c r="U330" s="17">
        <f t="shared" si="176"/>
        <v>1.0000003423423625</v>
      </c>
      <c r="V330" s="17">
        <f t="shared" si="177"/>
        <v>8.2745666309275601E-4</v>
      </c>
      <c r="W330" s="31" t="str">
        <f t="shared" si="168"/>
        <v>1-1.34182192206767i</v>
      </c>
      <c r="X330" s="17">
        <f t="shared" si="178"/>
        <v>1.6734652881196477</v>
      </c>
      <c r="Y330" s="17">
        <f t="shared" si="179"/>
        <v>-0.93033869977536765</v>
      </c>
      <c r="Z330" s="31" t="str">
        <f t="shared" si="169"/>
        <v>0.930487966850025+8.16964473274718i</v>
      </c>
      <c r="AA330" s="17">
        <f t="shared" si="180"/>
        <v>8.222463311913069</v>
      </c>
      <c r="AB330" s="17">
        <f t="shared" si="181"/>
        <v>1.4573892546489673</v>
      </c>
      <c r="AC330" s="66" t="str">
        <f t="shared" si="182"/>
        <v>-1.84943219106639+1.95649238295285i</v>
      </c>
      <c r="AD330" s="64">
        <f t="shared" si="183"/>
        <v>8.6023387566454055</v>
      </c>
      <c r="AE330" s="61">
        <f t="shared" si="184"/>
        <v>133.38870165514544</v>
      </c>
      <c r="AF330" s="31" t="str">
        <f t="shared" si="170"/>
        <v>-1.39902068552014E-06</v>
      </c>
      <c r="AG330" s="31" t="str">
        <f t="shared" si="171"/>
        <v>0.00273897329129221i</v>
      </c>
      <c r="AH330" s="31">
        <f t="shared" si="185"/>
        <v>2.73897329129221E-3</v>
      </c>
      <c r="AI330" s="31">
        <f t="shared" si="186"/>
        <v>1.5707963267948966</v>
      </c>
      <c r="AJ330" s="31" t="str">
        <f t="shared" si="172"/>
        <v>1+0.197850638187041i</v>
      </c>
      <c r="AK330" s="31">
        <f t="shared" si="187"/>
        <v>1.0193845569906479</v>
      </c>
      <c r="AL330" s="31">
        <f t="shared" si="188"/>
        <v>0.19532801414694212</v>
      </c>
      <c r="AM330" s="31" t="str">
        <f t="shared" si="173"/>
        <v>1+96.2136015230747i</v>
      </c>
      <c r="AN330" s="31">
        <f t="shared" si="189"/>
        <v>96.218798153172756</v>
      </c>
      <c r="AO330" s="31">
        <f t="shared" si="190"/>
        <v>1.560403160153796</v>
      </c>
      <c r="AP330" s="58" t="str">
        <f t="shared" si="191"/>
        <v>-0.0471957314385476+0.00984848847195885i</v>
      </c>
      <c r="AQ330" s="49">
        <f t="shared" si="192"/>
        <v>-26.336835670348275</v>
      </c>
      <c r="AR330" s="61">
        <f t="shared" si="193"/>
        <v>168.21304458439735</v>
      </c>
      <c r="AS330" s="58" t="str">
        <f t="shared" si="194"/>
        <v>0.0680168123243876-0.110552200680794i</v>
      </c>
      <c r="AT330" s="64">
        <f t="shared" si="195"/>
        <v>-17.734496913702849</v>
      </c>
      <c r="AU330" s="61">
        <f t="shared" si="196"/>
        <v>-58.398253760457273</v>
      </c>
    </row>
    <row r="331" spans="14:47" x14ac:dyDescent="0.4">
      <c r="N331" s="10">
        <v>13</v>
      </c>
      <c r="O331" s="50">
        <f t="shared" si="198"/>
        <v>13489.628825916556</v>
      </c>
      <c r="P331" s="48" t="str">
        <f t="shared" si="165"/>
        <v>5120.19230769231</v>
      </c>
      <c r="Q331" s="17" t="str">
        <f t="shared" si="166"/>
        <v>1+396.079895117464i</v>
      </c>
      <c r="R331" s="17">
        <f t="shared" si="174"/>
        <v>396.08115748702465</v>
      </c>
      <c r="S331" s="17">
        <f t="shared" si="175"/>
        <v>1.5682715890145669</v>
      </c>
      <c r="T331" s="17" t="str">
        <f t="shared" si="167"/>
        <v>1+0.000846730798006669i</v>
      </c>
      <c r="U331" s="17">
        <f t="shared" si="176"/>
        <v>1.0000003584764579</v>
      </c>
      <c r="V331" s="17">
        <f t="shared" si="177"/>
        <v>8.467305956513482E-4</v>
      </c>
      <c r="W331" s="31" t="str">
        <f t="shared" si="168"/>
        <v>1-1.37307696974054i</v>
      </c>
      <c r="X331" s="17">
        <f t="shared" si="178"/>
        <v>1.6986289662053524</v>
      </c>
      <c r="Y331" s="17">
        <f t="shared" si="179"/>
        <v>-0.94133416685530158</v>
      </c>
      <c r="Z331" s="31" t="str">
        <f t="shared" si="169"/>
        <v>0.9272119656556+8.35994020444356i</v>
      </c>
      <c r="AA331" s="17">
        <f t="shared" si="180"/>
        <v>8.4112021882205852</v>
      </c>
      <c r="AB331" s="17">
        <f t="shared" si="181"/>
        <v>1.4603364690162615</v>
      </c>
      <c r="AC331" s="66" t="str">
        <f t="shared" si="182"/>
        <v>-1.76664541966423+1.92204853210803i</v>
      </c>
      <c r="AD331" s="64">
        <f t="shared" si="183"/>
        <v>8.3348539811415208</v>
      </c>
      <c r="AE331" s="61">
        <f t="shared" si="184"/>
        <v>132.58757969276422</v>
      </c>
      <c r="AF331" s="31" t="str">
        <f t="shared" si="170"/>
        <v>-1.39902068552014E-06</v>
      </c>
      <c r="AG331" s="31" t="str">
        <f t="shared" si="171"/>
        <v>0.00280277217502347i</v>
      </c>
      <c r="AH331" s="31">
        <f t="shared" si="185"/>
        <v>2.8027721750234699E-3</v>
      </c>
      <c r="AI331" s="31">
        <f t="shared" si="186"/>
        <v>1.5707963267948966</v>
      </c>
      <c r="AJ331" s="31" t="str">
        <f t="shared" si="172"/>
        <v>1+0.202459171575074i</v>
      </c>
      <c r="AK331" s="31">
        <f t="shared" si="187"/>
        <v>1.0202890355947503</v>
      </c>
      <c r="AL331" s="31">
        <f t="shared" si="188"/>
        <v>0.19975902577533647</v>
      </c>
      <c r="AM331" s="31" t="str">
        <f t="shared" si="173"/>
        <v>1+98.4547042006553i</v>
      </c>
      <c r="AN331" s="31">
        <f t="shared" si="189"/>
        <v>98.45978254718284</v>
      </c>
      <c r="AO331" s="31">
        <f t="shared" si="190"/>
        <v>1.5606397210508094</v>
      </c>
      <c r="AP331" s="58" t="str">
        <f t="shared" si="191"/>
        <v>-0.04711209120188+0.0100374310050405i</v>
      </c>
      <c r="AQ331" s="49">
        <f t="shared" si="192"/>
        <v>-26.344560174577197</v>
      </c>
      <c r="AR331" s="61">
        <f t="shared" si="193"/>
        <v>167.97272026011365</v>
      </c>
      <c r="AS331" s="58" t="str">
        <f t="shared" si="194"/>
        <v>0.0639379306032311-0.108284307249364i</v>
      </c>
      <c r="AT331" s="64">
        <f t="shared" si="195"/>
        <v>-18.009706193435655</v>
      </c>
      <c r="AU331" s="61">
        <f t="shared" si="196"/>
        <v>-59.439700047122194</v>
      </c>
    </row>
    <row r="332" spans="14:47" x14ac:dyDescent="0.4">
      <c r="N332" s="10">
        <v>14</v>
      </c>
      <c r="O332" s="50">
        <f t="shared" si="198"/>
        <v>13803.842646028841</v>
      </c>
      <c r="P332" s="48" t="str">
        <f t="shared" si="165"/>
        <v>5120.19230769231</v>
      </c>
      <c r="Q332" s="17" t="str">
        <f t="shared" si="166"/>
        <v>1+405.305781056997i</v>
      </c>
      <c r="R332" s="17">
        <f t="shared" si="174"/>
        <v>405.30701469160681</v>
      </c>
      <c r="S332" s="17">
        <f t="shared" si="175"/>
        <v>1.5683290588268597</v>
      </c>
      <c r="T332" s="17" t="str">
        <f t="shared" si="167"/>
        <v>1+0.000866453691948513i</v>
      </c>
      <c r="U332" s="17">
        <f t="shared" si="176"/>
        <v>1.0000003753709297</v>
      </c>
      <c r="V332" s="17">
        <f t="shared" si="177"/>
        <v>8.6645347512088469E-4</v>
      </c>
      <c r="W332" s="31" t="str">
        <f t="shared" si="168"/>
        <v>1-1.40506004099759i</v>
      </c>
      <c r="X332" s="17">
        <f t="shared" si="178"/>
        <v>1.7245850859868148</v>
      </c>
      <c r="Y332" s="17">
        <f t="shared" si="179"/>
        <v>-0.9522522310181627</v>
      </c>
      <c r="Z332" s="31" t="str">
        <f t="shared" si="169"/>
        <v>0.92378157128147+8.55466822709322i</v>
      </c>
      <c r="AA332" s="17">
        <f t="shared" si="180"/>
        <v>8.6044012497719748</v>
      </c>
      <c r="AB332" s="17">
        <f t="shared" si="181"/>
        <v>1.4632274822280573</v>
      </c>
      <c r="AC332" s="66" t="str">
        <f t="shared" si="182"/>
        <v>-1.68747967580863+1.88772685610262i</v>
      </c>
      <c r="AD332" s="64">
        <f t="shared" si="183"/>
        <v>8.069325740383249</v>
      </c>
      <c r="AE332" s="61">
        <f t="shared" si="184"/>
        <v>131.79421510028641</v>
      </c>
      <c r="AF332" s="31" t="str">
        <f t="shared" si="170"/>
        <v>-1.39902068552014E-06</v>
      </c>
      <c r="AG332" s="31" t="str">
        <f t="shared" si="171"/>
        <v>0.002868057125661i</v>
      </c>
      <c r="AH332" s="31">
        <f t="shared" si="185"/>
        <v>2.8680571256610001E-3</v>
      </c>
      <c r="AI332" s="31">
        <f t="shared" si="186"/>
        <v>1.5707963267948966</v>
      </c>
      <c r="AJ332" s="31" t="str">
        <f t="shared" si="172"/>
        <v>1+0.20717505149574i</v>
      </c>
      <c r="AK332" s="31">
        <f t="shared" si="187"/>
        <v>1.0212352823724133</v>
      </c>
      <c r="AL332" s="31">
        <f t="shared" si="188"/>
        <v>0.20428503245599819</v>
      </c>
      <c r="AM332" s="31" t="str">
        <f t="shared" si="173"/>
        <v>1+100.748008865605i</v>
      </c>
      <c r="AN332" s="31">
        <f t="shared" si="189"/>
        <v>100.75297162061288</v>
      </c>
      <c r="AO332" s="31">
        <f t="shared" si="190"/>
        <v>1.5608708982628607</v>
      </c>
      <c r="AP332" s="58" t="str">
        <f t="shared" si="191"/>
        <v>-0.0470248262744916+0.0102301646752794i</v>
      </c>
      <c r="AQ332" s="49">
        <f t="shared" si="192"/>
        <v>-26.352632159865866</v>
      </c>
      <c r="AR332" s="61">
        <f t="shared" si="193"/>
        <v>167.72664465783393</v>
      </c>
      <c r="AS332" s="58" t="str">
        <f t="shared" si="194"/>
        <v>0.060041681996759-0.106033222431627i</v>
      </c>
      <c r="AT332" s="64">
        <f t="shared" si="195"/>
        <v>-18.283306419482635</v>
      </c>
      <c r="AU332" s="61">
        <f t="shared" si="196"/>
        <v>-60.47914024187957</v>
      </c>
    </row>
    <row r="333" spans="14:47" x14ac:dyDescent="0.4">
      <c r="N333" s="10">
        <v>15</v>
      </c>
      <c r="O333" s="50">
        <f t="shared" si="198"/>
        <v>14125.375446227561</v>
      </c>
      <c r="P333" s="48" t="str">
        <f t="shared" si="165"/>
        <v>5120.19230769231</v>
      </c>
      <c r="Q333" s="17" t="str">
        <f t="shared" si="166"/>
        <v>1+414.746565486503i</v>
      </c>
      <c r="R333" s="17">
        <f t="shared" si="174"/>
        <v>414.74777104024338</v>
      </c>
      <c r="S333" s="17">
        <f t="shared" si="175"/>
        <v>1.5683852204822619</v>
      </c>
      <c r="T333" s="17" t="str">
        <f t="shared" si="167"/>
        <v>1+0.000886635991106703i</v>
      </c>
      <c r="U333" s="17">
        <f t="shared" si="176"/>
        <v>1.0000003930616133</v>
      </c>
      <c r="V333" s="17">
        <f t="shared" si="177"/>
        <v>8.8663575877171829E-4</v>
      </c>
      <c r="W333" s="31" t="str">
        <f t="shared" si="168"/>
        <v>1-1.43778809368654i</v>
      </c>
      <c r="X333" s="17">
        <f t="shared" si="178"/>
        <v>1.7513522210985359</v>
      </c>
      <c r="Y333" s="17">
        <f t="shared" si="179"/>
        <v>-0.96308826956536908</v>
      </c>
      <c r="Z333" s="31" t="str">
        <f t="shared" si="169"/>
        <v>0.920189507401244+8.75393204807133i</v>
      </c>
      <c r="AA333" s="17">
        <f t="shared" si="180"/>
        <v>8.8021630882290331</v>
      </c>
      <c r="AB333" s="17">
        <f t="shared" si="181"/>
        <v>1.4660636716115605</v>
      </c>
      <c r="AC333" s="66" t="str">
        <f t="shared" si="182"/>
        <v>-1.61178104207116+1.85356742134756i</v>
      </c>
      <c r="AD333" s="64">
        <f t="shared" si="183"/>
        <v>7.8057293861427208</v>
      </c>
      <c r="AE333" s="61">
        <f t="shared" si="184"/>
        <v>131.00879267716513</v>
      </c>
      <c r="AF333" s="31" t="str">
        <f t="shared" si="170"/>
        <v>-1.39902068552014E-06</v>
      </c>
      <c r="AG333" s="31" t="str">
        <f t="shared" si="171"/>
        <v>0.00293486275814979i</v>
      </c>
      <c r="AH333" s="31">
        <f t="shared" si="185"/>
        <v>2.9348627581497898E-3</v>
      </c>
      <c r="AI333" s="31">
        <f t="shared" si="186"/>
        <v>1.5707963267948966</v>
      </c>
      <c r="AJ333" s="31" t="str">
        <f t="shared" si="172"/>
        <v>1+0.212000778370996i</v>
      </c>
      <c r="AK333" s="31">
        <f t="shared" si="187"/>
        <v>1.0222251855779665</v>
      </c>
      <c r="AL333" s="31">
        <f t="shared" si="188"/>
        <v>0.20890769187506236</v>
      </c>
      <c r="AM333" s="31" t="str">
        <f t="shared" si="173"/>
        <v>1+103.094731458413i</v>
      </c>
      <c r="AN333" s="31">
        <f t="shared" si="189"/>
        <v>103.09958125270097</v>
      </c>
      <c r="AO333" s="31">
        <f t="shared" si="190"/>
        <v>1.5610968142642725</v>
      </c>
      <c r="AP333" s="58" t="str">
        <f t="shared" si="191"/>
        <v>-0.0469337944982231+0.0104266912917227i</v>
      </c>
      <c r="AQ333" s="49">
        <f t="shared" si="192"/>
        <v>-26.361066739028001</v>
      </c>
      <c r="AR333" s="61">
        <f t="shared" si="193"/>
        <v>167.47472981640053</v>
      </c>
      <c r="AS333" s="58" t="str">
        <f t="shared" si="194"/>
        <v>0.0563204249139142-0.103800495797655i</v>
      </c>
      <c r="AT333" s="64">
        <f t="shared" si="195"/>
        <v>-18.555337352885264</v>
      </c>
      <c r="AU333" s="61">
        <f t="shared" si="196"/>
        <v>-61.516477506434406</v>
      </c>
    </row>
    <row r="334" spans="14:47" x14ac:dyDescent="0.4">
      <c r="N334" s="10">
        <v>16</v>
      </c>
      <c r="O334" s="50">
        <f t="shared" si="198"/>
        <v>14454.397707459291</v>
      </c>
      <c r="P334" s="48" t="str">
        <f t="shared" si="165"/>
        <v>5120.19230769231</v>
      </c>
      <c r="Q334" s="17" t="str">
        <f t="shared" si="166"/>
        <v>1+424.407254034849i</v>
      </c>
      <c r="R334" s="17">
        <f t="shared" si="174"/>
        <v>424.40843214691301</v>
      </c>
      <c r="S334" s="17">
        <f t="shared" si="175"/>
        <v>1.5684401037570088</v>
      </c>
      <c r="T334" s="17" t="str">
        <f t="shared" si="167"/>
        <v>1+0.00090728839640339i</v>
      </c>
      <c r="U334" s="17">
        <f t="shared" si="176"/>
        <v>1.0000004115860324</v>
      </c>
      <c r="V334" s="17">
        <f t="shared" si="177"/>
        <v>9.0728814745197415E-4</v>
      </c>
      <c r="W334" s="31" t="str">
        <f t="shared" si="168"/>
        <v>1-1.47127848065414i</v>
      </c>
      <c r="X334" s="17">
        <f t="shared" si="178"/>
        <v>1.7789492313261654</v>
      </c>
      <c r="Y334" s="17">
        <f t="shared" si="179"/>
        <v>-0.97383784911985827</v>
      </c>
      <c r="Z334" s="31" t="str">
        <f t="shared" si="169"/>
        <v>0.916428154765838+8.9578373196933i</v>
      </c>
      <c r="AA334" s="17">
        <f t="shared" si="180"/>
        <v>9.0045927175490608</v>
      </c>
      <c r="AB334" s="17">
        <f t="shared" si="181"/>
        <v>1.4688463955258002</v>
      </c>
      <c r="AC334" s="66" t="str">
        <f t="shared" si="182"/>
        <v>-1.53940175491478+1.81960666197988i</v>
      </c>
      <c r="AD334" s="64">
        <f t="shared" si="183"/>
        <v>7.5440385513320161</v>
      </c>
      <c r="AE334" s="61">
        <f t="shared" si="184"/>
        <v>130.23148751601607</v>
      </c>
      <c r="AF334" s="31" t="str">
        <f t="shared" si="170"/>
        <v>-1.39902068552014E-06</v>
      </c>
      <c r="AG334" s="31" t="str">
        <f t="shared" si="171"/>
        <v>0.00300322449372045i</v>
      </c>
      <c r="AH334" s="31">
        <f t="shared" si="185"/>
        <v>3.00322449372045E-3</v>
      </c>
      <c r="AI334" s="31">
        <f t="shared" si="186"/>
        <v>1.5707963267948966</v>
      </c>
      <c r="AJ334" s="31" t="str">
        <f t="shared" si="172"/>
        <v>1+0.216938910865105i</v>
      </c>
      <c r="AK334" s="31">
        <f t="shared" si="187"/>
        <v>1.0232607150904105</v>
      </c>
      <c r="AL334" s="31">
        <f t="shared" si="188"/>
        <v>0.2136286644061037</v>
      </c>
      <c r="AM334" s="31" t="str">
        <f t="shared" si="173"/>
        <v>1+105.49611624246i</v>
      </c>
      <c r="AN334" s="31">
        <f t="shared" si="189"/>
        <v>105.5008556469692</v>
      </c>
      <c r="AO334" s="31">
        <f t="shared" si="190"/>
        <v>1.5613175887464039</v>
      </c>
      <c r="AP334" s="58" t="str">
        <f t="shared" si="191"/>
        <v>-0.0468388495118863+0.0106270085289105i</v>
      </c>
      <c r="AQ334" s="49">
        <f t="shared" si="192"/>
        <v>-26.369879611249672</v>
      </c>
      <c r="AR334" s="61">
        <f t="shared" si="193"/>
        <v>167.21688746122496</v>
      </c>
      <c r="AS334" s="58" t="str">
        <f t="shared" si="194"/>
        <v>0.0527668316206645-0.101587518190201i</v>
      </c>
      <c r="AT334" s="64">
        <f t="shared" si="195"/>
        <v>-18.825841059917625</v>
      </c>
      <c r="AU334" s="61">
        <f t="shared" si="196"/>
        <v>-62.551625022759048</v>
      </c>
    </row>
    <row r="335" spans="14:47" x14ac:dyDescent="0.4">
      <c r="N335" s="10">
        <v>17</v>
      </c>
      <c r="O335" s="50">
        <f t="shared" si="198"/>
        <v>14791.083881682089</v>
      </c>
      <c r="P335" s="48" t="str">
        <f t="shared" si="165"/>
        <v>5120.19230769231</v>
      </c>
      <c r="Q335" s="17" t="str">
        <f t="shared" si="166"/>
        <v>1+434.292968926979i</v>
      </c>
      <c r="R335" s="17">
        <f t="shared" si="174"/>
        <v>434.29412022201029</v>
      </c>
      <c r="S335" s="17">
        <f t="shared" si="175"/>
        <v>1.5684937377496153</v>
      </c>
      <c r="T335" s="17" t="str">
        <f t="shared" si="167"/>
        <v>1+0.000928421858017232i</v>
      </c>
      <c r="U335" s="17">
        <f t="shared" si="176"/>
        <v>1.0000004309834805</v>
      </c>
      <c r="V335" s="17">
        <f t="shared" si="177"/>
        <v>9.2842159126099017E-4</v>
      </c>
      <c r="W335" s="31" t="str">
        <f t="shared" si="168"/>
        <v>1-1.50554895894686i</v>
      </c>
      <c r="X335" s="17">
        <f t="shared" si="178"/>
        <v>1.8073952715955564</v>
      </c>
      <c r="Y335" s="17">
        <f t="shared" si="179"/>
        <v>-0.98449673207603927</v>
      </c>
      <c r="Z335" s="31" t="str">
        <f t="shared" si="169"/>
        <v>0.912489535042018+9.16649215523316i</v>
      </c>
      <c r="AA335" s="17">
        <f t="shared" si="180"/>
        <v>9.2117976304037565</v>
      </c>
      <c r="AB335" s="17">
        <f t="shared" si="181"/>
        <v>1.4715769934359626</v>
      </c>
      <c r="AC335" s="66" t="str">
        <f t="shared" si="182"/>
        <v>-1.47019999285544+1.78587762933015i</v>
      </c>
      <c r="AD335" s="64">
        <f t="shared" si="183"/>
        <v>7.2842252709590074</v>
      </c>
      <c r="AE335" s="61">
        <f t="shared" si="184"/>
        <v>129.46246462822546</v>
      </c>
      <c r="AF335" s="31" t="str">
        <f t="shared" si="170"/>
        <v>-1.39902068552014E-06</v>
      </c>
      <c r="AG335" s="31" t="str">
        <f t="shared" si="171"/>
        <v>0.00307317857867005i</v>
      </c>
      <c r="AH335" s="31">
        <f t="shared" si="185"/>
        <v>3.07317857867005E-3</v>
      </c>
      <c r="AI335" s="31">
        <f t="shared" si="186"/>
        <v>1.5707963267948966</v>
      </c>
      <c r="AJ335" s="31" t="str">
        <f t="shared" si="172"/>
        <v>1+0.221992067241281i</v>
      </c>
      <c r="AK335" s="31">
        <f t="shared" si="187"/>
        <v>1.0243439256021667</v>
      </c>
      <c r="AL335" s="31">
        <f t="shared" si="188"/>
        <v>0.21844961102905475</v>
      </c>
      <c r="AM335" s="31" t="str">
        <f t="shared" si="173"/>
        <v>1+107.953436463745i</v>
      </c>
      <c r="AN335" s="31">
        <f t="shared" si="189"/>
        <v>107.95806799091872</v>
      </c>
      <c r="AO335" s="31">
        <f t="shared" si="190"/>
        <v>1.5615333386806711</v>
      </c>
      <c r="AP335" s="58" t="str">
        <f t="shared" si="191"/>
        <v>-0.0467398407573699+0.0108311095996012i</v>
      </c>
      <c r="AQ335" s="49">
        <f t="shared" si="192"/>
        <v>-26.379087079308469</v>
      </c>
      <c r="AR335" s="61">
        <f t="shared" si="193"/>
        <v>166.95302912713578</v>
      </c>
      <c r="AS335" s="58" t="str">
        <f t="shared" si="194"/>
        <v>0.0493738772127988-0.0993955332629907i</v>
      </c>
      <c r="AT335" s="64">
        <f t="shared" si="195"/>
        <v>-19.094861808349457</v>
      </c>
      <c r="AU335" s="61">
        <f t="shared" si="196"/>
        <v>-63.584506244638796</v>
      </c>
    </row>
    <row r="336" spans="14:47" x14ac:dyDescent="0.4">
      <c r="N336" s="10">
        <v>18</v>
      </c>
      <c r="O336" s="50">
        <f t="shared" si="198"/>
        <v>15135.612484362096</v>
      </c>
      <c r="P336" s="48" t="str">
        <f t="shared" si="165"/>
        <v>5120.19230769231</v>
      </c>
      <c r="Q336" s="17" t="str">
        <f t="shared" si="166"/>
        <v>1+444.408951699781i</v>
      </c>
      <c r="R336" s="17">
        <f t="shared" si="174"/>
        <v>444.410076788205</v>
      </c>
      <c r="S336" s="17">
        <f t="shared" si="175"/>
        <v>1.5685461508962997</v>
      </c>
      <c r="T336" s="17" t="str">
        <f t="shared" si="167"/>
        <v>1+0.00095004758118931i</v>
      </c>
      <c r="U336" s="17">
        <f t="shared" si="176"/>
        <v>1.0000004512951013</v>
      </c>
      <c r="V336" s="17">
        <f t="shared" si="177"/>
        <v>9.5004729535485394E-4</v>
      </c>
      <c r="W336" s="31" t="str">
        <f t="shared" si="168"/>
        <v>1-1.54061769922591i</v>
      </c>
      <c r="X336" s="17">
        <f t="shared" si="178"/>
        <v>1.8367098015658696</v>
      </c>
      <c r="Y336" s="17">
        <f t="shared" si="179"/>
        <v>-0.99506088205603016</v>
      </c>
      <c r="Z336" s="31" t="str">
        <f t="shared" si="169"/>
        <v>0.908365293889289+9.3800071862466i</v>
      </c>
      <c r="AA336" s="17">
        <f t="shared" si="180"/>
        <v>9.4238878559318824</v>
      </c>
      <c r="AB336" s="17">
        <f t="shared" si="181"/>
        <v>1.4742567860177074</v>
      </c>
      <c r="AC336" s="66" t="str">
        <f t="shared" si="182"/>
        <v>-1.40403966879461+1.75241022612002i</v>
      </c>
      <c r="AD336" s="64">
        <f t="shared" si="183"/>
        <v>7.0262601045866537</v>
      </c>
      <c r="AE336" s="61">
        <f t="shared" si="184"/>
        <v>128.70187862480199</v>
      </c>
      <c r="AF336" s="31" t="str">
        <f t="shared" si="170"/>
        <v>-1.39902068552014E-06</v>
      </c>
      <c r="AG336" s="31" t="str">
        <f t="shared" si="171"/>
        <v>0.00314476210358039i</v>
      </c>
      <c r="AH336" s="31">
        <f t="shared" si="185"/>
        <v>3.1447621035803901E-3</v>
      </c>
      <c r="AI336" s="31">
        <f t="shared" si="186"/>
        <v>1.5707963267948966</v>
      </c>
      <c r="AJ336" s="31" t="str">
        <f t="shared" si="172"/>
        <v>1+0.227162926749921i</v>
      </c>
      <c r="AK336" s="31">
        <f t="shared" si="187"/>
        <v>1.025476959901874</v>
      </c>
      <c r="AL336" s="31">
        <f t="shared" si="188"/>
        <v>0.22337219109364742</v>
      </c>
      <c r="AM336" s="31" t="str">
        <f t="shared" si="173"/>
        <v>1+110.467995025976i</v>
      </c>
      <c r="AN336" s="31">
        <f t="shared" si="189"/>
        <v>110.47252113108966</v>
      </c>
      <c r="AO336" s="31">
        <f t="shared" si="190"/>
        <v>1.5617441783801573</v>
      </c>
      <c r="AP336" s="58" t="str">
        <f t="shared" si="191"/>
        <v>-0.0466366135008978+0.0110389829136387i</v>
      </c>
      <c r="AQ336" s="49">
        <f t="shared" si="192"/>
        <v>-26.38870606673331</v>
      </c>
      <c r="AR336" s="61">
        <f t="shared" si="193"/>
        <v>166.68306629005366</v>
      </c>
      <c r="AS336" s="58" t="str">
        <f t="shared" si="194"/>
        <v>0.0461348288296781-0.0972256483244749i</v>
      </c>
      <c r="AT336" s="64">
        <f t="shared" si="195"/>
        <v>-19.362445962146662</v>
      </c>
      <c r="AU336" s="61">
        <f t="shared" si="196"/>
        <v>-64.615055085144377</v>
      </c>
    </row>
    <row r="337" spans="14:47" x14ac:dyDescent="0.4">
      <c r="N337" s="10">
        <v>19</v>
      </c>
      <c r="O337" s="50">
        <f t="shared" si="198"/>
        <v>15488.166189124853</v>
      </c>
      <c r="P337" s="48" t="str">
        <f t="shared" si="165"/>
        <v>5120.19230769231</v>
      </c>
      <c r="Q337" s="17" t="str">
        <f t="shared" si="166"/>
        <v>1+454.760565981223i</v>
      </c>
      <c r="R337" s="17">
        <f t="shared" si="174"/>
        <v>454.76166545957057</v>
      </c>
      <c r="S337" s="17">
        <f t="shared" si="175"/>
        <v>1.5685973709860535</v>
      </c>
      <c r="T337" s="17" t="str">
        <f t="shared" si="167"/>
        <v>1+0.000972177032164303i</v>
      </c>
      <c r="U337" s="17">
        <f t="shared" si="176"/>
        <v>1.0000004725639793</v>
      </c>
      <c r="V337" s="17">
        <f t="shared" si="177"/>
        <v>9.7217672588717301E-4</v>
      </c>
      <c r="W337" s="31" t="str">
        <f t="shared" si="168"/>
        <v>1-1.57650329540157i</v>
      </c>
      <c r="X337" s="17">
        <f t="shared" si="178"/>
        <v>1.8669125958148147</v>
      </c>
      <c r="Y337" s="17">
        <f t="shared" si="179"/>
        <v>-1.0055264683779326</v>
      </c>
      <c r="Z337" s="31" t="str">
        <f t="shared" si="169"/>
        <v>0.90404668323922+9.59849562122928i</v>
      </c>
      <c r="AA337" s="17">
        <f t="shared" si="180"/>
        <v>9.6409760188599947</v>
      </c>
      <c r="AB337" s="17">
        <f t="shared" si="181"/>
        <v>1.4768870752891761</v>
      </c>
      <c r="AC337" s="66" t="str">
        <f t="shared" si="182"/>
        <v>-1.34079022676116+1.71923142621919i</v>
      </c>
      <c r="AD337" s="64">
        <f t="shared" si="183"/>
        <v>6.7701122595556837</v>
      </c>
      <c r="AE337" s="61">
        <f t="shared" si="184"/>
        <v>127.94987345227665</v>
      </c>
      <c r="AF337" s="31" t="str">
        <f t="shared" si="170"/>
        <v>-1.39902068552014E-06</v>
      </c>
      <c r="AG337" s="31" t="str">
        <f t="shared" si="171"/>
        <v>0.0032180130229839i</v>
      </c>
      <c r="AH337" s="31">
        <f t="shared" si="185"/>
        <v>3.2180130229839E-3</v>
      </c>
      <c r="AI337" s="31">
        <f t="shared" si="186"/>
        <v>1.5707963267948966</v>
      </c>
      <c r="AJ337" s="31" t="str">
        <f t="shared" si="172"/>
        <v>1+0.232454231049181i</v>
      </c>
      <c r="AK337" s="31">
        <f t="shared" si="187"/>
        <v>1.02666205225121</v>
      </c>
      <c r="AL337" s="31">
        <f t="shared" si="188"/>
        <v>0.2283980599208863</v>
      </c>
      <c r="AM337" s="31" t="str">
        <f t="shared" si="173"/>
        <v>1+113.041125181387i</v>
      </c>
      <c r="AN337" s="31">
        <f t="shared" si="189"/>
        <v>113.04554826384808</v>
      </c>
      <c r="AO337" s="31">
        <f t="shared" si="190"/>
        <v>1.5619502195598385</v>
      </c>
      <c r="AP337" s="58" t="str">
        <f t="shared" si="191"/>
        <v>-0.0465290088709786+0.0112506117230899i</v>
      </c>
      <c r="AQ337" s="49">
        <f t="shared" si="192"/>
        <v>-26.398754134840516</v>
      </c>
      <c r="AR337" s="61">
        <f t="shared" si="193"/>
        <v>166.4069105078681</v>
      </c>
      <c r="AS337" s="58" t="str">
        <f t="shared" si="194"/>
        <v>0.0430432351165652-0.0950788445252213i</v>
      </c>
      <c r="AT337" s="64">
        <f t="shared" si="195"/>
        <v>-19.628641875284835</v>
      </c>
      <c r="AU337" s="61">
        <f t="shared" si="196"/>
        <v>-65.643216039855275</v>
      </c>
    </row>
    <row r="338" spans="14:47" x14ac:dyDescent="0.4">
      <c r="N338" s="10">
        <v>20</v>
      </c>
      <c r="O338" s="50">
        <f t="shared" si="198"/>
        <v>15848.931924611146</v>
      </c>
      <c r="P338" s="48" t="str">
        <f t="shared" si="165"/>
        <v>5120.19230769231</v>
      </c>
      <c r="Q338" s="17" t="str">
        <f t="shared" si="166"/>
        <v>1+465.353300334214i</v>
      </c>
      <c r="R338" s="17">
        <f t="shared" si="174"/>
        <v>465.35437478543724</v>
      </c>
      <c r="S338" s="17">
        <f t="shared" si="175"/>
        <v>1.5686474251753701</v>
      </c>
      <c r="T338" s="17" t="str">
        <f t="shared" si="167"/>
        <v>1+0.000994821944270031i</v>
      </c>
      <c r="U338" s="17">
        <f t="shared" si="176"/>
        <v>1.0000004948352279</v>
      </c>
      <c r="V338" s="17">
        <f t="shared" si="177"/>
        <v>9.9482161608818232E-4</v>
      </c>
      <c r="W338" s="31" t="str">
        <f t="shared" si="168"/>
        <v>1-1.61322477449194i</v>
      </c>
      <c r="X338" s="17">
        <f t="shared" si="178"/>
        <v>1.8980237546022891</v>
      </c>
      <c r="Y338" s="17">
        <f t="shared" si="179"/>
        <v>-1.0158898695498313</v>
      </c>
      <c r="Z338" s="31" t="str">
        <f t="shared" si="169"/>
        <v>0.899524542739617+9.8220733056414i</v>
      </c>
      <c r="AA338" s="17">
        <f t="shared" si="180"/>
        <v>9.8631774000260339</v>
      </c>
      <c r="AB338" s="17">
        <f t="shared" si="181"/>
        <v>1.4794691447685273</v>
      </c>
      <c r="AC338" s="66" t="str">
        <f t="shared" si="182"/>
        <v>-1.28032644325877+1.68636548075643i</v>
      </c>
      <c r="AD338" s="64">
        <f t="shared" si="183"/>
        <v>6.5157497142588952</v>
      </c>
      <c r="AE338" s="61">
        <f t="shared" si="184"/>
        <v>127.20658218299079</v>
      </c>
      <c r="AF338" s="31" t="str">
        <f t="shared" si="170"/>
        <v>-1.39902068552014E-06</v>
      </c>
      <c r="AG338" s="31" t="str">
        <f t="shared" si="171"/>
        <v>0.00329297017548762i</v>
      </c>
      <c r="AH338" s="31">
        <f t="shared" si="185"/>
        <v>3.2929701754876202E-3</v>
      </c>
      <c r="AI338" s="31">
        <f t="shared" si="186"/>
        <v>1.5707963267948966</v>
      </c>
      <c r="AJ338" s="31" t="str">
        <f t="shared" si="172"/>
        <v>1+0.237868785658637i</v>
      </c>
      <c r="AK338" s="31">
        <f t="shared" si="187"/>
        <v>1.0279015318554179</v>
      </c>
      <c r="AL338" s="31">
        <f t="shared" si="188"/>
        <v>0.23352886623611269</v>
      </c>
      <c r="AM338" s="31" t="str">
        <f t="shared" si="173"/>
        <v>1+115.674191237644i</v>
      </c>
      <c r="AN338" s="31">
        <f t="shared" si="189"/>
        <v>115.67851364226219</v>
      </c>
      <c r="AO338" s="31">
        <f t="shared" si="190"/>
        <v>1.5621515713954586</v>
      </c>
      <c r="AP338" s="58" t="str">
        <f t="shared" si="191"/>
        <v>-0.0464168639146717+0.0114659737538858i</v>
      </c>
      <c r="AQ338" s="49">
        <f t="shared" si="192"/>
        <v>-26.409249499574617</v>
      </c>
      <c r="AR338" s="61">
        <f t="shared" si="193"/>
        <v>166.12447357088485</v>
      </c>
      <c r="AS338" s="58" t="str">
        <f t="shared" si="194"/>
        <v>0.0400929159412857-0.0929559864254821i</v>
      </c>
      <c r="AT338" s="64">
        <f t="shared" si="195"/>
        <v>-19.893499785315726</v>
      </c>
      <c r="AU338" s="61">
        <f t="shared" si="196"/>
        <v>-66.668944246124354</v>
      </c>
    </row>
    <row r="339" spans="14:47" x14ac:dyDescent="0.4">
      <c r="N339" s="10">
        <v>21</v>
      </c>
      <c r="O339" s="50">
        <f t="shared" si="198"/>
        <v>16218.100973589309</v>
      </c>
      <c r="P339" s="48" t="str">
        <f t="shared" ref="P339:P402" si="199">COMPLEX(Adc,0)</f>
        <v>5120.19230769231</v>
      </c>
      <c r="Q339" s="17" t="str">
        <f t="shared" ref="Q339:Q402" si="200">IMSUM(COMPLEX(1,0),IMDIV(COMPLEX(0,2*PI()*O339),COMPLEX(wp_lf,0)))</f>
        <v>1+476.192771166721i</v>
      </c>
      <c r="R339" s="17">
        <f t="shared" si="174"/>
        <v>476.19382116050292</v>
      </c>
      <c r="S339" s="17">
        <f t="shared" si="175"/>
        <v>1.5686963400026404</v>
      </c>
      <c r="T339" s="17" t="str">
        <f t="shared" ref="T339:T402" si="201">IMSUM(COMPLEX(1,0),IMDIV(COMPLEX(0,2*PI()*O339),COMPLEX(wz_esr,0)))</f>
        <v>1+0.00101799432413863i</v>
      </c>
      <c r="U339" s="17">
        <f t="shared" si="176"/>
        <v>1.0000005181560878</v>
      </c>
      <c r="V339" s="17">
        <f t="shared" si="177"/>
        <v>1.0179939724854533E-3</v>
      </c>
      <c r="W339" s="31" t="str">
        <f t="shared" ref="W339:W402" si="202">IMSUB(COMPLEX(1,0),IMDIV(COMPLEX(0,2*PI()*O339),COMPLEX(wz_rhp,0)))</f>
        <v>1-1.6508016067113i</v>
      </c>
      <c r="X339" s="17">
        <f t="shared" si="178"/>
        <v>1.930063715197146</v>
      </c>
      <c r="Y339" s="17">
        <f t="shared" si="179"/>
        <v>-1.0261476758105497</v>
      </c>
      <c r="Z339" s="31" t="str">
        <f t="shared" ref="Z339:Z402" si="203">IMSUM(COMPLEX(1,0),IMDIV(COMPLEX(0,2*PI()*O339),COMPLEX(Q*(wsl/2),0)),IMDIV(IMPOWER(COMPLEX(0,2*PI()*O339),2),IMPOWER(COMPLEX(wsl/2,0),2)))</f>
        <v>0.894789280324185+10.0508587833307i</v>
      </c>
      <c r="AA339" s="17">
        <f t="shared" si="180"/>
        <v>10.090609998341971</v>
      </c>
      <c r="AB339" s="17">
        <f t="shared" si="181"/>
        <v>1.4820042596549772</v>
      </c>
      <c r="AC339" s="66" t="str">
        <f t="shared" si="182"/>
        <v>-1.22252823337585+1.65383411134405i</v>
      </c>
      <c r="AD339" s="64">
        <f t="shared" si="183"/>
        <v>6.2631393407849618</v>
      </c>
      <c r="AE339" s="61">
        <f t="shared" si="184"/>
        <v>126.47212685867916</v>
      </c>
      <c r="AF339" s="31" t="str">
        <f t="shared" ref="AF339:AF402" si="204">COMPLEX(Adc_ea,0)</f>
        <v>-1.39902068552014E-06</v>
      </c>
      <c r="AG339" s="31" t="str">
        <f t="shared" ref="AG339:AG402" si="205">COMPLEX(0,2*PI()*O339*wp0_ea)</f>
        <v>0.00336967330436601i</v>
      </c>
      <c r="AH339" s="31">
        <f t="shared" si="185"/>
        <v>3.3696733043660099E-3</v>
      </c>
      <c r="AI339" s="31">
        <f t="shared" si="186"/>
        <v>1.5707963267948966</v>
      </c>
      <c r="AJ339" s="31" t="str">
        <f t="shared" ref="AJ339:AJ402" si="206">IMSUM(COMPLEX(1,0),IMDIV(COMPLEX(0,2*PI()*O339),COMPLEX(wp1_ea,0)))</f>
        <v>1+0.243409461446816i</v>
      </c>
      <c r="AK339" s="31">
        <f t="shared" si="187"/>
        <v>1.0291978264268871</v>
      </c>
      <c r="AL339" s="31">
        <f t="shared" si="188"/>
        <v>0.23876624942738328</v>
      </c>
      <c r="AM339" s="31" t="str">
        <f t="shared" ref="AM339:AM402" si="207">IMSUM(COMPLEX(1,0),IMDIV(COMPLEX(0,2*PI()*O339),COMPLEX(wz_ea,0)))</f>
        <v>1+118.368589281225i</v>
      </c>
      <c r="AN339" s="31">
        <f t="shared" si="189"/>
        <v>118.37281329945375</v>
      </c>
      <c r="AO339" s="31">
        <f t="shared" si="190"/>
        <v>1.5623483405810821</v>
      </c>
      <c r="AP339" s="58" t="str">
        <f t="shared" si="191"/>
        <v>-0.0463000116738709+0.0116850408243184i</v>
      </c>
      <c r="AQ339" s="49">
        <f t="shared" si="192"/>
        <v>-26.420211048076215</v>
      </c>
      <c r="AR339" s="61">
        <f t="shared" si="193"/>
        <v>165.83566766220673</v>
      </c>
      <c r="AS339" s="58" t="str">
        <f t="shared" si="194"/>
        <v>0.0372779523692331-0.0908578309777541i</v>
      </c>
      <c r="AT339" s="64">
        <f t="shared" si="195"/>
        <v>-20.157071707291255</v>
      </c>
      <c r="AU339" s="61">
        <f t="shared" si="196"/>
        <v>-67.692205479114065</v>
      </c>
    </row>
    <row r="340" spans="14:47" x14ac:dyDescent="0.4">
      <c r="N340" s="10">
        <v>22</v>
      </c>
      <c r="O340" s="50">
        <f t="shared" si="198"/>
        <v>16595.869074375616</v>
      </c>
      <c r="P340" s="48" t="str">
        <f t="shared" si="199"/>
        <v>5120.19230769231</v>
      </c>
      <c r="Q340" s="17" t="str">
        <f t="shared" si="200"/>
        <v>1+487.28472570966i</v>
      </c>
      <c r="R340" s="17">
        <f t="shared" ref="R340:R403" si="208">IMABS(Q340)</f>
        <v>487.2857518027165</v>
      </c>
      <c r="S340" s="17">
        <f t="shared" ref="S340:S403" si="209">IMARGUMENT(Q340)</f>
        <v>1.5687441414022156</v>
      </c>
      <c r="T340" s="17" t="str">
        <f t="shared" si="201"/>
        <v>1+0.00104170645807265i</v>
      </c>
      <c r="U340" s="17">
        <f t="shared" ref="U340:U403" si="210">IMABS(T340)</f>
        <v>1.0000005425760252</v>
      </c>
      <c r="V340" s="17">
        <f t="shared" ref="V340:V403" si="211">IMARGUMENT(T340)</f>
        <v>1.0417060812694934E-3</v>
      </c>
      <c r="W340" s="31" t="str">
        <f t="shared" si="202"/>
        <v>1-1.68925371579349i</v>
      </c>
      <c r="X340" s="17">
        <f t="shared" ref="X340:X403" si="212">IMABS(W340)</f>
        <v>1.9630532637506584</v>
      </c>
      <c r="Y340" s="17">
        <f t="shared" ref="Y340:Y403" si="213">IMARGUMENT(W340)</f>
        <v>-1.0362966907449269</v>
      </c>
      <c r="Z340" s="31" t="str">
        <f t="shared" si="203"/>
        <v>0.889830851866473+10.2849733593858i</v>
      </c>
      <c r="AA340" s="17">
        <f t="shared" ref="AA340:AA403" si="214">IMABS(Z340)</f>
        <v>10.323394594231543</v>
      </c>
      <c r="AB340" s="17">
        <f t="shared" ref="AB340:AB403" si="215">IMARGUMENT(Z340)</f>
        <v>1.4844936670314364</v>
      </c>
      <c r="AC340" s="66" t="str">
        <f t="shared" ref="AC340:AC403" si="216">(IMDIV(IMPRODUCT(P340,T340,W340),IMPRODUCT(Q340,Z340)))</f>
        <v>-1.16728046178078+1.62165669114119i</v>
      </c>
      <c r="AD340" s="64">
        <f t="shared" ref="AD340:AD403" si="217">20*LOG(IMABS(AC340))</f>
        <v>6.012247026290245</v>
      </c>
      <c r="AE340" s="61">
        <f t="shared" ref="AE340:AE403" si="218">(180/PI())*IMARGUMENT(AC340)</f>
        <v>125.74661838587042</v>
      </c>
      <c r="AF340" s="31" t="str">
        <f t="shared" si="204"/>
        <v>-1.39902068552014E-06</v>
      </c>
      <c r="AG340" s="31" t="str">
        <f t="shared" si="205"/>
        <v>0.00344816307863327i</v>
      </c>
      <c r="AH340" s="31">
        <f t="shared" ref="AH340:AH403" si="219">IMABS(AG340)</f>
        <v>3.4481630786332698E-3</v>
      </c>
      <c r="AI340" s="31">
        <f t="shared" ref="AI340:AI403" si="220">IMARGUMENT(AG340)</f>
        <v>1.5707963267948966</v>
      </c>
      <c r="AJ340" s="31" t="str">
        <f t="shared" si="206"/>
        <v>1+0.24907919615336i</v>
      </c>
      <c r="AK340" s="31">
        <f t="shared" ref="AK340:AK403" si="221">IMABS(AJ340)</f>
        <v>1.0305534658407607</v>
      </c>
      <c r="AL340" s="31">
        <f t="shared" ref="AL340:AL403" si="222">IMARGUMENT(AJ340)</f>
        <v>0.24411183662304511</v>
      </c>
      <c r="AM340" s="31" t="str">
        <f t="shared" si="207"/>
        <v>1+121.125747917637i</v>
      </c>
      <c r="AN340" s="31">
        <f t="shared" ref="AN340:AN403" si="223">IMABS(AM340)</f>
        <v>121.12987578878692</v>
      </c>
      <c r="AO340" s="31">
        <f t="shared" ref="AO340:AO403" si="224">IMARGUMENT(AM340)</f>
        <v>1.5625406313853527</v>
      </c>
      <c r="AP340" s="58" t="str">
        <f t="shared" ref="AP340:AP403" si="225">IMPRODUCT(AF340,IMDIV(AM340,IMPRODUCT(AG340,AJ340)))</f>
        <v>-0.0461782812833857+0.0119077784508772i</v>
      </c>
      <c r="AQ340" s="49">
        <f t="shared" ref="AQ340:AQ403" si="226">20*LOG(IMABS(AP340))</f>
        <v>-26.431658354891656</v>
      </c>
      <c r="AR340" s="61">
        <f t="shared" ref="AR340:AR403" si="227">(180/PI())*IMARGUMENT(AP340)</f>
        <v>165.54040552840002</v>
      </c>
      <c r="AS340" s="58" t="str">
        <f t="shared" ref="AS340:AS403" si="228">IMPRODUCT(AC340,AP340)</f>
        <v>0.0345926768992213-0.0887850359575256i</v>
      </c>
      <c r="AT340" s="64">
        <f t="shared" ref="AT340:AT403" si="229">20*LOG(IMABS(AS340))</f>
        <v>-20.419411328601406</v>
      </c>
      <c r="AU340" s="61">
        <f t="shared" ref="AU340:AU403" si="230">(180/PI())*IMARGUMENT(AS340)</f>
        <v>-68.712976085729608</v>
      </c>
    </row>
    <row r="341" spans="14:47" x14ac:dyDescent="0.4">
      <c r="N341" s="10">
        <v>23</v>
      </c>
      <c r="O341" s="50">
        <f t="shared" si="198"/>
        <v>16982.436524617482</v>
      </c>
      <c r="P341" s="48" t="str">
        <f t="shared" si="199"/>
        <v>5120.19230769231</v>
      </c>
      <c r="Q341" s="17" t="str">
        <f t="shared" si="200"/>
        <v>1+498.635045064147i</v>
      </c>
      <c r="R341" s="17">
        <f t="shared" si="208"/>
        <v>498.6360478005214</v>
      </c>
      <c r="S341" s="17">
        <f t="shared" si="209"/>
        <v>1.5687908547181564</v>
      </c>
      <c r="T341" s="17" t="str">
        <f t="shared" si="201"/>
        <v>1+0.00106597091855936i</v>
      </c>
      <c r="U341" s="17">
        <f t="shared" si="210"/>
        <v>1.0000005681468382</v>
      </c>
      <c r="V341" s="17">
        <f t="shared" si="211"/>
        <v>1.0659705148075159E-3</v>
      </c>
      <c r="W341" s="31" t="str">
        <f t="shared" si="202"/>
        <v>1-1.72860148955571i</v>
      </c>
      <c r="X341" s="17">
        <f t="shared" si="212"/>
        <v>1.9970135476992186</v>
      </c>
      <c r="Y341" s="17">
        <f t="shared" si="213"/>
        <v>-1.0463339320073555</v>
      </c>
      <c r="Z341" s="31" t="str">
        <f t="shared" si="203"/>
        <v>0.884638739874934+10.5245411644538i</v>
      </c>
      <c r="AA341" s="17">
        <f t="shared" si="214"/>
        <v>10.561654814581381</v>
      </c>
      <c r="AB341" s="17">
        <f t="shared" si="215"/>
        <v>1.4869385960869721</v>
      </c>
      <c r="AC341" s="66" t="str">
        <f t="shared" si="216"/>
        <v>-1.11447275869355+1.58985041444754i</v>
      </c>
      <c r="AD341" s="64">
        <f t="shared" si="217"/>
        <v>5.7630377924985581</v>
      </c>
      <c r="AE341" s="61">
        <f t="shared" si="218"/>
        <v>125.03015648127122</v>
      </c>
      <c r="AF341" s="31" t="str">
        <f t="shared" si="204"/>
        <v>-1.39902068552014E-06</v>
      </c>
      <c r="AG341" s="31" t="str">
        <f t="shared" si="205"/>
        <v>0.00352848111460666i</v>
      </c>
      <c r="AH341" s="31">
        <f t="shared" si="219"/>
        <v>3.5284811146066601E-3</v>
      </c>
      <c r="AI341" s="31">
        <f t="shared" si="220"/>
        <v>1.5707963267948966</v>
      </c>
      <c r="AJ341" s="31" t="str">
        <f t="shared" si="206"/>
        <v>1+0.254880995946658i</v>
      </c>
      <c r="AK341" s="31">
        <f t="shared" si="221"/>
        <v>1.0319710858811695</v>
      </c>
      <c r="AL341" s="31">
        <f t="shared" si="222"/>
        <v>0.24956723958270202</v>
      </c>
      <c r="AM341" s="31" t="str">
        <f t="shared" si="207"/>
        <v>1+123.947129028884i</v>
      </c>
      <c r="AN341" s="31">
        <f t="shared" si="223"/>
        <v>123.95116294130854</v>
      </c>
      <c r="AO341" s="31">
        <f t="shared" si="224"/>
        <v>1.5627285457064866</v>
      </c>
      <c r="AP341" s="58" t="str">
        <f t="shared" si="225"/>
        <v>-0.0460514980926691+0.0121341454420593i</v>
      </c>
      <c r="AQ341" s="49">
        <f t="shared" si="226"/>
        <v>-26.44361169773213</v>
      </c>
      <c r="AR341" s="61">
        <f t="shared" si="227"/>
        <v>165.23860066077953</v>
      </c>
      <c r="AS341" s="58" t="str">
        <f t="shared" si="228"/>
        <v>0.032031663961283-0.0867381678737607i</v>
      </c>
      <c r="AT341" s="64">
        <f t="shared" si="229"/>
        <v>-20.680573905233569</v>
      </c>
      <c r="AU341" s="61">
        <f t="shared" si="230"/>
        <v>-69.731242857949226</v>
      </c>
    </row>
    <row r="342" spans="14:47" x14ac:dyDescent="0.4">
      <c r="N342" s="10">
        <v>24</v>
      </c>
      <c r="O342" s="50">
        <f t="shared" si="198"/>
        <v>17378.008287493791</v>
      </c>
      <c r="P342" s="48" t="str">
        <f t="shared" si="199"/>
        <v>5120.19230769231</v>
      </c>
      <c r="Q342" s="17" t="str">
        <f t="shared" si="200"/>
        <v>1+510.249747319737i</v>
      </c>
      <c r="R342" s="17">
        <f t="shared" si="208"/>
        <v>510.25072723108929</v>
      </c>
      <c r="S342" s="17">
        <f t="shared" si="209"/>
        <v>1.5688365047176656</v>
      </c>
      <c r="T342" s="17" t="str">
        <f t="shared" si="201"/>
        <v>1+0.00109080057093686i</v>
      </c>
      <c r="U342" s="17">
        <f t="shared" si="210"/>
        <v>1.0000005949227659</v>
      </c>
      <c r="V342" s="17">
        <f t="shared" si="211"/>
        <v>1.0908001383089783E-3</v>
      </c>
      <c r="W342" s="31" t="str">
        <f t="shared" si="202"/>
        <v>1-1.76886579070842i</v>
      </c>
      <c r="X342" s="17">
        <f t="shared" si="212"/>
        <v>2.031966088678284</v>
      </c>
      <c r="Y342" s="17">
        <f t="shared" si="213"/>
        <v>-1.0562566311926342</v>
      </c>
      <c r="Z342" s="31" t="str">
        <f t="shared" si="203"/>
        <v>0.879201931183919+10.7696892205558i</v>
      </c>
      <c r="AA342" s="17">
        <f t="shared" si="214"/>
        <v>10.80551719924379</v>
      </c>
      <c r="AB342" s="17">
        <f t="shared" si="215"/>
        <v>1.4893402583574205</v>
      </c>
      <c r="AC342" s="66" t="str">
        <f t="shared" si="216"/>
        <v>-1.06399934089663+1.55843045548597i</v>
      </c>
      <c r="AD342" s="64">
        <f t="shared" si="217"/>
        <v>5.5154759127742015</v>
      </c>
      <c r="AE342" s="61">
        <f t="shared" si="218"/>
        <v>124.32282966499115</v>
      </c>
      <c r="AF342" s="31" t="str">
        <f t="shared" si="204"/>
        <v>-1.39902068552014E-06</v>
      </c>
      <c r="AG342" s="31" t="str">
        <f t="shared" si="205"/>
        <v>0.00361066999797198i</v>
      </c>
      <c r="AH342" s="31">
        <f t="shared" si="219"/>
        <v>3.6106699979719802E-3</v>
      </c>
      <c r="AI342" s="31">
        <f t="shared" si="220"/>
        <v>1.5707963267948966</v>
      </c>
      <c r="AJ342" s="31" t="str">
        <f t="shared" si="206"/>
        <v>1+0.260817937017753i</v>
      </c>
      <c r="AK342" s="31">
        <f t="shared" si="221"/>
        <v>1.0334534320762578</v>
      </c>
      <c r="AL342" s="31">
        <f t="shared" si="222"/>
        <v>0.25513405139605833</v>
      </c>
      <c r="AM342" s="31" t="str">
        <f t="shared" si="207"/>
        <v>1+126.834228548574i</v>
      </c>
      <c r="AN342" s="31">
        <f t="shared" si="223"/>
        <v>126.83817064082839</v>
      </c>
      <c r="AO342" s="31">
        <f t="shared" si="224"/>
        <v>1.5629121831260286</v>
      </c>
      <c r="AP342" s="58" t="str">
        <f t="shared" si="225"/>
        <v>-0.0459194838131072+0.0123640934809463i</v>
      </c>
      <c r="AQ342" s="49">
        <f t="shared" si="226"/>
        <v>-26.456092072681948</v>
      </c>
      <c r="AR342" s="61">
        <f t="shared" si="227"/>
        <v>164.93016748763108</v>
      </c>
      <c r="AS342" s="58" t="str">
        <f t="shared" si="228"/>
        <v>0.0295897206762773-0.0847177093890525i</v>
      </c>
      <c r="AT342" s="64">
        <f t="shared" si="229"/>
        <v>-20.940616159907748</v>
      </c>
      <c r="AU342" s="61">
        <f t="shared" si="230"/>
        <v>-70.747002847377743</v>
      </c>
    </row>
    <row r="343" spans="14:47" x14ac:dyDescent="0.4">
      <c r="N343" s="10">
        <v>25</v>
      </c>
      <c r="O343" s="50">
        <f t="shared" si="198"/>
        <v>17782.794100389234</v>
      </c>
      <c r="P343" s="48" t="str">
        <f t="shared" si="199"/>
        <v>5120.19230769231</v>
      </c>
      <c r="Q343" s="17" t="str">
        <f t="shared" si="200"/>
        <v>1+522.13499074531i</v>
      </c>
      <c r="R343" s="17">
        <f t="shared" si="208"/>
        <v>522.13594835119807</v>
      </c>
      <c r="S343" s="17">
        <f t="shared" si="209"/>
        <v>1.5688811156042153</v>
      </c>
      <c r="T343" s="17" t="str">
        <f t="shared" si="201"/>
        <v>1+0.00111620858021553i</v>
      </c>
      <c r="U343" s="17">
        <f t="shared" si="210"/>
        <v>1.0000006229606033</v>
      </c>
      <c r="V343" s="17">
        <f t="shared" si="211"/>
        <v>1.1162081166464185E-3</v>
      </c>
      <c r="W343" s="31" t="str">
        <f t="shared" si="202"/>
        <v>1-1.81006796791707i</v>
      </c>
      <c r="X343" s="17">
        <f t="shared" si="212"/>
        <v>2.0679327959291696</v>
      </c>
      <c r="Y343" s="17">
        <f t="shared" si="213"/>
        <v>-1.0660622328977016</v>
      </c>
      <c r="Z343" s="31" t="str">
        <f t="shared" si="203"/>
        <v>0.873508893593265+11.0205475084363i</v>
      </c>
      <c r="AA343" s="17">
        <f t="shared" si="214"/>
        <v>11.055111269131944</v>
      </c>
      <c r="AB343" s="17">
        <f t="shared" si="215"/>
        <v>1.4916998479826071</v>
      </c>
      <c r="AC343" s="66" t="str">
        <f t="shared" si="216"/>
        <v>-1.01575883782307+1.52741011700067i</v>
      </c>
      <c r="AD343" s="64">
        <f t="shared" si="217"/>
        <v>5.2695250262643416</v>
      </c>
      <c r="AE343" s="61">
        <f t="shared" si="218"/>
        <v>123.62471529920373</v>
      </c>
      <c r="AF343" s="31" t="str">
        <f t="shared" si="204"/>
        <v>-1.39902068552014E-06</v>
      </c>
      <c r="AG343" s="31" t="str">
        <f t="shared" si="205"/>
        <v>0.00369477330636309i</v>
      </c>
      <c r="AH343" s="31">
        <f t="shared" si="219"/>
        <v>3.69477330636309E-3</v>
      </c>
      <c r="AI343" s="31">
        <f t="shared" si="220"/>
        <v>1.5707963267948966</v>
      </c>
      <c r="AJ343" s="31" t="str">
        <f t="shared" si="206"/>
        <v>1+0.266893167211388i</v>
      </c>
      <c r="AK343" s="31">
        <f t="shared" si="221"/>
        <v>1.035003363619716</v>
      </c>
      <c r="AL343" s="31">
        <f t="shared" si="222"/>
        <v>0.26081384298457555</v>
      </c>
      <c r="AM343" s="31" t="str">
        <f t="shared" si="207"/>
        <v>1+129.788577255091i</v>
      </c>
      <c r="AN343" s="31">
        <f t="shared" si="223"/>
        <v>129.79242961706484</v>
      </c>
      <c r="AO343" s="31">
        <f t="shared" si="224"/>
        <v>1.5630916409613991</v>
      </c>
      <c r="AP343" s="58" t="str">
        <f t="shared" si="225"/>
        <v>-0.045782056692844+0.0125975666975211i</v>
      </c>
      <c r="AQ343" s="49">
        <f t="shared" si="226"/>
        <v>-26.469121208747385</v>
      </c>
      <c r="AR343" s="61">
        <f t="shared" si="227"/>
        <v>164.61502157766247</v>
      </c>
      <c r="AS343" s="58" t="str">
        <f t="shared" si="228"/>
        <v>0.0272618778760887-0.0827240662778208i</v>
      </c>
      <c r="AT343" s="64">
        <f t="shared" si="229"/>
        <v>-21.199596182483042</v>
      </c>
      <c r="AU343" s="61">
        <f t="shared" si="230"/>
        <v>-71.760263123133782</v>
      </c>
    </row>
    <row r="344" spans="14:47" x14ac:dyDescent="0.4">
      <c r="N344" s="10">
        <v>26</v>
      </c>
      <c r="O344" s="50">
        <f t="shared" si="198"/>
        <v>18197.008586099837</v>
      </c>
      <c r="P344" s="48" t="str">
        <f t="shared" si="199"/>
        <v>5120.19230769231</v>
      </c>
      <c r="Q344" s="17" t="str">
        <f t="shared" si="200"/>
        <v>1+534.297077054253i</v>
      </c>
      <c r="R344" s="17">
        <f t="shared" si="208"/>
        <v>534.29801286240843</v>
      </c>
      <c r="S344" s="17">
        <f t="shared" si="209"/>
        <v>1.5689247110303775</v>
      </c>
      <c r="T344" s="17" t="str">
        <f t="shared" si="201"/>
        <v>1+0.0011422084180582i</v>
      </c>
      <c r="U344" s="17">
        <f t="shared" si="210"/>
        <v>1.0000006523198224</v>
      </c>
      <c r="V344" s="17">
        <f t="shared" si="211"/>
        <v>1.1422079213349653E-3</v>
      </c>
      <c r="W344" s="31" t="str">
        <f t="shared" si="202"/>
        <v>1-1.85222986712141i</v>
      </c>
      <c r="X344" s="17">
        <f t="shared" si="212"/>
        <v>2.1049359801800613</v>
      </c>
      <c r="Y344" s="17">
        <f t="shared" si="213"/>
        <v>-1.0757483930215488</v>
      </c>
      <c r="Z344" s="31" t="str">
        <f t="shared" si="203"/>
        <v>0.867547551406964+11.27724903648i</v>
      </c>
      <c r="AA344" s="17">
        <f t="shared" si="214"/>
        <v>11.310569595946143</v>
      </c>
      <c r="AB344" s="17">
        <f t="shared" si="215"/>
        <v>1.4940185419786998</v>
      </c>
      <c r="AC344" s="66" t="str">
        <f t="shared" si="216"/>
        <v>-0.969654122737351+1.49680096926657i</v>
      </c>
      <c r="AD344" s="64">
        <f t="shared" si="217"/>
        <v>5.0251482486592245</v>
      </c>
      <c r="AE344" s="61">
        <f t="shared" si="218"/>
        <v>122.9358796696125</v>
      </c>
      <c r="AF344" s="31" t="str">
        <f t="shared" si="204"/>
        <v>-1.39902068552014E-06</v>
      </c>
      <c r="AG344" s="31" t="str">
        <f t="shared" si="205"/>
        <v>0.00378083563246734i</v>
      </c>
      <c r="AH344" s="31">
        <f t="shared" si="219"/>
        <v>3.78083563246734E-3</v>
      </c>
      <c r="AI344" s="31">
        <f t="shared" si="220"/>
        <v>1.5707963267948966</v>
      </c>
      <c r="AJ344" s="31" t="str">
        <f t="shared" si="206"/>
        <v>1+0.27310990769503i</v>
      </c>
      <c r="AK344" s="31">
        <f t="shared" si="221"/>
        <v>1.0366238573760436</v>
      </c>
      <c r="AL344" s="31">
        <f t="shared" si="222"/>
        <v>0.26660815940133908</v>
      </c>
      <c r="AM344" s="31" t="str">
        <f t="shared" si="207"/>
        <v>1+132.811741583224i</v>
      </c>
      <c r="AN344" s="31">
        <f t="shared" si="223"/>
        <v>132.81550625724796</v>
      </c>
      <c r="AO344" s="31">
        <f t="shared" si="224"/>
        <v>1.5632670143172558</v>
      </c>
      <c r="AP344" s="58" t="str">
        <f t="shared" si="225"/>
        <v>-0.0456390317211496+0.0128345012318875i</v>
      </c>
      <c r="AQ344" s="49">
        <f t="shared" si="226"/>
        <v>-26.482721581631306</v>
      </c>
      <c r="AR344" s="61">
        <f t="shared" si="227"/>
        <v>164.29307985494805</v>
      </c>
      <c r="AS344" s="58" t="str">
        <f t="shared" si="228"/>
        <v>0.0250433813822113-0.0807575739493818i</v>
      </c>
      <c r="AT344" s="64">
        <f t="shared" si="229"/>
        <v>-21.457573332972082</v>
      </c>
      <c r="AU344" s="61">
        <f t="shared" si="230"/>
        <v>-72.771040475439392</v>
      </c>
    </row>
    <row r="345" spans="14:47" x14ac:dyDescent="0.4">
      <c r="N345" s="10">
        <v>27</v>
      </c>
      <c r="O345" s="50">
        <f t="shared" si="198"/>
        <v>18620.871366628675</v>
      </c>
      <c r="P345" s="48" t="str">
        <f t="shared" si="199"/>
        <v>5120.19230769231</v>
      </c>
      <c r="Q345" s="17" t="str">
        <f t="shared" si="200"/>
        <v>1+546.742454745707i</v>
      </c>
      <c r="R345" s="17">
        <f t="shared" si="208"/>
        <v>546.74336925230432</v>
      </c>
      <c r="S345" s="17">
        <f t="shared" si="209"/>
        <v>1.5689673141103611</v>
      </c>
      <c r="T345" s="17" t="str">
        <f t="shared" si="201"/>
        <v>1+0.00116881386992304i</v>
      </c>
      <c r="U345" s="17">
        <f t="shared" si="210"/>
        <v>1.000000683062698</v>
      </c>
      <c r="V345" s="17">
        <f t="shared" si="211"/>
        <v>1.1688133376745241E-3</v>
      </c>
      <c r="W345" s="31" t="str">
        <f t="shared" si="202"/>
        <v>1-1.89537384311845i</v>
      </c>
      <c r="X345" s="17">
        <f t="shared" si="212"/>
        <v>2.1429983679829538</v>
      </c>
      <c r="Y345" s="17">
        <f t="shared" si="213"/>
        <v>-1.085312976353684</v>
      </c>
      <c r="Z345" s="31" t="str">
        <f t="shared" si="203"/>
        <v>0.861305259818988+11.5399299112349i</v>
      </c>
      <c r="AA345" s="17">
        <f t="shared" si="214"/>
        <v>11.57202787357539</v>
      </c>
      <c r="AB345" s="17">
        <f t="shared" si="215"/>
        <v>1.4962975005243602</v>
      </c>
      <c r="AC345" s="66" t="str">
        <f t="shared" si="216"/>
        <v>-0.925592149004389+1.4666129800749i</v>
      </c>
      <c r="AD345" s="64">
        <f t="shared" si="217"/>
        <v>4.7823082791678937</v>
      </c>
      <c r="AE345" s="61">
        <f t="shared" si="218"/>
        <v>122.25637810691929</v>
      </c>
      <c r="AF345" s="31" t="str">
        <f t="shared" si="204"/>
        <v>-1.39902068552014E-06</v>
      </c>
      <c r="AG345" s="31" t="str">
        <f t="shared" si="205"/>
        <v>0.0038689026076692i</v>
      </c>
      <c r="AH345" s="31">
        <f t="shared" si="219"/>
        <v>3.8689026076692001E-3</v>
      </c>
      <c r="AI345" s="31">
        <f t="shared" si="220"/>
        <v>1.5707963267948966</v>
      </c>
      <c r="AJ345" s="31" t="str">
        <f t="shared" si="206"/>
        <v>1+0.279471454666767i</v>
      </c>
      <c r="AK345" s="31">
        <f t="shared" si="221"/>
        <v>1.0383180119662563</v>
      </c>
      <c r="AL345" s="31">
        <f t="shared" si="222"/>
        <v>0.27251851592515858</v>
      </c>
      <c r="AM345" s="31" t="str">
        <f t="shared" si="207"/>
        <v>1+135.905324454715i</v>
      </c>
      <c r="AN345" s="31">
        <f t="shared" si="223"/>
        <v>135.90900343664268</v>
      </c>
      <c r="AO345" s="31">
        <f t="shared" si="224"/>
        <v>1.5634383961356981</v>
      </c>
      <c r="AP345" s="58" t="str">
        <f t="shared" si="225"/>
        <v>-0.0454902208643922+0.0130748247897691i</v>
      </c>
      <c r="AQ345" s="49">
        <f t="shared" si="226"/>
        <v>-26.496916426607328</v>
      </c>
      <c r="AR345" s="61">
        <f t="shared" si="227"/>
        <v>163.96426082559773</v>
      </c>
      <c r="AS345" s="58" t="str">
        <f t="shared" si="228"/>
        <v>0.0229296835396766-0.0788185035612099i</v>
      </c>
      <c r="AT345" s="64">
        <f t="shared" si="229"/>
        <v>-21.714608147439435</v>
      </c>
      <c r="AU345" s="61">
        <f t="shared" si="230"/>
        <v>-73.779361067483009</v>
      </c>
    </row>
    <row r="346" spans="14:47" x14ac:dyDescent="0.4">
      <c r="N346" s="10">
        <v>28</v>
      </c>
      <c r="O346" s="50">
        <f t="shared" si="198"/>
        <v>19054.607179632505</v>
      </c>
      <c r="P346" s="48" t="str">
        <f t="shared" si="199"/>
        <v>5120.19230769231</v>
      </c>
      <c r="Q346" s="17" t="str">
        <f t="shared" si="200"/>
        <v>1+559.477722523663i</v>
      </c>
      <c r="R346" s="17">
        <f t="shared" si="208"/>
        <v>559.4786162135822</v>
      </c>
      <c r="S346" s="17">
        <f t="shared" si="209"/>
        <v>1.5690089474322642</v>
      </c>
      <c r="T346" s="17" t="str">
        <f t="shared" si="201"/>
        <v>1+0.00119603904237281i</v>
      </c>
      <c r="U346" s="17">
        <f t="shared" si="210"/>
        <v>1.0000007152544397</v>
      </c>
      <c r="V346" s="17">
        <f t="shared" si="211"/>
        <v>1.1960384720582722E-3</v>
      </c>
      <c r="W346" s="31" t="str">
        <f t="shared" si="202"/>
        <v>1-1.93952277141537i</v>
      </c>
      <c r="X346" s="17">
        <f t="shared" si="212"/>
        <v>2.1821431164886409</v>
      </c>
      <c r="Y346" s="17">
        <f t="shared" si="213"/>
        <v>-1.0947540535038169</v>
      </c>
      <c r="Z346" s="31" t="str">
        <f t="shared" si="203"/>
        <v>0.854768778091957+11.8087294095778i</v>
      </c>
      <c r="AA346" s="17">
        <f t="shared" si="214"/>
        <v>11.839624991216086</v>
      </c>
      <c r="AB346" s="17">
        <f t="shared" si="215"/>
        <v>1.4985378672594238</v>
      </c>
      <c r="AC346" s="66" t="str">
        <f t="shared" si="216"/>
        <v>-0.883483791424573+1.43685463623142i</v>
      </c>
      <c r="AD346" s="64">
        <f t="shared" si="217"/>
        <v>4.5409675033632526</v>
      </c>
      <c r="AE346" s="61">
        <f t="shared" si="218"/>
        <v>121.58625514534339</v>
      </c>
      <c r="AF346" s="31" t="str">
        <f t="shared" si="204"/>
        <v>-1.39902068552014E-06</v>
      </c>
      <c r="AG346" s="31" t="str">
        <f t="shared" si="205"/>
        <v>0.00395902092624464i</v>
      </c>
      <c r="AH346" s="31">
        <f t="shared" si="219"/>
        <v>3.9590209262446397E-3</v>
      </c>
      <c r="AI346" s="31">
        <f t="shared" si="220"/>
        <v>1.5707963267948966</v>
      </c>
      <c r="AJ346" s="31" t="str">
        <f t="shared" si="206"/>
        <v>1+0.285981181103014i</v>
      </c>
      <c r="AK346" s="31">
        <f t="shared" si="221"/>
        <v>1.040089051930206</v>
      </c>
      <c r="AL346" s="31">
        <f t="shared" si="222"/>
        <v>0.27854639394564817</v>
      </c>
      <c r="AM346" s="31" t="str">
        <f t="shared" si="207"/>
        <v>1+139.070966128154i</v>
      </c>
      <c r="AN346" s="31">
        <f t="shared" si="223"/>
        <v>139.07456136841907</v>
      </c>
      <c r="AO346" s="31">
        <f t="shared" si="224"/>
        <v>1.5636058772453416</v>
      </c>
      <c r="AP346" s="58" t="str">
        <f t="shared" si="225"/>
        <v>-0.0453354333356768+0.0133184561918913i</v>
      </c>
      <c r="AQ346" s="49">
        <f t="shared" si="226"/>
        <v>-26.511729750361322</v>
      </c>
      <c r="AR346" s="61">
        <f t="shared" si="227"/>
        <v>163.62848481633472</v>
      </c>
      <c r="AS346" s="58" t="str">
        <f t="shared" si="228"/>
        <v>0.0209164350025156-0.0769070677462619i</v>
      </c>
      <c r="AT346" s="64">
        <f t="shared" si="229"/>
        <v>-21.970762246998071</v>
      </c>
      <c r="AU346" s="61">
        <f t="shared" si="230"/>
        <v>-74.785260038321951</v>
      </c>
    </row>
    <row r="347" spans="14:47" x14ac:dyDescent="0.4">
      <c r="N347" s="10">
        <v>29</v>
      </c>
      <c r="O347" s="50">
        <f t="shared" si="198"/>
        <v>19498.445997580486</v>
      </c>
      <c r="P347" s="48" t="str">
        <f t="shared" si="199"/>
        <v>5120.19230769231</v>
      </c>
      <c r="Q347" s="17" t="str">
        <f t="shared" si="200"/>
        <v>1+572.509632795657i</v>
      </c>
      <c r="R347" s="17">
        <f t="shared" si="208"/>
        <v>572.51050614274152</v>
      </c>
      <c r="S347" s="17">
        <f t="shared" si="209"/>
        <v>1.569049633070047</v>
      </c>
      <c r="T347" s="17" t="str">
        <f t="shared" si="201"/>
        <v>1+0.00122389837055427i</v>
      </c>
      <c r="U347" s="17">
        <f t="shared" si="210"/>
        <v>1.0000007489633302</v>
      </c>
      <c r="V347" s="17">
        <f t="shared" si="211"/>
        <v>1.2238977594512574E-3</v>
      </c>
      <c r="W347" s="31" t="str">
        <f t="shared" si="202"/>
        <v>1-1.98470006035828i</v>
      </c>
      <c r="X347" s="17">
        <f t="shared" si="212"/>
        <v>2.2223938286420255</v>
      </c>
      <c r="Y347" s="17">
        <f t="shared" si="213"/>
        <v>-1.104069897226895</v>
      </c>
      <c r="Z347" s="31" t="str">
        <f t="shared" si="203"/>
        <v>0.847924241471776+12.0837900525605i</v>
      </c>
      <c r="AA347" s="17">
        <f t="shared" si="214"/>
        <v>12.113503108252194</v>
      </c>
      <c r="AB347" s="17">
        <f t="shared" si="215"/>
        <v>1.5007407695949297</v>
      </c>
      <c r="AC347" s="66" t="str">
        <f t="shared" si="216"/>
        <v>-0.843243692597537+1.40753305707541i</v>
      </c>
      <c r="AD347" s="64">
        <f t="shared" si="217"/>
        <v>4.3010880916023773</v>
      </c>
      <c r="AE347" s="61">
        <f t="shared" si="218"/>
        <v>120.9255447151598</v>
      </c>
      <c r="AF347" s="31" t="str">
        <f t="shared" si="204"/>
        <v>-1.39902068552014E-06</v>
      </c>
      <c r="AG347" s="31" t="str">
        <f t="shared" si="205"/>
        <v>0.004051238370119i</v>
      </c>
      <c r="AH347" s="31">
        <f t="shared" si="219"/>
        <v>4.0512383701190001E-3</v>
      </c>
      <c r="AI347" s="31">
        <f t="shared" si="220"/>
        <v>1.5707963267948966</v>
      </c>
      <c r="AJ347" s="31" t="str">
        <f t="shared" si="206"/>
        <v>1+0.292642538546885i</v>
      </c>
      <c r="AK347" s="31">
        <f t="shared" si="221"/>
        <v>1.0419403319610798</v>
      </c>
      <c r="AL347" s="31">
        <f t="shared" si="222"/>
        <v>0.28469323663674229</v>
      </c>
      <c r="AM347" s="31" t="str">
        <f t="shared" si="207"/>
        <v>1+142.310345068653i</v>
      </c>
      <c r="AN347" s="31">
        <f t="shared" si="223"/>
        <v>142.31385847330219</v>
      </c>
      <c r="AO347" s="31">
        <f t="shared" si="224"/>
        <v>1.5637695464092831</v>
      </c>
      <c r="AP347" s="58" t="str">
        <f t="shared" si="225"/>
        <v>-0.0451744759002198+0.013565304919081i</v>
      </c>
      <c r="AQ347" s="49">
        <f t="shared" si="226"/>
        <v>-26.527186341659469</v>
      </c>
      <c r="AR347" s="61">
        <f t="shared" si="227"/>
        <v>163.28567422513447</v>
      </c>
      <c r="AS347" s="58" t="str">
        <f t="shared" si="228"/>
        <v>0.0189994767663456-0.0750234259767932i</v>
      </c>
      <c r="AT347" s="64">
        <f t="shared" si="229"/>
        <v>-22.226098250057088</v>
      </c>
      <c r="AU347" s="61">
        <f t="shared" si="230"/>
        <v>-75.788781059705755</v>
      </c>
    </row>
    <row r="348" spans="14:47" x14ac:dyDescent="0.4">
      <c r="N348" s="10">
        <v>30</v>
      </c>
      <c r="O348" s="50">
        <f t="shared" si="198"/>
        <v>19952.623149688792</v>
      </c>
      <c r="P348" s="48" t="str">
        <f t="shared" si="199"/>
        <v>5120.19230769231</v>
      </c>
      <c r="Q348" s="17" t="str">
        <f t="shared" si="200"/>
        <v>1+585.845095253025i</v>
      </c>
      <c r="R348" s="17">
        <f t="shared" si="208"/>
        <v>585.84594872033199</v>
      </c>
      <c r="S348" s="17">
        <f t="shared" si="209"/>
        <v>1.5690893925952345</v>
      </c>
      <c r="T348" s="17" t="str">
        <f t="shared" si="201"/>
        <v>1+0.00125240662585202i</v>
      </c>
      <c r="U348" s="17">
        <f t="shared" si="210"/>
        <v>1.0000007842608707</v>
      </c>
      <c r="V348" s="17">
        <f t="shared" si="211"/>
        <v>1.2524059710433721E-3</v>
      </c>
      <c r="W348" s="31" t="str">
        <f t="shared" si="202"/>
        <v>1-2.03092966354382i</v>
      </c>
      <c r="X348" s="17">
        <f t="shared" si="212"/>
        <v>2.2637745687815767</v>
      </c>
      <c r="Y348" s="17">
        <f t="shared" si="213"/>
        <v>-1.1132589781987559</v>
      </c>
      <c r="Z348" s="31" t="str">
        <f t="shared" si="203"/>
        <v>0.840757131778601+12.3652576809771i</v>
      </c>
      <c r="AA348" s="17">
        <f t="shared" si="214"/>
        <v>12.393807730943696</v>
      </c>
      <c r="AB348" s="17">
        <f t="shared" si="215"/>
        <v>1.5029073190334243</v>
      </c>
      <c r="AC348" s="66" t="str">
        <f t="shared" si="216"/>
        <v>-0.804790114263232+1.37865410050038i</v>
      </c>
      <c r="AD348" s="64">
        <f t="shared" si="217"/>
        <v>4.062632092777684</v>
      </c>
      <c r="AE348" s="61">
        <f t="shared" si="218"/>
        <v>120.27427036615292</v>
      </c>
      <c r="AF348" s="31" t="str">
        <f t="shared" si="204"/>
        <v>-1.39902068552014E-06</v>
      </c>
      <c r="AG348" s="31" t="str">
        <f t="shared" si="205"/>
        <v>0.00414560383420166i</v>
      </c>
      <c r="AH348" s="31">
        <f t="shared" si="219"/>
        <v>4.1456038342016603E-3</v>
      </c>
      <c r="AI348" s="31">
        <f t="shared" si="220"/>
        <v>1.5707963267948966</v>
      </c>
      <c r="AJ348" s="31" t="str">
        <f t="shared" si="206"/>
        <v>1+0.299459058938279i</v>
      </c>
      <c r="AK348" s="31">
        <f t="shared" si="221"/>
        <v>1.0438753412070809</v>
      </c>
      <c r="AL348" s="31">
        <f t="shared" si="222"/>
        <v>0.29096044441719099</v>
      </c>
      <c r="AM348" s="31" t="str">
        <f t="shared" si="207"/>
        <v>1+145.625178837809i</v>
      </c>
      <c r="AN348" s="31">
        <f t="shared" si="223"/>
        <v>145.62861226951196</v>
      </c>
      <c r="AO348" s="31">
        <f t="shared" si="224"/>
        <v>1.5639294903719854</v>
      </c>
      <c r="AP348" s="58" t="str">
        <f t="shared" si="225"/>
        <v>-0.0450071532185201+0.0138152706551955i</v>
      </c>
      <c r="AQ348" s="49">
        <f t="shared" si="226"/>
        <v>-26.543311780690971</v>
      </c>
      <c r="AR348" s="61">
        <f t="shared" si="227"/>
        <v>162.93575378400462</v>
      </c>
      <c r="AS348" s="58" t="str">
        <f t="shared" si="228"/>
        <v>0.0171748324430877-0.0731676895857339i</v>
      </c>
      <c r="AT348" s="64">
        <f t="shared" si="229"/>
        <v>-22.480679687913288</v>
      </c>
      <c r="AU348" s="61">
        <f t="shared" si="230"/>
        <v>-76.789975849842506</v>
      </c>
    </row>
    <row r="349" spans="14:47" x14ac:dyDescent="0.4">
      <c r="N349" s="10">
        <v>31</v>
      </c>
      <c r="O349" s="50">
        <f t="shared" si="198"/>
        <v>20417.379446695286</v>
      </c>
      <c r="P349" s="48" t="str">
        <f t="shared" si="199"/>
        <v>5120.19230769231</v>
      </c>
      <c r="Q349" s="17" t="str">
        <f t="shared" si="200"/>
        <v>1+599.49118053447i</v>
      </c>
      <c r="R349" s="17">
        <f t="shared" si="208"/>
        <v>599.49201457451659</v>
      </c>
      <c r="S349" s="17">
        <f t="shared" si="209"/>
        <v>1.5691282470883501</v>
      </c>
      <c r="T349" s="17" t="str">
        <f t="shared" si="201"/>
        <v>1+0.00128157892372036i</v>
      </c>
      <c r="U349" s="17">
        <f t="shared" si="210"/>
        <v>1.0000008212219316</v>
      </c>
      <c r="V349" s="17">
        <f t="shared" si="211"/>
        <v>1.2815782220802839E-3</v>
      </c>
      <c r="W349" s="31" t="str">
        <f t="shared" si="202"/>
        <v>1-2.07823609251949i</v>
      </c>
      <c r="X349" s="17">
        <f t="shared" si="212"/>
        <v>2.3063098786266072</v>
      </c>
      <c r="Y349" s="17">
        <f t="shared" si="213"/>
        <v>-1.1223199602976857</v>
      </c>
      <c r="Z349" s="31" t="str">
        <f t="shared" si="203"/>
        <v>0.833252246611867+12.6532815326896i</v>
      </c>
      <c r="AA349" s="17">
        <f t="shared" si="214"/>
        <v>12.680687790967312</v>
      </c>
      <c r="AB349" s="17">
        <f t="shared" si="215"/>
        <v>1.5050386114985013</v>
      </c>
      <c r="AC349" s="66" t="str">
        <f t="shared" si="216"/>
        <v>-0.768044793557899+1.35022246193197i</v>
      </c>
      <c r="AD349" s="64">
        <f t="shared" si="217"/>
        <v>3.8255615232085898</v>
      </c>
      <c r="AE349" s="61">
        <f t="shared" si="218"/>
        <v>119.63244551887634</v>
      </c>
      <c r="AF349" s="31" t="str">
        <f t="shared" si="204"/>
        <v>-1.39902068552014E-06</v>
      </c>
      <c r="AG349" s="31" t="str">
        <f t="shared" si="205"/>
        <v>0.00424216735231079i</v>
      </c>
      <c r="AH349" s="31">
        <f t="shared" si="219"/>
        <v>4.2421673523107897E-3</v>
      </c>
      <c r="AI349" s="31">
        <f t="shared" si="220"/>
        <v>1.5707963267948966</v>
      </c>
      <c r="AJ349" s="31" t="str">
        <f t="shared" si="206"/>
        <v>1+0.306434356486529i</v>
      </c>
      <c r="AK349" s="31">
        <f t="shared" si="221"/>
        <v>1.045897707634601</v>
      </c>
      <c r="AL349" s="31">
        <f t="shared" si="222"/>
        <v>0.29734937019741886</v>
      </c>
      <c r="AM349" s="31" t="str">
        <f t="shared" si="207"/>
        <v>1+149.017225004361i</v>
      </c>
      <c r="AN349" s="31">
        <f t="shared" si="223"/>
        <v>149.02058028339692</v>
      </c>
      <c r="AO349" s="31">
        <f t="shared" si="224"/>
        <v>1.5640857939051018</v>
      </c>
      <c r="AP349" s="58" t="str">
        <f t="shared" si="225"/>
        <v>-0.0448332682293216+0.0140682428302394i</v>
      </c>
      <c r="AQ349" s="49">
        <f t="shared" si="226"/>
        <v>-26.560132446930677</v>
      </c>
      <c r="AR349" s="61">
        <f t="shared" si="227"/>
        <v>162.57865083394572</v>
      </c>
      <c r="AS349" s="58" t="str">
        <f t="shared" si="228"/>
        <v>0.0154387007724126-0.0713399264653246i</v>
      </c>
      <c r="AT349" s="64">
        <f t="shared" si="229"/>
        <v>-22.734570923722085</v>
      </c>
      <c r="AU349" s="61">
        <f t="shared" si="230"/>
        <v>-77.788903647177946</v>
      </c>
    </row>
    <row r="350" spans="14:47" x14ac:dyDescent="0.4">
      <c r="N350" s="10">
        <v>32</v>
      </c>
      <c r="O350" s="50">
        <f t="shared" si="198"/>
        <v>20892.961308540423</v>
      </c>
      <c r="P350" s="48" t="str">
        <f t="shared" si="199"/>
        <v>5120.19230769231</v>
      </c>
      <c r="Q350" s="17" t="str">
        <f t="shared" si="200"/>
        <v>1+613.455123975043i</v>
      </c>
      <c r="R350" s="17">
        <f t="shared" si="208"/>
        <v>613.4559390300459</v>
      </c>
      <c r="S350" s="17">
        <f t="shared" si="209"/>
        <v>1.5691662171500906</v>
      </c>
      <c r="T350" s="17" t="str">
        <f t="shared" si="201"/>
        <v>1+0.00131143073169776i</v>
      </c>
      <c r="U350" s="17">
        <f t="shared" si="210"/>
        <v>1.0000008599249122</v>
      </c>
      <c r="V350" s="17">
        <f t="shared" si="211"/>
        <v>1.3114299798769079E-3</v>
      </c>
      <c r="W350" s="31" t="str">
        <f t="shared" si="202"/>
        <v>1-2.12664442978015i</v>
      </c>
      <c r="X350" s="17">
        <f t="shared" si="212"/>
        <v>2.3500247936383434</v>
      </c>
      <c r="Y350" s="17">
        <f t="shared" si="213"/>
        <v>-1.1312516954472027</v>
      </c>
      <c r="Z350" s="31" t="str">
        <f t="shared" si="203"/>
        <v>0.825393667103932+12.9480143217568i</v>
      </c>
      <c r="AA350" s="17">
        <f t="shared" si="214"/>
        <v>12.974295725861751</v>
      </c>
      <c r="AB350" s="17">
        <f t="shared" si="215"/>
        <v>1.5071357276726738</v>
      </c>
      <c r="AC350" s="66" t="str">
        <f t="shared" si="216"/>
        <v>-0.732932804111331+1.32224176669322i</v>
      </c>
      <c r="AD350" s="64">
        <f t="shared" si="217"/>
        <v>3.5898384505269485</v>
      </c>
      <c r="AE350" s="61">
        <f t="shared" si="218"/>
        <v>119.00007374059896</v>
      </c>
      <c r="AF350" s="31" t="str">
        <f t="shared" si="204"/>
        <v>-1.39902068552014E-06</v>
      </c>
      <c r="AG350" s="31" t="str">
        <f t="shared" si="205"/>
        <v>0.00434098012370184i</v>
      </c>
      <c r="AH350" s="31">
        <f t="shared" si="219"/>
        <v>4.3409801237018399E-3</v>
      </c>
      <c r="AI350" s="31">
        <f t="shared" si="220"/>
        <v>1.5707963267948966</v>
      </c>
      <c r="AJ350" s="31" t="str">
        <f t="shared" si="206"/>
        <v>1+0.313572129586729i</v>
      </c>
      <c r="AK350" s="31">
        <f t="shared" si="221"/>
        <v>1.0480112024465942</v>
      </c>
      <c r="AL350" s="31">
        <f t="shared" si="222"/>
        <v>0.30386131441354175</v>
      </c>
      <c r="AM350" s="31" t="str">
        <f t="shared" si="207"/>
        <v>1+152.488282076088i</v>
      </c>
      <c r="AN350" s="31">
        <f t="shared" si="223"/>
        <v>152.49156098130999</v>
      </c>
      <c r="AO350" s="31">
        <f t="shared" si="224"/>
        <v>1.5642385398522685</v>
      </c>
      <c r="AP350" s="58" t="str">
        <f t="shared" si="225"/>
        <v>-0.0446526225743299+0.0143241001663395i</v>
      </c>
      <c r="AQ350" s="49">
        <f t="shared" si="226"/>
        <v>-26.577675525351335</v>
      </c>
      <c r="AR350" s="61">
        <f t="shared" si="227"/>
        <v>162.21429561204786</v>
      </c>
      <c r="AS350" s="58" t="str">
        <f t="shared" si="228"/>
        <v>0.0137874483640971-0.0695401654614543i</v>
      </c>
      <c r="AT350" s="64">
        <f t="shared" si="229"/>
        <v>-22.987837074824387</v>
      </c>
      <c r="AU350" s="61">
        <f t="shared" si="230"/>
        <v>-78.785630647353244</v>
      </c>
    </row>
    <row r="351" spans="14:47" x14ac:dyDescent="0.4">
      <c r="N351" s="10">
        <v>33</v>
      </c>
      <c r="O351" s="50">
        <f t="shared" si="198"/>
        <v>21379.620895022348</v>
      </c>
      <c r="P351" s="48" t="str">
        <f t="shared" si="199"/>
        <v>5120.19230769231</v>
      </c>
      <c r="Q351" s="17" t="str">
        <f t="shared" si="200"/>
        <v>1+627.744329442381i</v>
      </c>
      <c r="R351" s="17">
        <f t="shared" si="208"/>
        <v>627.74512594449072</v>
      </c>
      <c r="S351" s="17">
        <f t="shared" si="209"/>
        <v>1.5692033229122475</v>
      </c>
      <c r="T351" s="17" t="str">
        <f t="shared" si="201"/>
        <v>1+0.00134197787760793i</v>
      </c>
      <c r="U351" s="17">
        <f t="shared" si="210"/>
        <v>1.0000009004519066</v>
      </c>
      <c r="V351" s="17">
        <f t="shared" si="211"/>
        <v>1.3419770720174121E-3</v>
      </c>
      <c r="W351" s="31" t="str">
        <f t="shared" si="202"/>
        <v>1-2.17618034206692i</v>
      </c>
      <c r="X351" s="17">
        <f t="shared" si="212"/>
        <v>2.3949448597407201</v>
      </c>
      <c r="Y351" s="17">
        <f t="shared" si="213"/>
        <v>-1.1400532180743219</v>
      </c>
      <c r="Z351" s="31" t="str">
        <f t="shared" si="203"/>
        <v>0.817164724154049+13.2496123194046i</v>
      </c>
      <c r="AA351" s="17">
        <f t="shared" si="214"/>
        <v>13.274787561423343</v>
      </c>
      <c r="AB351" s="17">
        <f t="shared" si="215"/>
        <v>1.5091997333426781</v>
      </c>
      <c r="AC351" s="66" t="str">
        <f t="shared" si="216"/>
        <v>-0.699382421904129+1.29471465616394i</v>
      </c>
      <c r="AD351" s="64">
        <f t="shared" si="217"/>
        <v>3.35542507245925</v>
      </c>
      <c r="AE351" s="61">
        <f t="shared" si="218"/>
        <v>118.37714904288269</v>
      </c>
      <c r="AF351" s="31" t="str">
        <f t="shared" si="204"/>
        <v>-1.39902068552014E-06</v>
      </c>
      <c r="AG351" s="31" t="str">
        <f t="shared" si="205"/>
        <v>0.00444209454021413i</v>
      </c>
      <c r="AH351" s="31">
        <f t="shared" si="219"/>
        <v>4.4420945402141301E-3</v>
      </c>
      <c r="AI351" s="31">
        <f t="shared" si="220"/>
        <v>1.5707963267948966</v>
      </c>
      <c r="AJ351" s="31" t="str">
        <f t="shared" si="206"/>
        <v>1+0.320876162780652i</v>
      </c>
      <c r="AK351" s="31">
        <f t="shared" si="221"/>
        <v>1.0502197445491279</v>
      </c>
      <c r="AL351" s="31">
        <f t="shared" si="222"/>
        <v>0.31049751985044238</v>
      </c>
      <c r="AM351" s="31" t="str">
        <f t="shared" si="207"/>
        <v>1+156.040190453391i</v>
      </c>
      <c r="AN351" s="31">
        <f t="shared" si="223"/>
        <v>156.04339472316838</v>
      </c>
      <c r="AO351" s="31">
        <f t="shared" si="224"/>
        <v>1.5643878091728816</v>
      </c>
      <c r="AP351" s="58" t="str">
        <f t="shared" si="225"/>
        <v>-0.0444650170665107+0.0145827102295238i</v>
      </c>
      <c r="AQ351" s="49">
        <f t="shared" si="226"/>
        <v>-26.595969010815548</v>
      </c>
      <c r="AR351" s="61">
        <f t="shared" si="227"/>
        <v>161.84262155061353</v>
      </c>
      <c r="AS351" s="58" t="str">
        <f t="shared" si="228"/>
        <v>0.0122176026652284-0.0677684004808416i</v>
      </c>
      <c r="AT351" s="64">
        <f t="shared" si="229"/>
        <v>-23.240543938356296</v>
      </c>
      <c r="AU351" s="61">
        <f t="shared" si="230"/>
        <v>-79.780229406503778</v>
      </c>
    </row>
    <row r="352" spans="14:47" x14ac:dyDescent="0.4">
      <c r="N352" s="10">
        <v>34</v>
      </c>
      <c r="O352" s="50">
        <f t="shared" si="198"/>
        <v>21877.61623949555</v>
      </c>
      <c r="P352" s="48" t="str">
        <f t="shared" si="199"/>
        <v>5120.19230769231</v>
      </c>
      <c r="Q352" s="17" t="str">
        <f t="shared" si="200"/>
        <v>1+642.36637326237i</v>
      </c>
      <c r="R352" s="17">
        <f t="shared" si="208"/>
        <v>642.36715163390045</v>
      </c>
      <c r="S352" s="17">
        <f t="shared" si="209"/>
        <v>1.5692395840483777</v>
      </c>
      <c r="T352" s="17" t="str">
        <f t="shared" si="201"/>
        <v>1+0.001373236557952i</v>
      </c>
      <c r="U352" s="17">
        <f t="shared" si="210"/>
        <v>1.0000009428888776</v>
      </c>
      <c r="V352" s="17">
        <f t="shared" si="211"/>
        <v>1.3732356947462521E-3</v>
      </c>
      <c r="W352" s="31" t="str">
        <f t="shared" si="202"/>
        <v>1-2.22687009397621i</v>
      </c>
      <c r="X352" s="17">
        <f t="shared" si="212"/>
        <v>2.4410961503893311</v>
      </c>
      <c r="Y352" s="17">
        <f t="shared" si="213"/>
        <v>-1.1487237392365768</v>
      </c>
      <c r="Z352" s="31" t="str">
        <f t="shared" si="203"/>
        <v>0.808547963070944+13.5582354368834i</v>
      </c>
      <c r="AA352" s="17">
        <f t="shared" si="214"/>
        <v>13.582322996105894</v>
      </c>
      <c r="AB352" s="17">
        <f t="shared" si="215"/>
        <v>1.511231679751432</v>
      </c>
      <c r="AC352" s="66" t="str">
        <f t="shared" si="216"/>
        <v>-0.667324995795432+1.26764286811804i</v>
      </c>
      <c r="AD352" s="64">
        <f t="shared" si="217"/>
        <v>3.1222837904486331</v>
      </c>
      <c r="AE352" s="61">
        <f t="shared" si="218"/>
        <v>117.76365619778333</v>
      </c>
      <c r="AF352" s="31" t="str">
        <f t="shared" si="204"/>
        <v>-1.39902068552014E-06</v>
      </c>
      <c r="AG352" s="31" t="str">
        <f t="shared" si="205"/>
        <v>0.00454556421404972i</v>
      </c>
      <c r="AH352" s="31">
        <f t="shared" si="219"/>
        <v>4.54556421404972E-3</v>
      </c>
      <c r="AI352" s="31">
        <f t="shared" si="220"/>
        <v>1.5707963267948966</v>
      </c>
      <c r="AJ352" s="31" t="str">
        <f t="shared" si="206"/>
        <v>1+0.32835032876338i</v>
      </c>
      <c r="AK352" s="31">
        <f t="shared" si="221"/>
        <v>1.0525274050584239</v>
      </c>
      <c r="AL352" s="31">
        <f t="shared" si="222"/>
        <v>0.3172591662574365</v>
      </c>
      <c r="AM352" s="31" t="str">
        <f t="shared" si="207"/>
        <v>1+159.674833405109i</v>
      </c>
      <c r="AN352" s="31">
        <f t="shared" si="223"/>
        <v>159.67796473824848</v>
      </c>
      <c r="AO352" s="31">
        <f t="shared" si="224"/>
        <v>1.5645336809848882</v>
      </c>
      <c r="AP352" s="58" t="str">
        <f t="shared" si="225"/>
        <v>-0.0442702522037074+0.0148439289905728i</v>
      </c>
      <c r="AQ352" s="49">
        <f t="shared" si="226"/>
        <v>-26.615041710462705</v>
      </c>
      <c r="AR352" s="61">
        <f t="shared" si="227"/>
        <v>161.46356558811084</v>
      </c>
      <c r="AS352" s="58" t="str">
        <f t="shared" si="228"/>
        <v>0.0107258451459515-0.0660245943270383i</v>
      </c>
      <c r="AT352" s="64">
        <f t="shared" si="229"/>
        <v>-23.492757920014071</v>
      </c>
      <c r="AU352" s="61">
        <f t="shared" si="230"/>
        <v>-80.772778214105827</v>
      </c>
    </row>
    <row r="353" spans="14:47" x14ac:dyDescent="0.4">
      <c r="N353" s="10">
        <v>35</v>
      </c>
      <c r="O353" s="50">
        <f t="shared" si="198"/>
        <v>22387.211385683382</v>
      </c>
      <c r="P353" s="48" t="str">
        <f t="shared" si="199"/>
        <v>5120.19230769231</v>
      </c>
      <c r="Q353" s="17" t="str">
        <f t="shared" si="200"/>
        <v>1+657.329008236183i</v>
      </c>
      <c r="R353" s="17">
        <f t="shared" si="208"/>
        <v>657.32976888983501</v>
      </c>
      <c r="S353" s="17">
        <f t="shared" si="209"/>
        <v>1.569275019784234</v>
      </c>
      <c r="T353" s="17" t="str">
        <f t="shared" si="201"/>
        <v>1+0.00140522334649602i</v>
      </c>
      <c r="U353" s="17">
        <f t="shared" si="210"/>
        <v>1.0000009873258393</v>
      </c>
      <c r="V353" s="17">
        <f t="shared" si="211"/>
        <v>1.4052224215544459E-3</v>
      </c>
      <c r="W353" s="31" t="str">
        <f t="shared" si="202"/>
        <v>1-2.27874056188543i</v>
      </c>
      <c r="X353" s="17">
        <f t="shared" si="212"/>
        <v>2.4885052839770956</v>
      </c>
      <c r="Y353" s="17">
        <f t="shared" si="213"/>
        <v>-1.1572626404691861</v>
      </c>
      <c r="Z353" s="31" t="str">
        <f t="shared" si="203"/>
        <v>0.799525106549092+13.8740473102554i</v>
      </c>
      <c r="AA353" s="17">
        <f t="shared" si="214"/>
        <v>13.897065487476389</v>
      </c>
      <c r="AB353" s="17">
        <f t="shared" si="215"/>
        <v>1.5132326039558956</v>
      </c>
      <c r="AC353" s="66" t="str">
        <f t="shared" si="216"/>
        <v>-0.636694822625936+1.24102731160099i</v>
      </c>
      <c r="AD353" s="64">
        <f t="shared" si="217"/>
        <v>2.8903772781008548</v>
      </c>
      <c r="AE353" s="61">
        <f t="shared" si="218"/>
        <v>117.15957106977251</v>
      </c>
      <c r="AF353" s="31" t="str">
        <f t="shared" si="204"/>
        <v>-1.39902068552014E-06</v>
      </c>
      <c r="AG353" s="31" t="str">
        <f t="shared" si="205"/>
        <v>0.00465144400619924i</v>
      </c>
      <c r="AH353" s="31">
        <f t="shared" si="219"/>
        <v>4.6514440061992401E-3</v>
      </c>
      <c r="AI353" s="31">
        <f t="shared" si="220"/>
        <v>1.5707963267948966</v>
      </c>
      <c r="AJ353" s="31" t="str">
        <f t="shared" si="206"/>
        <v>1+0.335998590436647i</v>
      </c>
      <c r="AK353" s="31">
        <f t="shared" si="221"/>
        <v>1.0549384118399583</v>
      </c>
      <c r="AL353" s="31">
        <f t="shared" si="222"/>
        <v>0.32414736476153694</v>
      </c>
      <c r="AM353" s="31" t="str">
        <f t="shared" si="207"/>
        <v>1+163.394138067045i</v>
      </c>
      <c r="AN353" s="31">
        <f t="shared" si="223"/>
        <v>163.39719812369049</v>
      </c>
      <c r="AO353" s="31">
        <f t="shared" si="224"/>
        <v>1.5646762326066082</v>
      </c>
      <c r="AP353" s="58" t="str">
        <f t="shared" si="225"/>
        <v>-0.0440681287291195+0.0151076003985202i</v>
      </c>
      <c r="AQ353" s="49">
        <f t="shared" si="226"/>
        <v>-26.63492324390543</v>
      </c>
      <c r="AR353" s="61">
        <f t="shared" si="227"/>
        <v>161.07706849166493</v>
      </c>
      <c r="AS353" s="58" t="str">
        <f t="shared" si="228"/>
        <v>0.00930900469732608-0.0643086822800249i</v>
      </c>
      <c r="AT353" s="64">
        <f t="shared" si="229"/>
        <v>-23.744545965804569</v>
      </c>
      <c r="AU353" s="61">
        <f t="shared" si="230"/>
        <v>-81.763360438562557</v>
      </c>
    </row>
    <row r="354" spans="14:47" x14ac:dyDescent="0.4">
      <c r="N354" s="10">
        <v>36</v>
      </c>
      <c r="O354" s="50">
        <f t="shared" si="198"/>
        <v>22908.676527677751</v>
      </c>
      <c r="P354" s="48" t="str">
        <f t="shared" si="199"/>
        <v>5120.19230769231</v>
      </c>
      <c r="Q354" s="17" t="str">
        <f t="shared" si="200"/>
        <v>1+672.640167750949i</v>
      </c>
      <c r="R354" s="17">
        <f t="shared" si="208"/>
        <v>672.64091109002925</v>
      </c>
      <c r="S354" s="17">
        <f t="shared" si="209"/>
        <v>1.5693096489079568</v>
      </c>
      <c r="T354" s="17" t="str">
        <f t="shared" si="201"/>
        <v>1+0.0014379552030587i</v>
      </c>
      <c r="U354" s="17">
        <f t="shared" si="210"/>
        <v>1.0000010338570486</v>
      </c>
      <c r="V354" s="17">
        <f t="shared" si="211"/>
        <v>1.4379542119660024E-3</v>
      </c>
      <c r="W354" s="31" t="str">
        <f t="shared" si="202"/>
        <v>1-2.33181924820329i</v>
      </c>
      <c r="X354" s="17">
        <f t="shared" si="212"/>
        <v>2.5371994415676817</v>
      </c>
      <c r="Y354" s="17">
        <f t="shared" si="213"/>
        <v>-1.1656694674019852</v>
      </c>
      <c r="Z354" s="31" t="str">
        <f t="shared" si="203"/>
        <v>0.790077015900089+14.197215387156i</v>
      </c>
      <c r="AA354" s="17">
        <f t="shared" si="214"/>
        <v>14.219182340780101</v>
      </c>
      <c r="AB354" s="17">
        <f t="shared" si="215"/>
        <v>1.5152035291901533</v>
      </c>
      <c r="AC354" s="66" t="str">
        <f t="shared" si="216"/>
        <v>-0.607429026795614+1.2148681366892i</v>
      </c>
      <c r="AD354" s="64">
        <f t="shared" si="217"/>
        <v>2.6596685444755099</v>
      </c>
      <c r="AE354" s="61">
        <f t="shared" si="218"/>
        <v>116.56486096057637</v>
      </c>
      <c r="AF354" s="31" t="str">
        <f t="shared" si="204"/>
        <v>-1.39902068552014E-06</v>
      </c>
      <c r="AG354" s="31" t="str">
        <f t="shared" si="205"/>
        <v>0.00475979005553001i</v>
      </c>
      <c r="AH354" s="31">
        <f t="shared" si="219"/>
        <v>4.7597900555300101E-3</v>
      </c>
      <c r="AI354" s="31">
        <f t="shared" si="220"/>
        <v>1.5707963267948966</v>
      </c>
      <c r="AJ354" s="31" t="str">
        <f t="shared" si="206"/>
        <v>1+0.343825003010034i</v>
      </c>
      <c r="AK354" s="31">
        <f t="shared" si="221"/>
        <v>1.0574571540704851</v>
      </c>
      <c r="AL354" s="31">
        <f t="shared" si="222"/>
        <v>0.33116315208517882</v>
      </c>
      <c r="AM354" s="31" t="str">
        <f t="shared" si="207"/>
        <v>1+167.200076463762i</v>
      </c>
      <c r="AN354" s="31">
        <f t="shared" si="223"/>
        <v>167.2030668662745</v>
      </c>
      <c r="AO354" s="31">
        <f t="shared" si="224"/>
        <v>1.5648155395976104</v>
      </c>
      <c r="AP354" s="58" t="str">
        <f t="shared" si="225"/>
        <v>-0.0438584482400012+0.0153735559707014i</v>
      </c>
      <c r="AQ354" s="49">
        <f t="shared" si="226"/>
        <v>-26.655644041040759</v>
      </c>
      <c r="AR354" s="61">
        <f t="shared" si="227"/>
        <v>160.6830751906999</v>
      </c>
      <c r="AS354" s="58" t="str">
        <f t="shared" si="228"/>
        <v>0.0079640512347766-0.062620575433081i</v>
      </c>
      <c r="AT354" s="64">
        <f t="shared" si="229"/>
        <v>-23.995975496565258</v>
      </c>
      <c r="AU354" s="61">
        <f t="shared" si="230"/>
        <v>-82.752063848723722</v>
      </c>
    </row>
    <row r="355" spans="14:47" x14ac:dyDescent="0.4">
      <c r="N355" s="10">
        <v>37</v>
      </c>
      <c r="O355" s="50">
        <f t="shared" si="198"/>
        <v>23442.288153199243</v>
      </c>
      <c r="P355" s="48" t="str">
        <f t="shared" si="199"/>
        <v>5120.19230769231</v>
      </c>
      <c r="Q355" s="17" t="str">
        <f t="shared" si="200"/>
        <v>1+688.307969986097i</v>
      </c>
      <c r="R355" s="17">
        <f t="shared" si="208"/>
        <v>688.30869640473213</v>
      </c>
      <c r="S355" s="17">
        <f t="shared" si="209"/>
        <v>1.5693434897800329</v>
      </c>
      <c r="T355" s="17" t="str">
        <f t="shared" si="201"/>
        <v>1+0.00147144948250361i</v>
      </c>
      <c r="U355" s="17">
        <f t="shared" si="210"/>
        <v>1.0000010825812038</v>
      </c>
      <c r="V355" s="17">
        <f t="shared" si="211"/>
        <v>1.4714484205287134E-3</v>
      </c>
      <c r="W355" s="31" t="str">
        <f t="shared" si="202"/>
        <v>1-2.3861342959518i</v>
      </c>
      <c r="X355" s="17">
        <f t="shared" si="212"/>
        <v>2.5872063849483276</v>
      </c>
      <c r="Y355" s="17">
        <f t="shared" si="213"/>
        <v>-1.1739439231933098</v>
      </c>
      <c r="Z355" s="31" t="str">
        <f t="shared" si="203"/>
        <v>0.780183650456948+14.5279110155773i</v>
      </c>
      <c r="AA355" s="17">
        <f t="shared" si="214"/>
        <v>14.548844799673017</v>
      </c>
      <c r="AB355" s="17">
        <f t="shared" si="215"/>
        <v>1.5171454652330956</v>
      </c>
      <c r="AC355" s="66" t="str">
        <f t="shared" si="216"/>
        <v>-0.5794674442115+1.18916479945297i</v>
      </c>
      <c r="AD355" s="64">
        <f t="shared" si="217"/>
        <v>2.4301209922748401</v>
      </c>
      <c r="AE355" s="61">
        <f t="shared" si="218"/>
        <v>115.9794849642647</v>
      </c>
      <c r="AF355" s="31" t="str">
        <f t="shared" si="204"/>
        <v>-1.39902068552014E-06</v>
      </c>
      <c r="AG355" s="31" t="str">
        <f t="shared" si="205"/>
        <v>0.00487065980855148i</v>
      </c>
      <c r="AH355" s="31">
        <f t="shared" si="219"/>
        <v>4.8706598085514804E-3</v>
      </c>
      <c r="AI355" s="31">
        <f t="shared" si="220"/>
        <v>1.5707963267948966</v>
      </c>
      <c r="AJ355" s="31" t="str">
        <f t="shared" si="206"/>
        <v>1+0.351833716151077i</v>
      </c>
      <c r="AK355" s="31">
        <f t="shared" si="221"/>
        <v>1.0600881868130956</v>
      </c>
      <c r="AL355" s="31">
        <f t="shared" si="222"/>
        <v>0.33830748457708476</v>
      </c>
      <c r="AM355" s="31" t="str">
        <f t="shared" si="207"/>
        <v>1+171.094666554174i</v>
      </c>
      <c r="AN355" s="31">
        <f t="shared" si="223"/>
        <v>171.09758888799101</v>
      </c>
      <c r="AO355" s="31">
        <f t="shared" si="224"/>
        <v>1.5649516757986657</v>
      </c>
      <c r="AP355" s="58" t="str">
        <f t="shared" si="225"/>
        <v>-0.0436410138456928+0.0156416144035685i</v>
      </c>
      <c r="AQ355" s="49">
        <f t="shared" si="226"/>
        <v>-26.677235337276656</v>
      </c>
      <c r="AR355" s="61">
        <f t="shared" si="227"/>
        <v>160.28153512123481</v>
      </c>
      <c r="AS355" s="58" t="str">
        <f t="shared" si="228"/>
        <v>0.00668808950062207-0.0609601637995152i</v>
      </c>
      <c r="AT355" s="64">
        <f t="shared" si="229"/>
        <v>-24.247114345001815</v>
      </c>
      <c r="AU355" s="61">
        <f t="shared" si="230"/>
        <v>-83.738979914500476</v>
      </c>
    </row>
    <row r="356" spans="14:47" x14ac:dyDescent="0.4">
      <c r="N356" s="10">
        <v>38</v>
      </c>
      <c r="O356" s="50">
        <f t="shared" si="198"/>
        <v>23988.329190194923</v>
      </c>
      <c r="P356" s="48" t="str">
        <f t="shared" si="199"/>
        <v>5120.19230769231</v>
      </c>
      <c r="Q356" s="17" t="str">
        <f t="shared" si="200"/>
        <v>1+704.340722217763i</v>
      </c>
      <c r="R356" s="17">
        <f t="shared" si="208"/>
        <v>704.34143210110813</v>
      </c>
      <c r="S356" s="17">
        <f t="shared" si="209"/>
        <v>1.569376560343031</v>
      </c>
      <c r="T356" s="17" t="str">
        <f t="shared" si="201"/>
        <v>1+0.00150572394394109i</v>
      </c>
      <c r="U356" s="17">
        <f t="shared" si="210"/>
        <v>1.0000011336016552</v>
      </c>
      <c r="V356" s="17">
        <f t="shared" si="211"/>
        <v>1.5057228060145562E-3</v>
      </c>
      <c r="W356" s="31" t="str">
        <f t="shared" si="202"/>
        <v>1-2.44171450368824i</v>
      </c>
      <c r="X356" s="17">
        <f t="shared" si="212"/>
        <v>2.6385544749960177</v>
      </c>
      <c r="Y356" s="17">
        <f t="shared" si="213"/>
        <v>-1.1820858618256889</v>
      </c>
      <c r="Z356" s="31" t="str">
        <f t="shared" si="203"/>
        <v>0.769824025065136+14.8663095347186i</v>
      </c>
      <c r="AA356" s="17">
        <f t="shared" si="214"/>
        <v>14.886228139177254</v>
      </c>
      <c r="AB356" s="17">
        <f t="shared" si="215"/>
        <v>1.5190594087801246</v>
      </c>
      <c r="AC356" s="66" t="str">
        <f t="shared" si="216"/>
        <v>-0.552752510497557+1.16391612242653i</v>
      </c>
      <c r="AD356" s="64">
        <f t="shared" si="217"/>
        <v>2.2016984710148217</v>
      </c>
      <c r="AE356" s="61">
        <f t="shared" si="218"/>
        <v>115.40339433005164</v>
      </c>
      <c r="AF356" s="31" t="str">
        <f t="shared" si="204"/>
        <v>-1.39902068552014E-06</v>
      </c>
      <c r="AG356" s="31" t="str">
        <f t="shared" si="205"/>
        <v>0.00498411204987425i</v>
      </c>
      <c r="AH356" s="31">
        <f t="shared" si="219"/>
        <v>4.9841120498742503E-3</v>
      </c>
      <c r="AI356" s="31">
        <f t="shared" si="220"/>
        <v>1.5707963267948966</v>
      </c>
      <c r="AJ356" s="31" t="str">
        <f t="shared" si="206"/>
        <v>1+0.360028976185492i</v>
      </c>
      <c r="AK356" s="31">
        <f t="shared" si="221"/>
        <v>1.0628362355947287</v>
      </c>
      <c r="AL356" s="31">
        <f t="shared" si="222"/>
        <v>0.34558123206710878</v>
      </c>
      <c r="AM356" s="31" t="str">
        <f t="shared" si="207"/>
        <v>1+175.079973301498i</v>
      </c>
      <c r="AN356" s="31">
        <f t="shared" si="223"/>
        <v>175.08282911597371</v>
      </c>
      <c r="AO356" s="31">
        <f t="shared" si="224"/>
        <v>1.5650847133707939</v>
      </c>
      <c r="AP356" s="58" t="str">
        <f t="shared" si="225"/>
        <v>-0.0434156308758017+0.0159115812088114i</v>
      </c>
      <c r="AQ356" s="49">
        <f t="shared" si="226"/>
        <v>-26.699729165971835</v>
      </c>
      <c r="AR356" s="61">
        <f t="shared" si="227"/>
        <v>159.87240258021231</v>
      </c>
      <c r="AS356" s="58" t="str">
        <f t="shared" si="228"/>
        <v>0.00547835305920004-0.0593273192008209i</v>
      </c>
      <c r="AT356" s="64">
        <f t="shared" si="229"/>
        <v>-24.498030694957013</v>
      </c>
      <c r="AU356" s="61">
        <f t="shared" si="230"/>
        <v>-84.724203089736022</v>
      </c>
    </row>
    <row r="357" spans="14:47" x14ac:dyDescent="0.4">
      <c r="N357" s="10">
        <v>39</v>
      </c>
      <c r="O357" s="50">
        <f t="shared" si="198"/>
        <v>24547.089156850321</v>
      </c>
      <c r="P357" s="48" t="str">
        <f t="shared" si="199"/>
        <v>5120.19230769231</v>
      </c>
      <c r="Q357" s="17" t="str">
        <f t="shared" si="200"/>
        <v>1+720.7469252234i</v>
      </c>
      <c r="R357" s="17">
        <f t="shared" si="208"/>
        <v>720.74761894784319</v>
      </c>
      <c r="S357" s="17">
        <f t="shared" si="209"/>
        <v>1.5694088781311113</v>
      </c>
      <c r="T357" s="17" t="str">
        <f t="shared" si="201"/>
        <v>1+0.00154079676014425i</v>
      </c>
      <c r="U357" s="17">
        <f t="shared" si="210"/>
        <v>1.0000011870266234</v>
      </c>
      <c r="V357" s="17">
        <f t="shared" si="211"/>
        <v>1.5407955408340793E-3</v>
      </c>
      <c r="W357" s="31" t="str">
        <f t="shared" si="202"/>
        <v>1-2.49858934077445i</v>
      </c>
      <c r="X357" s="17">
        <f t="shared" si="212"/>
        <v>2.6912726903514814</v>
      </c>
      <c r="Y357" s="17">
        <f t="shared" si="213"/>
        <v>-1.1900952813053474</v>
      </c>
      <c r="Z357" s="31" t="str">
        <f t="shared" si="203"/>
        <v>0.758976165570257+15.212590367954i</v>
      </c>
      <c r="AA357" s="17">
        <f t="shared" si="214"/>
        <v>15.231511760920863</v>
      </c>
      <c r="AB357" s="17">
        <f t="shared" si="215"/>
        <v>1.5209463438183566</v>
      </c>
      <c r="AC357" s="66" t="str">
        <f t="shared" si="216"/>
        <v>-0.527229153356237+1.13912035087043i</v>
      </c>
      <c r="AD357" s="64">
        <f t="shared" si="217"/>
        <v>1.9743653252871094</v>
      </c>
      <c r="AE357" s="61">
        <f t="shared" si="218"/>
        <v>114.8365328304323</v>
      </c>
      <c r="AF357" s="31" t="str">
        <f t="shared" si="204"/>
        <v>-1.39902068552014E-06</v>
      </c>
      <c r="AG357" s="31" t="str">
        <f t="shared" si="205"/>
        <v>0.00510020693337838i</v>
      </c>
      <c r="AH357" s="31">
        <f t="shared" si="219"/>
        <v>5.1002069333783802E-3</v>
      </c>
      <c r="AI357" s="31">
        <f t="shared" si="220"/>
        <v>1.5707963267948966</v>
      </c>
      <c r="AJ357" s="31" t="str">
        <f t="shared" si="206"/>
        <v>1+0.368415128348628i</v>
      </c>
      <c r="AK357" s="31">
        <f t="shared" si="221"/>
        <v>1.0657062009747977</v>
      </c>
      <c r="AL357" s="31">
        <f t="shared" si="222"/>
        <v>0.35298517155799503</v>
      </c>
      <c r="AM357" s="31" t="str">
        <f t="shared" si="207"/>
        <v>1+179.158109768124i</v>
      </c>
      <c r="AN357" s="31">
        <f t="shared" si="223"/>
        <v>179.16090057735019</v>
      </c>
      <c r="AO357" s="31">
        <f t="shared" si="224"/>
        <v>1.5652147228334288</v>
      </c>
      <c r="AP357" s="58" t="str">
        <f t="shared" si="225"/>
        <v>-0.0431821076390232+0.01618324837963i</v>
      </c>
      <c r="AQ357" s="49">
        <f t="shared" si="226"/>
        <v>-26.723158347882841</v>
      </c>
      <c r="AR357" s="61">
        <f t="shared" si="227"/>
        <v>159.45563708911988</v>
      </c>
      <c r="AS357" s="58" t="str">
        <f t="shared" si="228"/>
        <v>0.00433219847823265-0.0577218979468348i</v>
      </c>
      <c r="AT357" s="64">
        <f t="shared" si="229"/>
        <v>-24.748793022595731</v>
      </c>
      <c r="AU357" s="61">
        <f t="shared" si="230"/>
        <v>-85.70783008044782</v>
      </c>
    </row>
    <row r="358" spans="14:47" x14ac:dyDescent="0.4">
      <c r="N358" s="10">
        <v>40</v>
      </c>
      <c r="O358" s="50">
        <f t="shared" si="198"/>
        <v>25118.86431509586</v>
      </c>
      <c r="P358" s="48" t="str">
        <f t="shared" si="199"/>
        <v>5120.19230769231</v>
      </c>
      <c r="Q358" s="17" t="str">
        <f t="shared" si="200"/>
        <v>1+737.535277789009i</v>
      </c>
      <c r="R358" s="17">
        <f t="shared" si="208"/>
        <v>737.53595572237066</v>
      </c>
      <c r="S358" s="17">
        <f t="shared" si="209"/>
        <v>1.5694404602793228</v>
      </c>
      <c r="T358" s="17" t="str">
        <f t="shared" si="201"/>
        <v>1+0.00157668652718451i</v>
      </c>
      <c r="U358" s="17">
        <f t="shared" si="210"/>
        <v>1.00000124296943</v>
      </c>
      <c r="V358" s="17">
        <f t="shared" si="211"/>
        <v>1.5766852206702106E-3</v>
      </c>
      <c r="W358" s="31" t="str">
        <f t="shared" si="202"/>
        <v>1-2.5567889630019i</v>
      </c>
      <c r="X358" s="17">
        <f t="shared" si="212"/>
        <v>2.7453906463977638</v>
      </c>
      <c r="Y358" s="17">
        <f t="shared" si="213"/>
        <v>-1.1979723168048761</v>
      </c>
      <c r="Z358" s="31" t="str">
        <f t="shared" si="203"/>
        <v>0.747617062207921+15.5669371179651i</v>
      </c>
      <c r="AA358" s="17">
        <f t="shared" si="214"/>
        <v>15.584879290722272</v>
      </c>
      <c r="AB358" s="17">
        <f t="shared" si="215"/>
        <v>1.5228072420048384</v>
      </c>
      <c r="AC358" s="66" t="str">
        <f t="shared" si="216"/>
        <v>-0.502844688969559+1.11477520509522i</v>
      </c>
      <c r="AD358" s="64">
        <f t="shared" si="217"/>
        <v>1.7480864382462105</v>
      </c>
      <c r="AE358" s="61">
        <f t="shared" si="218"/>
        <v>114.27883713242771</v>
      </c>
      <c r="AF358" s="31" t="str">
        <f t="shared" si="204"/>
        <v>-1.39902068552014E-06</v>
      </c>
      <c r="AG358" s="31" t="str">
        <f t="shared" si="205"/>
        <v>0.00521900601410782i</v>
      </c>
      <c r="AH358" s="31">
        <f t="shared" si="219"/>
        <v>5.2190060141078199E-3</v>
      </c>
      <c r="AI358" s="31">
        <f t="shared" si="220"/>
        <v>1.5707963267948966</v>
      </c>
      <c r="AJ358" s="31" t="str">
        <f t="shared" si="206"/>
        <v>1+0.376996619089367i</v>
      </c>
      <c r="AK358" s="31">
        <f t="shared" si="221"/>
        <v>1.0687031630929205</v>
      </c>
      <c r="AL358" s="31">
        <f t="shared" si="222"/>
        <v>0.36051998076940517</v>
      </c>
      <c r="AM358" s="31" t="str">
        <f t="shared" si="207"/>
        <v>1+183.331238235988i</v>
      </c>
      <c r="AN358" s="31">
        <f t="shared" si="223"/>
        <v>183.33396551959646</v>
      </c>
      <c r="AO358" s="31">
        <f t="shared" si="224"/>
        <v>1.5653417731017187</v>
      </c>
      <c r="AP358" s="58" t="str">
        <f t="shared" si="225"/>
        <v>-0.0429402562327037+0.0164563940922984i</v>
      </c>
      <c r="AQ358" s="49">
        <f t="shared" si="226"/>
        <v>-26.747556477411798</v>
      </c>
      <c r="AR358" s="61">
        <f t="shared" si="227"/>
        <v>159.03120376602885</v>
      </c>
      <c r="AS358" s="58" t="str">
        <f t="shared" si="228"/>
        <v>0.00324709969023734-0.0561437433175558i</v>
      </c>
      <c r="AT358" s="64">
        <f t="shared" si="229"/>
        <v>-24.999470039165598</v>
      </c>
      <c r="AU358" s="61">
        <f t="shared" si="230"/>
        <v>-86.689959101543451</v>
      </c>
    </row>
    <row r="359" spans="14:47" x14ac:dyDescent="0.4">
      <c r="N359" s="10">
        <v>41</v>
      </c>
      <c r="O359" s="50">
        <f t="shared" si="198"/>
        <v>25703.95782768865</v>
      </c>
      <c r="P359" s="48" t="str">
        <f t="shared" si="199"/>
        <v>5120.19230769231</v>
      </c>
      <c r="Q359" s="17" t="str">
        <f t="shared" si="200"/>
        <v>1+754.714681321331i</v>
      </c>
      <c r="R359" s="17">
        <f t="shared" si="208"/>
        <v>754.71534382305902</v>
      </c>
      <c r="S359" s="17">
        <f t="shared" si="209"/>
        <v>1.5694713235326865</v>
      </c>
      <c r="T359" s="17" t="str">
        <f t="shared" si="201"/>
        <v>1+0.00161341227429138i</v>
      </c>
      <c r="U359" s="17">
        <f t="shared" si="210"/>
        <v>1.0000013015487363</v>
      </c>
      <c r="V359" s="17">
        <f t="shared" si="211"/>
        <v>1.6134108743361842E-3</v>
      </c>
      <c r="W359" s="31" t="str">
        <f t="shared" si="202"/>
        <v>1-2.61634422858061i</v>
      </c>
      <c r="X359" s="17">
        <f t="shared" si="212"/>
        <v>2.8009386145410375</v>
      </c>
      <c r="Y359" s="17">
        <f t="shared" si="213"/>
        <v>-1.205717233785444</v>
      </c>
      <c r="Z359" s="31" t="str">
        <f t="shared" si="203"/>
        <v>0.735722620796961+15.9295376640888i</v>
      </c>
      <c r="AA359" s="17">
        <f t="shared" si="214"/>
        <v>15.946518678582359</v>
      </c>
      <c r="AB359" s="17">
        <f t="shared" si="215"/>
        <v>1.5246430630473422</v>
      </c>
      <c r="AC359" s="66" t="str">
        <f t="shared" si="216"/>
        <v>-0.479548722326244+1.09087792909882i</v>
      </c>
      <c r="AD359" s="64">
        <f t="shared" si="217"/>
        <v>1.5228272704722621</v>
      </c>
      <c r="AE359" s="61">
        <f t="shared" si="218"/>
        <v>113.73023716988045</v>
      </c>
      <c r="AF359" s="31" t="str">
        <f t="shared" si="204"/>
        <v>-1.39902068552014E-06</v>
      </c>
      <c r="AG359" s="31" t="str">
        <f t="shared" si="205"/>
        <v>0.00534057228090763i</v>
      </c>
      <c r="AH359" s="31">
        <f t="shared" si="219"/>
        <v>5.3405722809076297E-3</v>
      </c>
      <c r="AI359" s="31">
        <f t="shared" si="220"/>
        <v>1.5707963267948966</v>
      </c>
      <c r="AJ359" s="31" t="str">
        <f t="shared" si="206"/>
        <v>1+0.385777998427685i</v>
      </c>
      <c r="AK359" s="31">
        <f t="shared" si="221"/>
        <v>1.0718323861830594</v>
      </c>
      <c r="AL359" s="31">
        <f t="shared" si="222"/>
        <v>0.36818623155202107</v>
      </c>
      <c r="AM359" s="31" t="str">
        <f t="shared" si="207"/>
        <v>1+187.60157135304i</v>
      </c>
      <c r="AN359" s="31">
        <f t="shared" si="223"/>
        <v>187.60423655698651</v>
      </c>
      <c r="AO359" s="31">
        <f t="shared" si="224"/>
        <v>1.5654659315229813</v>
      </c>
      <c r="AP359" s="58" t="str">
        <f t="shared" si="225"/>
        <v>-0.0426898934028124+0.0167307824484448i</v>
      </c>
      <c r="AQ359" s="49">
        <f t="shared" si="226"/>
        <v>-26.772957905448379</v>
      </c>
      <c r="AR359" s="61">
        <f t="shared" si="227"/>
        <v>158.5990737050256</v>
      </c>
      <c r="AS359" s="58" t="str">
        <f t="shared" si="228"/>
        <v>0.00222064252799989-0.0545926878553794i</v>
      </c>
      <c r="AT359" s="64">
        <f t="shared" si="229"/>
        <v>-25.25013063497612</v>
      </c>
      <c r="AU359" s="61">
        <f t="shared" si="230"/>
        <v>-87.670689125093929</v>
      </c>
    </row>
    <row r="360" spans="14:47" x14ac:dyDescent="0.4">
      <c r="N360" s="10">
        <v>42</v>
      </c>
      <c r="O360" s="50">
        <f t="shared" si="198"/>
        <v>26302.679918953829</v>
      </c>
      <c r="P360" s="48" t="str">
        <f t="shared" si="199"/>
        <v>5120.19230769231</v>
      </c>
      <c r="Q360" s="17" t="str">
        <f t="shared" si="200"/>
        <v>1+772.294244567519i</v>
      </c>
      <c r="R360" s="17">
        <f t="shared" si="208"/>
        <v>772.29489198887939</v>
      </c>
      <c r="S360" s="17">
        <f t="shared" si="209"/>
        <v>1.5695014842550723</v>
      </c>
      <c r="T360" s="17" t="str">
        <f t="shared" si="201"/>
        <v>1+0.00165099347394212i</v>
      </c>
      <c r="U360" s="17">
        <f t="shared" si="210"/>
        <v>1.0000013628887967</v>
      </c>
      <c r="V360" s="17">
        <f t="shared" si="211"/>
        <v>1.6509919738632117E-3</v>
      </c>
      <c r="W360" s="31" t="str">
        <f t="shared" si="202"/>
        <v>1-2.67728671450073i</v>
      </c>
      <c r="X360" s="17">
        <f t="shared" si="212"/>
        <v>2.8579475417932558</v>
      </c>
      <c r="Y360" s="17">
        <f t="shared" si="213"/>
        <v>-1.2133304211320832</v>
      </c>
      <c r="Z360" s="31" t="str">
        <f t="shared" si="203"/>
        <v>0.723267611632425+16.3005842619344i</v>
      </c>
      <c r="AA360" s="17">
        <f t="shared" si="214"/>
        <v>16.316622301152282</v>
      </c>
      <c r="AB360" s="17">
        <f t="shared" si="215"/>
        <v>1.5264547550873422</v>
      </c>
      <c r="AC360" s="66" t="str">
        <f t="shared" si="216"/>
        <v>-0.457293051360925+1.06742533575551i</v>
      </c>
      <c r="AD360" s="64">
        <f t="shared" si="217"/>
        <v>1.2985538943803632</v>
      </c>
      <c r="AE360" s="61">
        <f t="shared" si="218"/>
        <v>113.19065651489863</v>
      </c>
      <c r="AF360" s="31" t="str">
        <f t="shared" si="204"/>
        <v>-1.39902068552014E-06</v>
      </c>
      <c r="AG360" s="31" t="str">
        <f t="shared" si="205"/>
        <v>0.00546497018982163i</v>
      </c>
      <c r="AH360" s="31">
        <f t="shared" si="219"/>
        <v>5.4649701898216302E-3</v>
      </c>
      <c r="AI360" s="31">
        <f t="shared" si="220"/>
        <v>1.5707963267948966</v>
      </c>
      <c r="AJ360" s="31" t="str">
        <f t="shared" si="206"/>
        <v>1+0.394763922367145i</v>
      </c>
      <c r="AK360" s="31">
        <f t="shared" si="221"/>
        <v>1.0750993230407566</v>
      </c>
      <c r="AL360" s="31">
        <f t="shared" si="222"/>
        <v>0.37598438319215716</v>
      </c>
      <c r="AM360" s="31" t="str">
        <f t="shared" si="207"/>
        <v>1+191.971373306423i</v>
      </c>
      <c r="AN360" s="31">
        <f t="shared" si="223"/>
        <v>191.97397784375366</v>
      </c>
      <c r="AO360" s="31">
        <f t="shared" si="224"/>
        <v>1.5655872639123347</v>
      </c>
      <c r="AP360" s="58" t="str">
        <f t="shared" si="225"/>
        <v>-0.0424308414535032+0.0170061632637123i</v>
      </c>
      <c r="AQ360" s="49">
        <f t="shared" si="226"/>
        <v>-26.799397718601924</v>
      </c>
      <c r="AR360" s="61">
        <f t="shared" si="227"/>
        <v>158.15922436187077</v>
      </c>
      <c r="AS360" s="58" t="str">
        <f t="shared" si="228"/>
        <v>0.00125051942840299-0.0530685554756995i</v>
      </c>
      <c r="AT360" s="64">
        <f t="shared" si="229"/>
        <v>-25.500843824221565</v>
      </c>
      <c r="AU360" s="61">
        <f t="shared" si="230"/>
        <v>-88.650119123230581</v>
      </c>
    </row>
    <row r="361" spans="14:47" x14ac:dyDescent="0.4">
      <c r="N361" s="10">
        <v>43</v>
      </c>
      <c r="O361" s="50">
        <f t="shared" si="198"/>
        <v>26915.348039269167</v>
      </c>
      <c r="P361" s="48" t="str">
        <f t="shared" si="199"/>
        <v>5120.19230769231</v>
      </c>
      <c r="Q361" s="17" t="str">
        <f t="shared" si="200"/>
        <v>1+790.283288444703i</v>
      </c>
      <c r="R361" s="17">
        <f t="shared" si="208"/>
        <v>790.28392112896586</v>
      </c>
      <c r="S361" s="17">
        <f t="shared" si="209"/>
        <v>1.5695309584378749</v>
      </c>
      <c r="T361" s="17" t="str">
        <f t="shared" si="201"/>
        <v>1+0.00168945005218623i</v>
      </c>
      <c r="U361" s="17">
        <f t="shared" si="210"/>
        <v>1.0000014271197211</v>
      </c>
      <c r="V361" s="17">
        <f t="shared" si="211"/>
        <v>1.6894484448228442E-3</v>
      </c>
      <c r="W361" s="31" t="str">
        <f t="shared" si="202"/>
        <v>1-2.73964873327497i</v>
      </c>
      <c r="X361" s="17">
        <f t="shared" si="212"/>
        <v>2.9164490706568404</v>
      </c>
      <c r="Y361" s="17">
        <f t="shared" si="213"/>
        <v>-1.2208123843325325</v>
      </c>
      <c r="Z361" s="31" t="str">
        <f t="shared" si="203"/>
        <v>0.710225615970003+16.6802736453195i</v>
      </c>
      <c r="AA361" s="17">
        <f t="shared" si="214"/>
        <v>16.695387066741525</v>
      </c>
      <c r="AB361" s="17">
        <f t="shared" si="215"/>
        <v>1.5282432550848088</v>
      </c>
      <c r="AC361" s="66" t="str">
        <f t="shared" si="216"/>
        <v>-0.436031574791388+1.04441384877946i</v>
      </c>
      <c r="AD361" s="64">
        <f t="shared" si="217"/>
        <v>1.0752330243567378</v>
      </c>
      <c r="AE361" s="61">
        <f t="shared" si="218"/>
        <v>112.66001274672863</v>
      </c>
      <c r="AF361" s="31" t="str">
        <f t="shared" si="204"/>
        <v>-1.39902068552014E-06</v>
      </c>
      <c r="AG361" s="31" t="str">
        <f t="shared" si="205"/>
        <v>0.00559226569826769i</v>
      </c>
      <c r="AH361" s="31">
        <f t="shared" si="219"/>
        <v>5.5922656982676901E-3</v>
      </c>
      <c r="AI361" s="31">
        <f t="shared" si="220"/>
        <v>1.5707963267948966</v>
      </c>
      <c r="AJ361" s="31" t="str">
        <f t="shared" si="206"/>
        <v>1+0.403959155363564i</v>
      </c>
      <c r="AK361" s="31">
        <f t="shared" si="221"/>
        <v>1.0785096194295367</v>
      </c>
      <c r="AL361" s="31">
        <f t="shared" si="222"/>
        <v>0.383914775629982</v>
      </c>
      <c r="AM361" s="31" t="str">
        <f t="shared" si="207"/>
        <v>1+196.442961022976i</v>
      </c>
      <c r="AN361" s="31">
        <f t="shared" si="223"/>
        <v>196.44550627457596</v>
      </c>
      <c r="AO361" s="31">
        <f t="shared" si="224"/>
        <v>1.5657058345875201</v>
      </c>
      <c r="AP361" s="58" t="str">
        <f t="shared" si="225"/>
        <v>-0.0421629292049071+0.017282271908684i</v>
      </c>
      <c r="AQ361" s="49">
        <f t="shared" si="226"/>
        <v>-26.826911714624128</v>
      </c>
      <c r="AR361" s="61">
        <f t="shared" si="227"/>
        <v>157.71163994456327</v>
      </c>
      <c r="AS361" s="58" t="str">
        <f t="shared" si="228"/>
        <v>0.000334524299231646-0.0515711634030294i</v>
      </c>
      <c r="AT361" s="64">
        <f t="shared" si="229"/>
        <v>-25.75167869026739</v>
      </c>
      <c r="AU361" s="61">
        <f t="shared" si="230"/>
        <v>-89.628347308708115</v>
      </c>
    </row>
    <row r="362" spans="14:47" x14ac:dyDescent="0.4">
      <c r="N362" s="10">
        <v>44</v>
      </c>
      <c r="O362" s="50">
        <f t="shared" si="198"/>
        <v>27542.287033381719</v>
      </c>
      <c r="P362" s="48" t="str">
        <f t="shared" si="199"/>
        <v>5120.19230769231</v>
      </c>
      <c r="Q362" s="17" t="str">
        <f t="shared" si="200"/>
        <v>1+808.691350982056i</v>
      </c>
      <c r="R362" s="17">
        <f t="shared" si="208"/>
        <v>808.69196926467794</v>
      </c>
      <c r="S362" s="17">
        <f t="shared" si="209"/>
        <v>1.5695597617084915</v>
      </c>
      <c r="T362" s="17" t="str">
        <f t="shared" si="201"/>
        <v>1+0.00172880239921053i</v>
      </c>
      <c r="U362" s="17">
        <f t="shared" si="210"/>
        <v>1.0000014943777511</v>
      </c>
      <c r="V362" s="17">
        <f t="shared" si="211"/>
        <v>1.7288006768897708E-3</v>
      </c>
      <c r="W362" s="31" t="str">
        <f t="shared" si="202"/>
        <v>1-2.80346335007113i</v>
      </c>
      <c r="X362" s="17">
        <f t="shared" si="212"/>
        <v>2.9764755593137404</v>
      </c>
      <c r="Y362" s="17">
        <f t="shared" si="213"/>
        <v>-1.2281637387273332</v>
      </c>
      <c r="Z362" s="31" t="str">
        <f t="shared" si="203"/>
        <v>0.696568969988324+17.0688071305808i</v>
      </c>
      <c r="AA362" s="17">
        <f t="shared" si="214"/>
        <v>17.083014522938175</v>
      </c>
      <c r="AB362" s="17">
        <f t="shared" si="215"/>
        <v>1.5300094892044944</v>
      </c>
      <c r="AC362" s="66" t="str">
        <f t="shared" si="216"/>
        <v>-0.415720203539974+1.02183954167294i</v>
      </c>
      <c r="AD362" s="64">
        <f t="shared" si="217"/>
        <v>0.85283204281698533</v>
      </c>
      <c r="AE362" s="61">
        <f t="shared" si="218"/>
        <v>112.1382178164808</v>
      </c>
      <c r="AF362" s="31" t="str">
        <f t="shared" si="204"/>
        <v>-1.39902068552014E-06</v>
      </c>
      <c r="AG362" s="31" t="str">
        <f t="shared" si="205"/>
        <v>0.00572252630000938i</v>
      </c>
      <c r="AH362" s="31">
        <f t="shared" si="219"/>
        <v>5.7225263000093797E-3</v>
      </c>
      <c r="AI362" s="31">
        <f t="shared" si="220"/>
        <v>1.5707963267948966</v>
      </c>
      <c r="AJ362" s="31" t="str">
        <f t="shared" si="206"/>
        <v>1+0.413368572851189i</v>
      </c>
      <c r="AK362" s="31">
        <f t="shared" si="221"/>
        <v>1.082069118412049</v>
      </c>
      <c r="AL362" s="31">
        <f t="shared" si="222"/>
        <v>0.39197762261730745</v>
      </c>
      <c r="AM362" s="31" t="str">
        <f t="shared" si="207"/>
        <v>1+201.018705397693i</v>
      </c>
      <c r="AN362" s="31">
        <f t="shared" si="223"/>
        <v>201.02119271301839</v>
      </c>
      <c r="AO362" s="31">
        <f t="shared" si="224"/>
        <v>1.5658217064029352</v>
      </c>
      <c r="AP362" s="58" t="str">
        <f t="shared" si="225"/>
        <v>-0.0418859929971981+0.0175588292081344i</v>
      </c>
      <c r="AQ362" s="49">
        <f t="shared" si="226"/>
        <v>-26.855536373830002</v>
      </c>
      <c r="AR362" s="61">
        <f t="shared" si="227"/>
        <v>157.25631180731742</v>
      </c>
      <c r="AS362" s="58" t="str">
        <f t="shared" si="228"/>
        <v>-0.000529452456084368-0.0501003239391022i</v>
      </c>
      <c r="AT362" s="64">
        <f t="shared" si="229"/>
        <v>-26.002704331013007</v>
      </c>
      <c r="AU362" s="61">
        <f t="shared" si="230"/>
        <v>-90.605470376201765</v>
      </c>
    </row>
    <row r="363" spans="14:47" x14ac:dyDescent="0.4">
      <c r="N363" s="10">
        <v>45</v>
      </c>
      <c r="O363" s="50">
        <f t="shared" si="198"/>
        <v>28183.829312644593</v>
      </c>
      <c r="P363" s="48" t="str">
        <f t="shared" si="199"/>
        <v>5120.19230769231</v>
      </c>
      <c r="Q363" s="17" t="str">
        <f t="shared" si="200"/>
        <v>1+827.528192377993i</v>
      </c>
      <c r="R363" s="17">
        <f t="shared" si="208"/>
        <v>827.52879658679467</v>
      </c>
      <c r="S363" s="17">
        <f t="shared" si="209"/>
        <v>1.5695879093386058</v>
      </c>
      <c r="T363" s="17" t="str">
        <f t="shared" si="201"/>
        <v>1+0.00176907138015029i</v>
      </c>
      <c r="U363" s="17">
        <f t="shared" si="210"/>
        <v>1.0000015648055498</v>
      </c>
      <c r="V363" s="17">
        <f t="shared" si="211"/>
        <v>1.7690695346505025E-3</v>
      </c>
      <c r="W363" s="31" t="str">
        <f t="shared" si="202"/>
        <v>1-2.86876440024371i</v>
      </c>
      <c r="X363" s="17">
        <f t="shared" si="212"/>
        <v>3.038060102122019</v>
      </c>
      <c r="Y363" s="17">
        <f t="shared" si="213"/>
        <v>-1.235385202855964</v>
      </c>
      <c r="Z363" s="31" t="str">
        <f t="shared" si="203"/>
        <v>0.682268706110285+17.4663907233151i</v>
      </c>
      <c r="AA363" s="17">
        <f t="shared" si="214"/>
        <v>17.47971096691376</v>
      </c>
      <c r="AB363" s="17">
        <f t="shared" si="215"/>
        <v>1.531754373203422</v>
      </c>
      <c r="AC363" s="66" t="str">
        <f t="shared" si="216"/>
        <v>-0.396316775626082+0.999698173855807i</v>
      </c>
      <c r="AD363" s="64">
        <f t="shared" si="217"/>
        <v>0.63131902238511017</v>
      </c>
      <c r="AE363" s="61">
        <f t="shared" si="218"/>
        <v>111.62517840631335</v>
      </c>
      <c r="AF363" s="31" t="str">
        <f t="shared" si="204"/>
        <v>-1.39902068552014E-06</v>
      </c>
      <c r="AG363" s="31" t="str">
        <f t="shared" si="205"/>
        <v>0.00585582106094191i</v>
      </c>
      <c r="AH363" s="31">
        <f t="shared" si="219"/>
        <v>5.8558210609419101E-3</v>
      </c>
      <c r="AI363" s="31">
        <f t="shared" si="220"/>
        <v>1.5707963267948966</v>
      </c>
      <c r="AJ363" s="31" t="str">
        <f t="shared" si="206"/>
        <v>1+0.422997163827718i</v>
      </c>
      <c r="AK363" s="31">
        <f t="shared" si="221"/>
        <v>1.0857838645910582</v>
      </c>
      <c r="AL363" s="31">
        <f t="shared" si="222"/>
        <v>0.40017300484375545</v>
      </c>
      <c r="AM363" s="31" t="str">
        <f t="shared" si="207"/>
        <v>1+205.701032550808i</v>
      </c>
      <c r="AN363" s="31">
        <f t="shared" si="223"/>
        <v>205.70346324860108</v>
      </c>
      <c r="AO363" s="31">
        <f t="shared" si="224"/>
        <v>1.5659349407828975</v>
      </c>
      <c r="AP363" s="58" t="str">
        <f t="shared" si="225"/>
        <v>-0.0415998777383472+0.0178355414047833i</v>
      </c>
      <c r="AQ363" s="49">
        <f t="shared" si="226"/>
        <v>-26.885308826332185</v>
      </c>
      <c r="AR363" s="61">
        <f t="shared" si="227"/>
        <v>156.79323884631305</v>
      </c>
      <c r="AS363" s="58" t="str">
        <f t="shared" si="228"/>
        <v>-0.00134342876039051-0.0486558460687397i</v>
      </c>
      <c r="AT363" s="64">
        <f t="shared" si="229"/>
        <v>-26.253989803947082</v>
      </c>
      <c r="AU363" s="61">
        <f t="shared" si="230"/>
        <v>-91.581582747373602</v>
      </c>
    </row>
    <row r="364" spans="14:47" x14ac:dyDescent="0.4">
      <c r="N364" s="10">
        <v>46</v>
      </c>
      <c r="O364" s="50">
        <f t="shared" si="198"/>
        <v>28840.315031266062</v>
      </c>
      <c r="P364" s="48" t="str">
        <f t="shared" si="199"/>
        <v>5120.19230769231</v>
      </c>
      <c r="Q364" s="17" t="str">
        <f t="shared" si="200"/>
        <v>1+846.803800175156i</v>
      </c>
      <c r="R364" s="17">
        <f t="shared" si="208"/>
        <v>846.80439063049585</v>
      </c>
      <c r="S364" s="17">
        <f t="shared" si="209"/>
        <v>1.5696154162522855</v>
      </c>
      <c r="T364" s="17" t="str">
        <f t="shared" si="201"/>
        <v>1+0.00181027834615222i</v>
      </c>
      <c r="U364" s="17">
        <f t="shared" si="210"/>
        <v>1.0000016385525028</v>
      </c>
      <c r="V364" s="17">
        <f t="shared" si="211"/>
        <v>1.8102763686637449E-3</v>
      </c>
      <c r="W364" s="31" t="str">
        <f t="shared" si="202"/>
        <v>1-2.93558650727387i</v>
      </c>
      <c r="X364" s="17">
        <f t="shared" si="212"/>
        <v>3.101236550424427</v>
      </c>
      <c r="Y364" s="17">
        <f t="shared" si="213"/>
        <v>-1.2424775919210282</v>
      </c>
      <c r="Z364" s="31" t="str">
        <f t="shared" si="203"/>
        <v>0.667294491558933+17.8732352276058i</v>
      </c>
      <c r="AA364" s="17">
        <f t="shared" si="214"/>
        <v>17.88568755848636</v>
      </c>
      <c r="AB364" s="17">
        <f t="shared" si="215"/>
        <v>1.5334788128193095</v>
      </c>
      <c r="AC364" s="66" t="str">
        <f t="shared" si="216"/>
        <v>-0.377780974417667+0.977985224161496i</v>
      </c>
      <c r="AD364" s="64">
        <f t="shared" si="217"/>
        <v>0.41066274440201278</v>
      </c>
      <c r="AE364" s="61">
        <f t="shared" si="218"/>
        <v>111.12079628181965</v>
      </c>
      <c r="AF364" s="31" t="str">
        <f t="shared" si="204"/>
        <v>-1.39902068552014E-06</v>
      </c>
      <c r="AG364" s="31" t="str">
        <f t="shared" si="205"/>
        <v>0.00599222065571189i</v>
      </c>
      <c r="AH364" s="31">
        <f t="shared" si="219"/>
        <v>5.9922206557118897E-3</v>
      </c>
      <c r="AI364" s="31">
        <f t="shared" si="220"/>
        <v>1.5707963267948966</v>
      </c>
      <c r="AJ364" s="31" t="str">
        <f t="shared" si="206"/>
        <v>1+0.432850033499535i</v>
      </c>
      <c r="AK364" s="31">
        <f t="shared" si="221"/>
        <v>1.0896601082450199</v>
      </c>
      <c r="AL364" s="31">
        <f t="shared" si="222"/>
        <v>0.40850086306303202</v>
      </c>
      <c r="AM364" s="31" t="str">
        <f t="shared" si="207"/>
        <v>1+210.492425114156i</v>
      </c>
      <c r="AN364" s="31">
        <f t="shared" si="223"/>
        <v>210.49480048314396</v>
      </c>
      <c r="AO364" s="31">
        <f t="shared" si="224"/>
        <v>1.5660455977541523</v>
      </c>
      <c r="AP364" s="58" t="str">
        <f t="shared" si="225"/>
        <v>-0.0413044379922684+0.0181121001938011i</v>
      </c>
      <c r="AQ364" s="49">
        <f t="shared" si="226"/>
        <v>-26.916266814918671</v>
      </c>
      <c r="AR364" s="61">
        <f t="shared" si="227"/>
        <v>156.32242789539168</v>
      </c>
      <c r="AS364" s="58" t="str">
        <f t="shared" si="228"/>
        <v>-0.00210933553557678-0.0472375369086978i</v>
      </c>
      <c r="AT364" s="64">
        <f t="shared" si="229"/>
        <v>-26.505604070516661</v>
      </c>
      <c r="AU364" s="61">
        <f t="shared" si="230"/>
        <v>-92.556775822788651</v>
      </c>
    </row>
    <row r="365" spans="14:47" x14ac:dyDescent="0.4">
      <c r="N365" s="10">
        <v>47</v>
      </c>
      <c r="O365" s="50">
        <f t="shared" si="198"/>
        <v>29512.092266663854</v>
      </c>
      <c r="P365" s="48" t="str">
        <f t="shared" si="199"/>
        <v>5120.19230769231</v>
      </c>
      <c r="Q365" s="17" t="str">
        <f t="shared" si="200"/>
        <v>1+866.528394555953i</v>
      </c>
      <c r="R365" s="17">
        <f t="shared" si="208"/>
        <v>866.52897157089774</v>
      </c>
      <c r="S365" s="17">
        <f t="shared" si="209"/>
        <v>1.5696422970338937</v>
      </c>
      <c r="T365" s="17" t="str">
        <f t="shared" si="201"/>
        <v>1+0.00185244514569517i</v>
      </c>
      <c r="U365" s="17">
        <f t="shared" si="210"/>
        <v>1.0000017157750369</v>
      </c>
      <c r="V365" s="17">
        <f t="shared" si="211"/>
        <v>1.8524430267782893E-3</v>
      </c>
      <c r="W365" s="31" t="str">
        <f t="shared" si="202"/>
        <v>1-3.0039651011273i</v>
      </c>
      <c r="X365" s="17">
        <f t="shared" si="212"/>
        <v>3.1660395336746423</v>
      </c>
      <c r="Y365" s="17">
        <f t="shared" si="213"/>
        <v>-1.2494418113898584</v>
      </c>
      <c r="Z365" s="31" t="str">
        <f t="shared" si="203"/>
        <v>0.651614564017566+18.2895563577946i</v>
      </c>
      <c r="AA365" s="17">
        <f t="shared" si="214"/>
        <v>18.301160436021114</v>
      </c>
      <c r="AB365" s="17">
        <f t="shared" si="215"/>
        <v>1.5351837041596981</v>
      </c>
      <c r="AC365" s="66" t="str">
        <f t="shared" si="216"/>
        <v>-0.360074250131001+0.956695921872744i</v>
      </c>
      <c r="AD365" s="64">
        <f t="shared" si="217"/>
        <v>0.19083271397160287</v>
      </c>
      <c r="AE365" s="61">
        <f t="shared" si="218"/>
        <v>110.62496863653026</v>
      </c>
      <c r="AF365" s="31" t="str">
        <f t="shared" si="204"/>
        <v>-1.39902068552014E-06</v>
      </c>
      <c r="AG365" s="31" t="str">
        <f t="shared" si="205"/>
        <v>0.00613179740518996i</v>
      </c>
      <c r="AH365" s="31">
        <f t="shared" si="219"/>
        <v>6.1317974051899602E-3</v>
      </c>
      <c r="AI365" s="31">
        <f t="shared" si="220"/>
        <v>1.5707963267948966</v>
      </c>
      <c r="AJ365" s="31" t="str">
        <f t="shared" si="206"/>
        <v>1+0.442932405988566i</v>
      </c>
      <c r="AK365" s="31">
        <f t="shared" si="221"/>
        <v>1.0937043093427126</v>
      </c>
      <c r="AL365" s="31">
        <f t="shared" si="222"/>
        <v>0.41696099125398045</v>
      </c>
      <c r="AM365" s="31" t="str">
        <f t="shared" si="207"/>
        <v>1+215.395423547499i</v>
      </c>
      <c r="AN365" s="31">
        <f t="shared" si="223"/>
        <v>215.39774484707698</v>
      </c>
      <c r="AO365" s="31">
        <f t="shared" si="224"/>
        <v>1.5661537359776441</v>
      </c>
      <c r="AP365" s="58" t="str">
        <f t="shared" si="225"/>
        <v>-0.0409995391033469+0.0183881828343038i</v>
      </c>
      <c r="AQ365" s="49">
        <f t="shared" si="226"/>
        <v>-26.948448653415539</v>
      </c>
      <c r="AR365" s="61">
        <f t="shared" si="227"/>
        <v>155.84389411972091</v>
      </c>
      <c r="AS365" s="58" t="str">
        <f t="shared" si="228"/>
        <v>-0.00282902122987455-0.0458452030041678i</v>
      </c>
      <c r="AT365" s="64">
        <f t="shared" si="229"/>
        <v>-26.75761593944393</v>
      </c>
      <c r="AU365" s="61">
        <f t="shared" si="230"/>
        <v>-93.53113724374883</v>
      </c>
    </row>
    <row r="366" spans="14:47" x14ac:dyDescent="0.4">
      <c r="N366" s="10">
        <v>48</v>
      </c>
      <c r="O366" s="50">
        <f t="shared" si="198"/>
        <v>30199.517204020212</v>
      </c>
      <c r="P366" s="48" t="str">
        <f t="shared" si="199"/>
        <v>5120.19230769231</v>
      </c>
      <c r="Q366" s="17" t="str">
        <f t="shared" si="200"/>
        <v>1+886.712433761399i</v>
      </c>
      <c r="R366" s="17">
        <f t="shared" si="208"/>
        <v>886.71299764188825</v>
      </c>
      <c r="S366" s="17">
        <f t="shared" si="209"/>
        <v>1.5696685659358209</v>
      </c>
      <c r="T366" s="17" t="str">
        <f t="shared" si="201"/>
        <v>1+0.00189559413617437i</v>
      </c>
      <c r="U366" s="17">
        <f t="shared" si="210"/>
        <v>1.0000017966369505</v>
      </c>
      <c r="V366" s="17">
        <f t="shared" si="211"/>
        <v>1.8955918657142465E-3</v>
      </c>
      <c r="W366" s="31" t="str">
        <f t="shared" si="202"/>
        <v>1-3.07393643703952i</v>
      </c>
      <c r="X366" s="17">
        <f t="shared" si="212"/>
        <v>3.2325044808877244</v>
      </c>
      <c r="Y366" s="17">
        <f t="shared" si="213"/>
        <v>-1.2562788507503093</v>
      </c>
      <c r="Z366" s="31" t="str">
        <f t="shared" si="203"/>
        <v>0.635195664257634+18.7155748528551i</v>
      </c>
      <c r="AA366" s="17">
        <f t="shared" si="214"/>
        <v>18.726350835245874</v>
      </c>
      <c r="AB366" s="17">
        <f t="shared" si="215"/>
        <v>1.5368699340915726</v>
      </c>
      <c r="AC366" s="66" t="str">
        <f t="shared" si="216"/>
        <v>-0.343159744469545+0.93582527546009i</v>
      </c>
      <c r="AD366" s="64">
        <f t="shared" si="217"/>
        <v>-2.8200828241929096E-2</v>
      </c>
      <c r="AE366" s="61">
        <f t="shared" si="218"/>
        <v>110.13758842757554</v>
      </c>
      <c r="AF366" s="31" t="str">
        <f t="shared" si="204"/>
        <v>-1.39902068552014E-06</v>
      </c>
      <c r="AG366" s="31" t="str">
        <f t="shared" si="205"/>
        <v>0.00627462531481621i</v>
      </c>
      <c r="AH366" s="31">
        <f t="shared" si="219"/>
        <v>6.2746253148162102E-3</v>
      </c>
      <c r="AI366" s="31">
        <f t="shared" si="220"/>
        <v>1.5707963267948966</v>
      </c>
      <c r="AJ366" s="31" t="str">
        <f t="shared" si="206"/>
        <v>1+0.453249627102154i</v>
      </c>
      <c r="AK366" s="31">
        <f t="shared" si="221"/>
        <v>1.0979231414212207</v>
      </c>
      <c r="AL366" s="31">
        <f t="shared" si="222"/>
        <v>0.42555302985396071</v>
      </c>
      <c r="AM366" s="31" t="str">
        <f t="shared" si="207"/>
        <v>1+220.4126274855i</v>
      </c>
      <c r="AN366" s="31">
        <f t="shared" si="223"/>
        <v>220.41489594639873</v>
      </c>
      <c r="AO366" s="31">
        <f t="shared" si="224"/>
        <v>1.5662594127795681</v>
      </c>
      <c r="AP366" s="58" t="str">
        <f t="shared" si="225"/>
        <v>-0.0406850583525479+0.0186634523439948i</v>
      </c>
      <c r="AQ366" s="49">
        <f t="shared" si="226"/>
        <v>-26.981893180397773</v>
      </c>
      <c r="AR366" s="61">
        <f t="shared" si="227"/>
        <v>155.35766140527124</v>
      </c>
      <c r="AS366" s="58" t="str">
        <f t="shared" si="228"/>
        <v>-0.00350425620286633-0.0444786514771678i</v>
      </c>
      <c r="AT366" s="64">
        <f t="shared" si="229"/>
        <v>-27.01009400863969</v>
      </c>
      <c r="AU366" s="61">
        <f t="shared" si="230"/>
        <v>-94.50475016715319</v>
      </c>
    </row>
    <row r="367" spans="14:47" x14ac:dyDescent="0.4">
      <c r="N367" s="10">
        <v>49</v>
      </c>
      <c r="O367" s="50">
        <f t="shared" si="198"/>
        <v>30902.954325135954</v>
      </c>
      <c r="P367" s="48" t="str">
        <f t="shared" si="199"/>
        <v>5120.19230769231</v>
      </c>
      <c r="Q367" s="17" t="str">
        <f t="shared" si="200"/>
        <v>1+907.366619636251i</v>
      </c>
      <c r="R367" s="17">
        <f t="shared" si="208"/>
        <v>907.3671706812612</v>
      </c>
      <c r="S367" s="17">
        <f t="shared" si="209"/>
        <v>1.569694236886042</v>
      </c>
      <c r="T367" s="17" t="str">
        <f t="shared" si="201"/>
        <v>1+0.00193974819575572i</v>
      </c>
      <c r="U367" s="17">
        <f t="shared" si="210"/>
        <v>1.0000018813097618</v>
      </c>
      <c r="V367" s="17">
        <f t="shared" si="211"/>
        <v>1.9397457629141131E-3</v>
      </c>
      <c r="W367" s="31" t="str">
        <f t="shared" si="202"/>
        <v>1-3.145537614739i</v>
      </c>
      <c r="X367" s="17">
        <f t="shared" si="212"/>
        <v>3.3006676424229568</v>
      </c>
      <c r="Y367" s="17">
        <f t="shared" si="213"/>
        <v>-1.2629897774351551</v>
      </c>
      <c r="Z367" s="31" t="str">
        <f t="shared" si="203"/>
        <v>0.618002965591424+19.1515165934326i</v>
      </c>
      <c r="AA367" s="17">
        <f t="shared" si="214"/>
        <v>19.16148521106869</v>
      </c>
      <c r="AB367" s="17">
        <f t="shared" si="215"/>
        <v>1.5385383806313013</v>
      </c>
      <c r="AC367" s="66" t="str">
        <f t="shared" si="216"/>
        <v>-0.327002218294376+0.915368099175366i</v>
      </c>
      <c r="AD367" s="64">
        <f t="shared" si="217"/>
        <v>-0.24646689725842694</v>
      </c>
      <c r="AE367" s="61">
        <f t="shared" si="218"/>
        <v>109.65854470169737</v>
      </c>
      <c r="AF367" s="31" t="str">
        <f t="shared" si="204"/>
        <v>-1.39902068552014E-06</v>
      </c>
      <c r="AG367" s="31" t="str">
        <f t="shared" si="205"/>
        <v>0.00642078011383885i</v>
      </c>
      <c r="AH367" s="31">
        <f t="shared" si="219"/>
        <v>6.4207801138388499E-3</v>
      </c>
      <c r="AI367" s="31">
        <f t="shared" si="220"/>
        <v>1.5707963267948966</v>
      </c>
      <c r="AJ367" s="31" t="str">
        <f t="shared" si="206"/>
        <v>1+0.463807167167498i</v>
      </c>
      <c r="AK367" s="31">
        <f t="shared" si="221"/>
        <v>1.1023234953115801</v>
      </c>
      <c r="AL367" s="31">
        <f t="shared" si="222"/>
        <v>0.43427645910505769</v>
      </c>
      <c r="AM367" s="31" t="str">
        <f t="shared" si="207"/>
        <v>1+225.546697116101i</v>
      </c>
      <c r="AN367" s="31">
        <f t="shared" si="223"/>
        <v>225.54891394103896</v>
      </c>
      <c r="AO367" s="31">
        <f t="shared" si="224"/>
        <v>1.5663626841817173</v>
      </c>
      <c r="AP367" s="58" t="str">
        <f t="shared" si="225"/>
        <v>-0.0403608861395221+0.0189375577829491i</v>
      </c>
      <c r="AQ367" s="49">
        <f t="shared" si="226"/>
        <v>-27.016639708127705</v>
      </c>
      <c r="AR367" s="61">
        <f t="shared" si="227"/>
        <v>154.86376274178997</v>
      </c>
      <c r="AS367" s="58" t="str">
        <f t="shared" si="228"/>
        <v>-0.00413673697085132-0.04313769103067i</v>
      </c>
      <c r="AT367" s="64">
        <f t="shared" si="229"/>
        <v>-27.263106605386135</v>
      </c>
      <c r="AU367" s="61">
        <f t="shared" si="230"/>
        <v>-95.47769255651265</v>
      </c>
    </row>
    <row r="368" spans="14:47" x14ac:dyDescent="0.4">
      <c r="N368" s="10">
        <v>50</v>
      </c>
      <c r="O368" s="50">
        <f t="shared" si="198"/>
        <v>31622.77660168384</v>
      </c>
      <c r="P368" s="48" t="str">
        <f t="shared" si="199"/>
        <v>5120.19230769231</v>
      </c>
      <c r="Q368" s="17" t="str">
        <f t="shared" si="200"/>
        <v>1+928.501903303251i</v>
      </c>
      <c r="R368" s="17">
        <f t="shared" si="208"/>
        <v>928.50244180495281</v>
      </c>
      <c r="S368" s="17">
        <f t="shared" si="209"/>
        <v>1.5697193234954989</v>
      </c>
      <c r="T368" s="17" t="str">
        <f t="shared" si="201"/>
        <v>1+0.00198493073550606i</v>
      </c>
      <c r="U368" s="17">
        <f t="shared" si="210"/>
        <v>1.000001969973072</v>
      </c>
      <c r="V368" s="17">
        <f t="shared" si="211"/>
        <v>1.9849281286695888E-3</v>
      </c>
      <c r="W368" s="31" t="str">
        <f t="shared" si="202"/>
        <v>1-3.21880659811794i</v>
      </c>
      <c r="X368" s="17">
        <f t="shared" si="212"/>
        <v>3.3705661121075177</v>
      </c>
      <c r="Y368" s="17">
        <f t="shared" si="213"/>
        <v>-1.2695757309271287</v>
      </c>
      <c r="Z368" s="31" t="str">
        <f t="shared" si="203"/>
        <v>0.6+19.5976127216081i</v>
      </c>
      <c r="AA368" s="17">
        <f t="shared" si="214"/>
        <v>19.606795362479197</v>
      </c>
      <c r="AB368" s="17">
        <f t="shared" si="215"/>
        <v>1.5401899133347225</v>
      </c>
      <c r="AC368" s="66" t="str">
        <f t="shared" si="216"/>
        <v>-0.311567982220904+0.89531903764377i</v>
      </c>
      <c r="AD368" s="64">
        <f t="shared" si="217"/>
        <v>-0.46399375785422975</v>
      </c>
      <c r="AE368" s="61">
        <f t="shared" si="218"/>
        <v>109.18772291092598</v>
      </c>
      <c r="AF368" s="31" t="str">
        <f t="shared" si="204"/>
        <v>-1.39902068552014E-06</v>
      </c>
      <c r="AG368" s="31" t="str">
        <f t="shared" si="205"/>
        <v>0.00657033929546692i</v>
      </c>
      <c r="AH368" s="31">
        <f t="shared" si="219"/>
        <v>6.5703392954669197E-3</v>
      </c>
      <c r="AI368" s="31">
        <f t="shared" si="220"/>
        <v>1.5707963267948966</v>
      </c>
      <c r="AJ368" s="31" t="str">
        <f t="shared" si="206"/>
        <v>1+0.474610623932089i</v>
      </c>
      <c r="AK368" s="31">
        <f t="shared" si="221"/>
        <v>1.1069124826964447</v>
      </c>
      <c r="AL368" s="31">
        <f t="shared" si="222"/>
        <v>0.4431305925562492</v>
      </c>
      <c r="AM368" s="31" t="str">
        <f t="shared" si="207"/>
        <v>1+230.800354590975i</v>
      </c>
      <c r="AN368" s="31">
        <f t="shared" si="223"/>
        <v>230.80252095529588</v>
      </c>
      <c r="AO368" s="31">
        <f t="shared" si="224"/>
        <v>1.5664636049311393</v>
      </c>
      <c r="AP368" s="58" t="str">
        <f t="shared" si="225"/>
        <v>-0.040026927184267+0.0192101346322577i</v>
      </c>
      <c r="AQ368" s="49">
        <f t="shared" si="226"/>
        <v>-27.052727966631757</v>
      </c>
      <c r="AR368" s="61">
        <f t="shared" si="227"/>
        <v>154.36224059679824</v>
      </c>
      <c r="AS368" s="58" t="str">
        <f t="shared" si="228"/>
        <v>-0.0047280903146551-0.0418221328120196i</v>
      </c>
      <c r="AT368" s="64">
        <f t="shared" si="229"/>
        <v>-27.516721724485997</v>
      </c>
      <c r="AU368" s="61">
        <f t="shared" si="230"/>
        <v>-96.450036492275757</v>
      </c>
    </row>
    <row r="369" spans="14:47" x14ac:dyDescent="0.4">
      <c r="N369" s="10">
        <v>51</v>
      </c>
      <c r="O369" s="50">
        <f t="shared" si="198"/>
        <v>32359.365692962871</v>
      </c>
      <c r="P369" s="48" t="str">
        <f t="shared" si="199"/>
        <v>5120.19230769231</v>
      </c>
      <c r="Q369" s="17" t="str">
        <f t="shared" si="200"/>
        <v>1+950.129490969559i</v>
      </c>
      <c r="R369" s="17">
        <f t="shared" si="208"/>
        <v>950.13001721347246</v>
      </c>
      <c r="S369" s="17">
        <f t="shared" si="209"/>
        <v>1.5697438390653178</v>
      </c>
      <c r="T369" s="17" t="str">
        <f t="shared" si="201"/>
        <v>1+0.00203116571180604i</v>
      </c>
      <c r="U369" s="17">
        <f t="shared" si="210"/>
        <v>1.0000020628149469</v>
      </c>
      <c r="V369" s="17">
        <f t="shared" si="211"/>
        <v>2.0311629185307471E-3</v>
      </c>
      <c r="W369" s="31" t="str">
        <f t="shared" si="202"/>
        <v>1-3.29378223536113i</v>
      </c>
      <c r="X369" s="17">
        <f t="shared" si="212"/>
        <v>3.4422378497106445</v>
      </c>
      <c r="Y369" s="17">
        <f t="shared" si="213"/>
        <v>-1.2760379170545464</v>
      </c>
      <c r="Z369" s="31" t="str">
        <f t="shared" si="203"/>
        <v>0.58114858077964+20.0540997634537i</v>
      </c>
      <c r="AA369" s="17">
        <f t="shared" si="214"/>
        <v>20.062518560626827</v>
      </c>
      <c r="AB369" s="17">
        <f t="shared" si="215"/>
        <v>1.5418253936872499</v>
      </c>
      <c r="AC369" s="66" t="str">
        <f t="shared" si="216"/>
        <v>-0.296824830038378+0.875672588588105i</v>
      </c>
      <c r="AD369" s="64">
        <f t="shared" si="217"/>
        <v>-0.6808089212618661</v>
      </c>
      <c r="AE369" s="61">
        <f t="shared" si="218"/>
        <v>108.72500521736337</v>
      </c>
      <c r="AF369" s="31" t="str">
        <f t="shared" si="204"/>
        <v>-1.39902068552014E-06</v>
      </c>
      <c r="AG369" s="31" t="str">
        <f t="shared" si="205"/>
        <v>0.00672338215795817i</v>
      </c>
      <c r="AH369" s="31">
        <f t="shared" si="219"/>
        <v>6.72338215795817E-3</v>
      </c>
      <c r="AI369" s="31">
        <f t="shared" si="220"/>
        <v>1.5707963267948966</v>
      </c>
      <c r="AJ369" s="31" t="str">
        <f t="shared" si="206"/>
        <v>1+0.485665725531702i</v>
      </c>
      <c r="AK369" s="31">
        <f t="shared" si="221"/>
        <v>1.1116974394844286</v>
      </c>
      <c r="AL369" s="31">
        <f t="shared" si="222"/>
        <v>0.45211457076734995</v>
      </c>
      <c r="AM369" s="31" t="str">
        <f t="shared" si="207"/>
        <v>1+236.176385468858i</v>
      </c>
      <c r="AN369" s="31">
        <f t="shared" si="223"/>
        <v>236.17850252115369</v>
      </c>
      <c r="AO369" s="31">
        <f t="shared" si="224"/>
        <v>1.5665622285291239</v>
      </c>
      <c r="AP369" s="58" t="str">
        <f t="shared" si="225"/>
        <v>-0.0396831017410981+0.0194808052728986i</v>
      </c>
      <c r="AQ369" s="49">
        <f t="shared" si="226"/>
        <v>-27.090198042846438</v>
      </c>
      <c r="AR369" s="61">
        <f t="shared" si="227"/>
        <v>153.85314727798965</v>
      </c>
      <c r="AS369" s="58" t="str">
        <f t="shared" si="228"/>
        <v>-0.00527987725140282-0.0405317911389714i</v>
      </c>
      <c r="AT369" s="64">
        <f t="shared" si="229"/>
        <v>-27.771006964108299</v>
      </c>
      <c r="AU369" s="61">
        <f t="shared" si="230"/>
        <v>-97.421847504646962</v>
      </c>
    </row>
    <row r="370" spans="14:47" x14ac:dyDescent="0.4">
      <c r="N370" s="10">
        <v>52</v>
      </c>
      <c r="O370" s="50">
        <f t="shared" si="198"/>
        <v>33113.11214825909</v>
      </c>
      <c r="P370" s="48" t="str">
        <f t="shared" si="199"/>
        <v>5120.19230769231</v>
      </c>
      <c r="Q370" s="17" t="str">
        <f t="shared" si="200"/>
        <v>1+972.260849868428i</v>
      </c>
      <c r="R370" s="17">
        <f t="shared" si="208"/>
        <v>972.26136413357392</v>
      </c>
      <c r="S370" s="17">
        <f t="shared" si="209"/>
        <v>1.5697677965938601</v>
      </c>
      <c r="T370" s="17" t="str">
        <f t="shared" si="201"/>
        <v>1+0.00207847763905206i</v>
      </c>
      <c r="U370" s="17">
        <f t="shared" si="210"/>
        <v>1.0000021600323152</v>
      </c>
      <c r="V370" s="17">
        <f t="shared" si="211"/>
        <v>2.078474646004008E-3</v>
      </c>
      <c r="W370" s="31" t="str">
        <f t="shared" si="202"/>
        <v>1-3.37050427954388i</v>
      </c>
      <c r="X370" s="17">
        <f t="shared" si="212"/>
        <v>3.5157217037791275</v>
      </c>
      <c r="Y370" s="17">
        <f t="shared" si="213"/>
        <v>-1.2823776024854772</v>
      </c>
      <c r="Z370" s="31" t="str">
        <f t="shared" si="203"/>
        <v>0.561408721542727+20.5212197544413i</v>
      </c>
      <c r="AA370" s="17">
        <f t="shared" si="214"/>
        <v>20.528897680165297</v>
      </c>
      <c r="AB370" s="17">
        <f t="shared" si="215"/>
        <v>1.5434456754938723</v>
      </c>
      <c r="AC370" s="66" t="str">
        <f t="shared" si="216"/>
        <v>-0.282741974851169+0.856423123811207i</v>
      </c>
      <c r="AD370" s="64">
        <f t="shared" si="217"/>
        <v>-0.89693914429268107</v>
      </c>
      <c r="AE370" s="61">
        <f t="shared" si="218"/>
        <v>108.27027078662181</v>
      </c>
      <c r="AF370" s="31" t="str">
        <f t="shared" si="204"/>
        <v>-1.39902068552014E-06</v>
      </c>
      <c r="AG370" s="31" t="str">
        <f t="shared" si="205"/>
        <v>0.00687998984666403i</v>
      </c>
      <c r="AH370" s="31">
        <f t="shared" si="219"/>
        <v>6.8799898466640301E-3</v>
      </c>
      <c r="AI370" s="31">
        <f t="shared" si="220"/>
        <v>1.5707963267948966</v>
      </c>
      <c r="AJ370" s="31" t="str">
        <f t="shared" si="206"/>
        <v>1+0.496978333527539i</v>
      </c>
      <c r="AK370" s="31">
        <f t="shared" si="221"/>
        <v>1.1166859289862168</v>
      </c>
      <c r="AL370" s="31">
        <f t="shared" si="222"/>
        <v>0.46122735526295566</v>
      </c>
      <c r="AM370" s="31" t="str">
        <f t="shared" si="207"/>
        <v>1+241.67764019248i</v>
      </c>
      <c r="AN370" s="31">
        <f t="shared" si="223"/>
        <v>241.67970905519937</v>
      </c>
      <c r="AO370" s="31">
        <f t="shared" si="224"/>
        <v>1.5666586072595297</v>
      </c>
      <c r="AP370" s="58" t="str">
        <f t="shared" si="225"/>
        <v>-0.0393293468168112+0.019749179569711i</v>
      </c>
      <c r="AQ370" s="49">
        <f t="shared" si="226"/>
        <v>-27.12909031480261</v>
      </c>
      <c r="AR370" s="61">
        <f t="shared" si="227"/>
        <v>153.33654528126638</v>
      </c>
      <c r="AS370" s="58" t="str">
        <f t="shared" si="228"/>
        <v>-0.00579359687120863-0.0392664840915383i</v>
      </c>
      <c r="AT370" s="64">
        <f t="shared" si="229"/>
        <v>-28.026029459095273</v>
      </c>
      <c r="AU370" s="61">
        <f t="shared" si="230"/>
        <v>-98.39318393211181</v>
      </c>
    </row>
    <row r="371" spans="14:47" x14ac:dyDescent="0.4">
      <c r="N371" s="10">
        <v>53</v>
      </c>
      <c r="O371" s="50">
        <f t="shared" si="198"/>
        <v>33884.41561392029</v>
      </c>
      <c r="P371" s="48" t="str">
        <f t="shared" si="199"/>
        <v>5120.19230769231</v>
      </c>
      <c r="Q371" s="17" t="str">
        <f t="shared" si="200"/>
        <v>1+994.907714339298i</v>
      </c>
      <c r="R371" s="17">
        <f t="shared" si="208"/>
        <v>994.90821689834593</v>
      </c>
      <c r="S371" s="17">
        <f t="shared" si="209"/>
        <v>1.5697912087836146</v>
      </c>
      <c r="T371" s="17" t="str">
        <f t="shared" si="201"/>
        <v>1+0.00212689160265423i</v>
      </c>
      <c r="U371" s="17">
        <f t="shared" si="210"/>
        <v>1.0000022618313869</v>
      </c>
      <c r="V371" s="17">
        <f t="shared" si="211"/>
        <v>2.1268883955458525E-3</v>
      </c>
      <c r="W371" s="31" t="str">
        <f t="shared" si="202"/>
        <v>1-3.44901340970957i</v>
      </c>
      <c r="X371" s="17">
        <f t="shared" si="212"/>
        <v>3.5910574348451227</v>
      </c>
      <c r="Y371" s="17">
        <f t="shared" si="213"/>
        <v>-1.2885961094265226</v>
      </c>
      <c r="Z371" s="31" t="str">
        <f t="shared" si="203"/>
        <v>0.540738551401243+20.9992203677733i</v>
      </c>
      <c r="AA371" s="17">
        <f t="shared" si="214"/>
        <v>21.006181333961596</v>
      </c>
      <c r="AB371" s="17">
        <f t="shared" si="215"/>
        <v>1.54505160526895</v>
      </c>
      <c r="AC371" s="66" t="str">
        <f t="shared" si="216"/>
        <v>-0.269289987843008+0.837564908553936i</v>
      </c>
      <c r="AD371" s="64">
        <f t="shared" si="217"/>
        <v>-1.1124104306898062</v>
      </c>
      <c r="AE371" s="61">
        <f t="shared" si="218"/>
        <v>107.8233960695777</v>
      </c>
      <c r="AF371" s="31" t="str">
        <f t="shared" si="204"/>
        <v>-1.39902068552014E-06</v>
      </c>
      <c r="AG371" s="31" t="str">
        <f t="shared" si="205"/>
        <v>0.00704024539705406i</v>
      </c>
      <c r="AH371" s="31">
        <f t="shared" si="219"/>
        <v>7.0402453970540603E-3</v>
      </c>
      <c r="AI371" s="31">
        <f t="shared" si="220"/>
        <v>1.5707963267948966</v>
      </c>
      <c r="AJ371" s="31" t="str">
        <f t="shared" si="206"/>
        <v>1+0.5085544460141i</v>
      </c>
      <c r="AK371" s="31">
        <f t="shared" si="221"/>
        <v>1.1218857448781083</v>
      </c>
      <c r="AL371" s="31">
        <f t="shared" si="222"/>
        <v>0.47046772278672266</v>
      </c>
      <c r="AM371" s="31" t="str">
        <f t="shared" si="207"/>
        <v>1+247.307035599916i</v>
      </c>
      <c r="AN371" s="31">
        <f t="shared" si="223"/>
        <v>247.3090573699599</v>
      </c>
      <c r="AO371" s="31">
        <f t="shared" si="224"/>
        <v>1.5667527922164688</v>
      </c>
      <c r="AP371" s="58" t="str">
        <f t="shared" si="225"/>
        <v>-0.0389656173841128+0.020014855564762i</v>
      </c>
      <c r="AQ371" s="49">
        <f t="shared" si="226"/>
        <v>-27.169445380847211</v>
      </c>
      <c r="AR371" s="61">
        <f t="shared" si="227"/>
        <v>152.81250762153095</v>
      </c>
      <c r="AS371" s="58" t="str">
        <f t="shared" si="228"/>
        <v>-0.00627069003915708-0.0380260339727864i</v>
      </c>
      <c r="AT371" s="64">
        <f t="shared" si="229"/>
        <v>-28.281855811537021</v>
      </c>
      <c r="AU371" s="61">
        <f t="shared" si="230"/>
        <v>-99.364096308891334</v>
      </c>
    </row>
    <row r="372" spans="14:47" x14ac:dyDescent="0.4">
      <c r="N372" s="10">
        <v>54</v>
      </c>
      <c r="O372" s="50">
        <f t="shared" si="198"/>
        <v>34673.685045253202</v>
      </c>
      <c r="P372" s="48" t="str">
        <f t="shared" si="199"/>
        <v>5120.19230769231</v>
      </c>
      <c r="Q372" s="17" t="str">
        <f t="shared" si="200"/>
        <v>1+1018.08209204946i</v>
      </c>
      <c r="R372" s="17">
        <f t="shared" si="208"/>
        <v>1018.0825831688729</v>
      </c>
      <c r="S372" s="17">
        <f t="shared" si="209"/>
        <v>1.5698140880479314</v>
      </c>
      <c r="T372" s="17" t="str">
        <f t="shared" si="201"/>
        <v>1+0.00217643327233685i</v>
      </c>
      <c r="U372" s="17">
        <f t="shared" si="210"/>
        <v>1.0000023684280899</v>
      </c>
      <c r="V372" s="17">
        <f t="shared" si="211"/>
        <v>2.1764298358587487E-3</v>
      </c>
      <c r="W372" s="31" t="str">
        <f t="shared" si="202"/>
        <v>1-3.52935125243813i</v>
      </c>
      <c r="X372" s="17">
        <f t="shared" si="212"/>
        <v>3.6682857390185126</v>
      </c>
      <c r="Y372" s="17">
        <f t="shared" si="213"/>
        <v>-1.2946948105306151</v>
      </c>
      <c r="Z372" s="31" t="str">
        <f t="shared" si="203"/>
        <v>0.519094226153035+21.4883550457016i</v>
      </c>
      <c r="AA372" s="17">
        <f t="shared" si="214"/>
        <v>21.494624011267444</v>
      </c>
      <c r="AB372" s="17">
        <f t="shared" si="215"/>
        <v>1.5466440226257236</v>
      </c>
      <c r="AC372" s="66" t="str">
        <f t="shared" si="216"/>
        <v>-0.256440739567882+0.819092119339123i</v>
      </c>
      <c r="AD372" s="64">
        <f t="shared" si="217"/>
        <v>-1.3272480345207516</v>
      </c>
      <c r="AE372" s="61">
        <f t="shared" si="218"/>
        <v>107.38425507219222</v>
      </c>
      <c r="AF372" s="31" t="str">
        <f t="shared" si="204"/>
        <v>-1.39902068552014E-06</v>
      </c>
      <c r="AG372" s="31" t="str">
        <f t="shared" si="205"/>
        <v>0.00720423377874225i</v>
      </c>
      <c r="AH372" s="31">
        <f t="shared" si="219"/>
        <v>7.2042337787422504E-3</v>
      </c>
      <c r="AI372" s="31">
        <f t="shared" si="220"/>
        <v>1.5707963267948966</v>
      </c>
      <c r="AJ372" s="31" t="str">
        <f t="shared" si="206"/>
        <v>1+0.520400200799448i</v>
      </c>
      <c r="AK372" s="31">
        <f t="shared" si="221"/>
        <v>1.1273049139394833</v>
      </c>
      <c r="AL372" s="31">
        <f t="shared" si="222"/>
        <v>0.47983425990821332</v>
      </c>
      <c r="AM372" s="31" t="str">
        <f t="shared" si="207"/>
        <v>1+253.06755647112i</v>
      </c>
      <c r="AN372" s="31">
        <f t="shared" si="223"/>
        <v>253.06953222042259</v>
      </c>
      <c r="AO372" s="31">
        <f t="shared" si="224"/>
        <v>1.5668448333313643</v>
      </c>
      <c r="AP372" s="58" t="str">
        <f t="shared" si="225"/>
        <v>-0.0385918875805823+0.0202774202836766i</v>
      </c>
      <c r="AQ372" s="49">
        <f t="shared" si="226"/>
        <v>-27.211303983942106</v>
      </c>
      <c r="AR372" s="61">
        <f t="shared" si="227"/>
        <v>152.28111814324205</v>
      </c>
      <c r="AS372" s="58" t="str">
        <f t="shared" si="228"/>
        <v>-0.0067125429624017-0.0368102676417511i</v>
      </c>
      <c r="AT372" s="64">
        <f t="shared" si="229"/>
        <v>-28.538552018462866</v>
      </c>
      <c r="AU372" s="61">
        <f t="shared" si="230"/>
        <v>-100.3346267845657</v>
      </c>
    </row>
    <row r="373" spans="14:47" x14ac:dyDescent="0.4">
      <c r="N373" s="10">
        <v>55</v>
      </c>
      <c r="O373" s="50">
        <f t="shared" si="198"/>
        <v>35481.33892335758</v>
      </c>
      <c r="P373" s="48" t="str">
        <f t="shared" si="199"/>
        <v>5120.19230769231</v>
      </c>
      <c r="Q373" s="17" t="str">
        <f t="shared" si="200"/>
        <v>1+1041.79627036075i</v>
      </c>
      <c r="R373" s="17">
        <f t="shared" si="208"/>
        <v>1041.7967503009254</v>
      </c>
      <c r="S373" s="17">
        <f t="shared" si="209"/>
        <v>1.5698364465176038</v>
      </c>
      <c r="T373" s="17" t="str">
        <f t="shared" si="201"/>
        <v>1+0.00222712891574898i</v>
      </c>
      <c r="U373" s="17">
        <f t="shared" si="210"/>
        <v>1.0000024800485283</v>
      </c>
      <c r="V373" s="17">
        <f t="shared" si="211"/>
        <v>2.2271252334968459E-3</v>
      </c>
      <c r="W373" s="31" t="str">
        <f t="shared" si="202"/>
        <v>1-3.61156040391726i</v>
      </c>
      <c r="X373" s="17">
        <f t="shared" si="212"/>
        <v>3.7474482719769466</v>
      </c>
      <c r="Y373" s="17">
        <f t="shared" si="213"/>
        <v>-1.3006751240167147</v>
      </c>
      <c r="Z373" s="31" t="str">
        <f t="shared" si="203"/>
        <v>0.496429835282329+21.9888831339073i</v>
      </c>
      <c r="AA373" s="17">
        <f t="shared" si="214"/>
        <v>21.994486219459443</v>
      </c>
      <c r="AB373" s="17">
        <f t="shared" si="215"/>
        <v>1.5482237606654743</v>
      </c>
      <c r="AC373" s="66" t="str">
        <f t="shared" si="216"/>
        <v>-0.244167343673603+0.80099886040443i</v>
      </c>
      <c r="AD373" s="64">
        <f t="shared" si="217"/>
        <v>-1.5414764654300184</v>
      </c>
      <c r="AE373" s="61">
        <f t="shared" si="218"/>
        <v>106.9527196132364</v>
      </c>
      <c r="AF373" s="31" t="str">
        <f t="shared" si="204"/>
        <v>-1.39902068552014E-06</v>
      </c>
      <c r="AG373" s="31" t="str">
        <f t="shared" si="205"/>
        <v>0.00737204194053924i</v>
      </c>
      <c r="AH373" s="31">
        <f t="shared" si="219"/>
        <v>7.3720419405392404E-3</v>
      </c>
      <c r="AI373" s="31">
        <f t="shared" si="220"/>
        <v>1.5707963267948966</v>
      </c>
      <c r="AJ373" s="31" t="str">
        <f t="shared" si="206"/>
        <v>1+0.532521878659574i</v>
      </c>
      <c r="AK373" s="31">
        <f t="shared" si="221"/>
        <v>1.1329516985516734</v>
      </c>
      <c r="AL373" s="31">
        <f t="shared" si="222"/>
        <v>0.48932535803602112</v>
      </c>
      <c r="AM373" s="31" t="str">
        <f t="shared" si="207"/>
        <v>1+258.962257110512i</v>
      </c>
      <c r="AN373" s="31">
        <f t="shared" si="223"/>
        <v>258.96418788660895</v>
      </c>
      <c r="AO373" s="31">
        <f t="shared" si="224"/>
        <v>1.5669347793993924</v>
      </c>
      <c r="AP373" s="58" t="str">
        <f t="shared" si="225"/>
        <v>-0.0382081518826817+0.0205364506576677i</v>
      </c>
      <c r="AQ373" s="49">
        <f t="shared" si="226"/>
        <v>-27.254706931119625</v>
      </c>
      <c r="AR373" s="61">
        <f t="shared" si="227"/>
        <v>151.74247180765599</v>
      </c>
      <c r="AS373" s="58" t="str">
        <f t="shared" si="228"/>
        <v>-0.00712049062167167-0.0356190167217542i</v>
      </c>
      <c r="AT373" s="64">
        <f t="shared" si="229"/>
        <v>-28.796183396549637</v>
      </c>
      <c r="AU373" s="61">
        <f t="shared" si="230"/>
        <v>-101.30480857910759</v>
      </c>
    </row>
    <row r="374" spans="14:47" x14ac:dyDescent="0.4">
      <c r="N374" s="10">
        <v>56</v>
      </c>
      <c r="O374" s="50">
        <f t="shared" si="198"/>
        <v>36307.805477010232</v>
      </c>
      <c r="P374" s="48" t="str">
        <f t="shared" si="199"/>
        <v>5120.19230769231</v>
      </c>
      <c r="Q374" s="17" t="str">
        <f t="shared" si="200"/>
        <v>1+1066.06282284438i</v>
      </c>
      <c r="R374" s="17">
        <f t="shared" si="208"/>
        <v>1066.063291859788</v>
      </c>
      <c r="S374" s="17">
        <f t="shared" si="209"/>
        <v>1.5698582960472984</v>
      </c>
      <c r="T374" s="17" t="str">
        <f t="shared" si="201"/>
        <v>1+0.00227900541239176i</v>
      </c>
      <c r="U374" s="17">
        <f t="shared" si="210"/>
        <v>1.0000025969294628</v>
      </c>
      <c r="V374" s="17">
        <f t="shared" si="211"/>
        <v>2.2790014667880649E-3</v>
      </c>
      <c r="W374" s="31" t="str">
        <f t="shared" si="202"/>
        <v>1-3.69568445252718i</v>
      </c>
      <c r="X374" s="17">
        <f t="shared" si="212"/>
        <v>3.8285876733661359</v>
      </c>
      <c r="Y374" s="17">
        <f t="shared" si="213"/>
        <v>-1.3065385090027832</v>
      </c>
      <c r="Z374" s="31" t="str">
        <f t="shared" si="203"/>
        <v>0.472697304577434+22.5010700190078i</v>
      </c>
      <c r="AA374" s="17">
        <f t="shared" si="214"/>
        <v>22.506034629450973</v>
      </c>
      <c r="AB374" s="17">
        <f t="shared" si="215"/>
        <v>1.5497916463662689</v>
      </c>
      <c r="AC374" s="66" t="str">
        <f t="shared" si="216"/>
        <v>-0.232444102966894+0.783279178820829i</v>
      </c>
      <c r="AD374" s="64">
        <f t="shared" si="217"/>
        <v>-1.7551194955755942</v>
      </c>
      <c r="AE374" s="61">
        <f t="shared" si="218"/>
        <v>106.52865956984854</v>
      </c>
      <c r="AF374" s="31" t="str">
        <f t="shared" si="204"/>
        <v>-1.39902068552014E-06</v>
      </c>
      <c r="AG374" s="31" t="str">
        <f t="shared" si="205"/>
        <v>0.00754375885655363i</v>
      </c>
      <c r="AH374" s="31">
        <f t="shared" si="219"/>
        <v>7.5437588565536303E-3</v>
      </c>
      <c r="AI374" s="31">
        <f t="shared" si="220"/>
        <v>1.5707963267948966</v>
      </c>
      <c r="AJ374" s="31" t="str">
        <f t="shared" si="206"/>
        <v>1+0.544925906668524i</v>
      </c>
      <c r="AK374" s="31">
        <f t="shared" si="221"/>
        <v>1.1388345989468853</v>
      </c>
      <c r="AL374" s="31">
        <f t="shared" si="222"/>
        <v>0.49893920889188748</v>
      </c>
      <c r="AM374" s="31" t="str">
        <f t="shared" si="207"/>
        <v>1+264.994262966393i</v>
      </c>
      <c r="AN374" s="31">
        <f t="shared" si="223"/>
        <v>264.99614979297689</v>
      </c>
      <c r="AO374" s="31">
        <f t="shared" si="224"/>
        <v>1.5670226781053243</v>
      </c>
      <c r="AP374" s="58" t="str">
        <f t="shared" si="225"/>
        <v>-0.0378144262436302+0.0207915145630321i</v>
      </c>
      <c r="AQ374" s="49">
        <f t="shared" si="226"/>
        <v>-27.29969500822023</v>
      </c>
      <c r="AR374" s="61">
        <f t="shared" si="227"/>
        <v>151.19667495362117</v>
      </c>
      <c r="AS374" s="58" t="str">
        <f t="shared" si="228"/>
        <v>-0.00749582006596469-0.0344521176876186i</v>
      </c>
      <c r="AT374" s="64">
        <f t="shared" si="229"/>
        <v>-29.054814503795821</v>
      </c>
      <c r="AU374" s="61">
        <f t="shared" si="230"/>
        <v>-102.27466547653027</v>
      </c>
    </row>
    <row r="375" spans="14:47" x14ac:dyDescent="0.4">
      <c r="N375" s="10">
        <v>57</v>
      </c>
      <c r="O375" s="50">
        <f t="shared" si="198"/>
        <v>37153.522909717351</v>
      </c>
      <c r="P375" s="48" t="str">
        <f t="shared" si="199"/>
        <v>5120.19230769231</v>
      </c>
      <c r="Q375" s="17" t="str">
        <f t="shared" si="200"/>
        <v>1+1090.89461594769i</v>
      </c>
      <c r="R375" s="17">
        <f t="shared" si="208"/>
        <v>1090.8950742870086</v>
      </c>
      <c r="S375" s="17">
        <f t="shared" si="209"/>
        <v>1.5698796482218418</v>
      </c>
      <c r="T375" s="17" t="str">
        <f t="shared" si="201"/>
        <v>1+0.0023320902678704i</v>
      </c>
      <c r="U375" s="17">
        <f t="shared" si="210"/>
        <v>1.0000027193188115</v>
      </c>
      <c r="V375" s="17">
        <f t="shared" si="211"/>
        <v>2.3320860400804912E-3</v>
      </c>
      <c r="W375" s="31" t="str">
        <f t="shared" si="202"/>
        <v>1-3.781768001952i</v>
      </c>
      <c r="X375" s="17">
        <f t="shared" si="212"/>
        <v>3.9117475916255158</v>
      </c>
      <c r="Y375" s="17">
        <f t="shared" si="213"/>
        <v>-1.3122864610523075</v>
      </c>
      <c r="Z375" s="31" t="str">
        <f t="shared" si="203"/>
        <v>0.447846294158843+23.0251872692692i</v>
      </c>
      <c r="AA375" s="17">
        <f t="shared" si="214"/>
        <v>23.029542224892534</v>
      </c>
      <c r="AB375" s="17">
        <f t="shared" si="215"/>
        <v>1.5513485009712693</v>
      </c>
      <c r="AC375" s="66" t="str">
        <f t="shared" si="216"/>
        <v>-0.221246457731004+0.765927078386841i</v>
      </c>
      <c r="AD375" s="64">
        <f t="shared" si="217"/>
        <v>-1.9682001680857595</v>
      </c>
      <c r="AE375" s="61">
        <f t="shared" si="218"/>
        <v>106.11194311090732</v>
      </c>
      <c r="AF375" s="31" t="str">
        <f t="shared" si="204"/>
        <v>-1.39902068552014E-06</v>
      </c>
      <c r="AG375" s="31" t="str">
        <f t="shared" si="205"/>
        <v>0.0077194755733672i</v>
      </c>
      <c r="AH375" s="31">
        <f t="shared" si="219"/>
        <v>7.7194755733672E-3</v>
      </c>
      <c r="AI375" s="31">
        <f t="shared" si="220"/>
        <v>1.5707963267948966</v>
      </c>
      <c r="AJ375" s="31" t="str">
        <f t="shared" si="206"/>
        <v>1+0.557618861606137i</v>
      </c>
      <c r="AK375" s="31">
        <f t="shared" si="221"/>
        <v>1.1449623551972896</v>
      </c>
      <c r="AL375" s="31">
        <f t="shared" si="222"/>
        <v>0.50867380050122035</v>
      </c>
      <c r="AM375" s="31" t="str">
        <f t="shared" si="207"/>
        <v>1+271.166772288114i</v>
      </c>
      <c r="AN375" s="31">
        <f t="shared" si="223"/>
        <v>271.16861616557674</v>
      </c>
      <c r="AO375" s="31">
        <f t="shared" si="224"/>
        <v>1.5671085760487806</v>
      </c>
      <c r="AP375" s="58" t="str">
        <f t="shared" si="225"/>
        <v>-0.0374107491833601+0.0210421719788059i</v>
      </c>
      <c r="AQ375" s="49">
        <f t="shared" si="226"/>
        <v>-27.346308890082</v>
      </c>
      <c r="AR375" s="61">
        <f t="shared" si="227"/>
        <v>150.64384552875183</v>
      </c>
      <c r="AS375" s="58" t="str">
        <f t="shared" si="228"/>
        <v>-0.00783977356875879-0.0333094118355513i</v>
      </c>
      <c r="AT375" s="64">
        <f t="shared" si="229"/>
        <v>-29.314509058167758</v>
      </c>
      <c r="AU375" s="61">
        <f t="shared" si="230"/>
        <v>-103.24421136034086</v>
      </c>
    </row>
    <row r="376" spans="14:47" x14ac:dyDescent="0.4">
      <c r="N376" s="10">
        <v>58</v>
      </c>
      <c r="O376" s="50">
        <f t="shared" si="198"/>
        <v>38018.939632056143</v>
      </c>
      <c r="P376" s="48" t="str">
        <f t="shared" si="199"/>
        <v>5120.19230769231</v>
      </c>
      <c r="Q376" s="17" t="str">
        <f t="shared" si="200"/>
        <v>1+1116.30481581608i</v>
      </c>
      <c r="R376" s="17">
        <f t="shared" si="208"/>
        <v>1116.3052637223261</v>
      </c>
      <c r="S376" s="17">
        <f t="shared" si="209"/>
        <v>1.5699005143623617</v>
      </c>
      <c r="T376" s="17" t="str">
        <f t="shared" si="201"/>
        <v>1+0.00238641162847793i</v>
      </c>
      <c r="U376" s="17">
        <f t="shared" si="210"/>
        <v>1.0000028474761762</v>
      </c>
      <c r="V376" s="17">
        <f t="shared" si="211"/>
        <v>2.3864070983201204E-3</v>
      </c>
      <c r="W376" s="31" t="str">
        <f t="shared" si="202"/>
        <v>1-3.86985669482906i</v>
      </c>
      <c r="X376" s="17">
        <f t="shared" si="212"/>
        <v>3.9969727092530034</v>
      </c>
      <c r="Y376" s="17">
        <f t="shared" si="213"/>
        <v>-1.3179205079333653</v>
      </c>
      <c r="Z376" s="31" t="str">
        <f t="shared" si="203"/>
        <v>0.421824091701627+23.5615127785952i</v>
      </c>
      <c r="AA376" s="17">
        <f t="shared" si="214"/>
        <v>23.565288455273464</v>
      </c>
      <c r="AB376" s="17">
        <f t="shared" si="215"/>
        <v>1.5528951403765634</v>
      </c>
      <c r="AC376" s="66" t="str">
        <f t="shared" si="216"/>
        <v>-0.210550936209759+0.748936532383131i</v>
      </c>
      <c r="AD376" s="64">
        <f t="shared" si="217"/>
        <v>-2.1807408068772651</v>
      </c>
      <c r="AE376" s="61">
        <f t="shared" si="218"/>
        <v>105.70243691828126</v>
      </c>
      <c r="AF376" s="31" t="str">
        <f t="shared" si="204"/>
        <v>-1.39902068552014E-06</v>
      </c>
      <c r="AG376" s="31" t="str">
        <f t="shared" si="205"/>
        <v>0.0078992852583091i</v>
      </c>
      <c r="AH376" s="31">
        <f t="shared" si="219"/>
        <v>7.8992852583091005E-3</v>
      </c>
      <c r="AI376" s="31">
        <f t="shared" si="220"/>
        <v>1.5707963267948966</v>
      </c>
      <c r="AJ376" s="31" t="str">
        <f t="shared" si="206"/>
        <v>1+0.570607473445131i</v>
      </c>
      <c r="AK376" s="31">
        <f t="shared" si="221"/>
        <v>1.1513439489359536</v>
      </c>
      <c r="AL376" s="31">
        <f t="shared" si="222"/>
        <v>0.51852691375534954</v>
      </c>
      <c r="AM376" s="31" t="str">
        <f t="shared" si="207"/>
        <v>1+277.483057821818i</v>
      </c>
      <c r="AN376" s="31">
        <f t="shared" si="223"/>
        <v>277.48485972778116</v>
      </c>
      <c r="AO376" s="31">
        <f t="shared" si="224"/>
        <v>1.5671925187689151</v>
      </c>
      <c r="AP376" s="58" t="str">
        <f t="shared" si="225"/>
        <v>-0.0369971828182487+0.0212879762620598i</v>
      </c>
      <c r="AQ376" s="49">
        <f t="shared" si="226"/>
        <v>-27.394589046404008</v>
      </c>
      <c r="AR376" s="61">
        <f t="shared" si="227"/>
        <v>150.08411328781031</v>
      </c>
      <c r="AS376" s="58" t="str">
        <f t="shared" si="228"/>
        <v>-0.0081535516436556-0.0321907451398318i</v>
      </c>
      <c r="AT376" s="64">
        <f t="shared" si="229"/>
        <v>-29.575329853281261</v>
      </c>
      <c r="AU376" s="61">
        <f t="shared" si="230"/>
        <v>-104.2134497939084</v>
      </c>
    </row>
    <row r="377" spans="14:47" x14ac:dyDescent="0.4">
      <c r="N377" s="10">
        <v>59</v>
      </c>
      <c r="O377" s="50">
        <f t="shared" si="198"/>
        <v>38904.514499428085</v>
      </c>
      <c r="P377" s="48" t="str">
        <f t="shared" si="199"/>
        <v>5120.19230769231</v>
      </c>
      <c r="Q377" s="17" t="str">
        <f t="shared" si="200"/>
        <v>1+1142.30689527385i</v>
      </c>
      <c r="R377" s="17">
        <f t="shared" si="208"/>
        <v>1142.307332984509</v>
      </c>
      <c r="S377" s="17">
        <f t="shared" si="209"/>
        <v>1.5699209055322891</v>
      </c>
      <c r="T377" s="17" t="str">
        <f t="shared" si="201"/>
        <v>1+0.00244199829611876i</v>
      </c>
      <c r="U377" s="17">
        <f t="shared" si="210"/>
        <v>1.000002981673394</v>
      </c>
      <c r="V377" s="17">
        <f t="shared" si="211"/>
        <v>2.441993441967993E-3</v>
      </c>
      <c r="W377" s="31" t="str">
        <f t="shared" si="202"/>
        <v>1-3.95999723694934i</v>
      </c>
      <c r="X377" s="17">
        <f t="shared" si="212"/>
        <v>4.0843087685245356</v>
      </c>
      <c r="Y377" s="17">
        <f t="shared" si="213"/>
        <v>-1.3234422055883335</v>
      </c>
      <c r="Z377" s="31" t="str">
        <f t="shared" si="203"/>
        <v>0.394575500625514+24.1103309138699i</v>
      </c>
      <c r="AA377" s="17">
        <f t="shared" si="214"/>
        <v>24.11355939304698</v>
      </c>
      <c r="AB377" s="17">
        <f t="shared" si="215"/>
        <v>1.5544323755185123</v>
      </c>
      <c r="AC377" s="66" t="str">
        <f t="shared" si="216"/>
        <v>-0.200335107174381+0.732301495266497i</v>
      </c>
      <c r="AD377" s="64">
        <f t="shared" si="217"/>
        <v>-2.3927630276856302</v>
      </c>
      <c r="AE377" s="61">
        <f t="shared" si="218"/>
        <v>105.30000639606486</v>
      </c>
      <c r="AF377" s="31" t="str">
        <f t="shared" si="204"/>
        <v>-1.39902068552014E-06</v>
      </c>
      <c r="AG377" s="31" t="str">
        <f t="shared" si="205"/>
        <v>0.00808328324885437i</v>
      </c>
      <c r="AH377" s="31">
        <f t="shared" si="219"/>
        <v>8.0832832488543695E-3</v>
      </c>
      <c r="AI377" s="31">
        <f t="shared" si="220"/>
        <v>1.5707963267948966</v>
      </c>
      <c r="AJ377" s="31" t="str">
        <f t="shared" si="206"/>
        <v>1+0.583898628919429i</v>
      </c>
      <c r="AK377" s="31">
        <f t="shared" si="221"/>
        <v>1.1579886048031687</v>
      </c>
      <c r="AL377" s="31">
        <f t="shared" si="222"/>
        <v>0.52849611960039822</v>
      </c>
      <c r="AM377" s="31" t="str">
        <f t="shared" si="207"/>
        <v>1+283.946468545701i</v>
      </c>
      <c r="AN377" s="31">
        <f t="shared" si="223"/>
        <v>283.94822943553419</v>
      </c>
      <c r="AO377" s="31">
        <f t="shared" si="224"/>
        <v>1.5672745507685344</v>
      </c>
      <c r="AP377" s="58" t="str">
        <f t="shared" si="225"/>
        <v>-0.0365738138179457+0.0215284755390155i</v>
      </c>
      <c r="AQ377" s="49">
        <f t="shared" si="226"/>
        <v>-27.444575643553591</v>
      </c>
      <c r="AR377" s="61">
        <f t="shared" si="227"/>
        <v>149.5176199551552</v>
      </c>
      <c r="AS377" s="58" t="str">
        <f t="shared" si="228"/>
        <v>-0.00843831591703525-0.0310959680008898i</v>
      </c>
      <c r="AT377" s="64">
        <f t="shared" si="229"/>
        <v>-29.837338671239223</v>
      </c>
      <c r="AU377" s="61">
        <f t="shared" si="230"/>
        <v>-105.18237364877997</v>
      </c>
    </row>
    <row r="378" spans="14:47" x14ac:dyDescent="0.4">
      <c r="N378" s="10">
        <v>60</v>
      </c>
      <c r="O378" s="50">
        <f t="shared" si="198"/>
        <v>39810.717055349742</v>
      </c>
      <c r="P378" s="48" t="str">
        <f t="shared" si="199"/>
        <v>5120.19230769231</v>
      </c>
      <c r="Q378" s="17" t="str">
        <f t="shared" si="200"/>
        <v>1+1168.91464096771i</v>
      </c>
      <c r="R378" s="17">
        <f t="shared" si="208"/>
        <v>1168.9150687148619</v>
      </c>
      <c r="S378" s="17">
        <f t="shared" si="209"/>
        <v>1.5699408325432245</v>
      </c>
      <c r="T378" s="17" t="str">
        <f t="shared" si="201"/>
        <v>1+0.00249887974357987i</v>
      </c>
      <c r="U378" s="17">
        <f t="shared" si="210"/>
        <v>1.0000031221951124</v>
      </c>
      <c r="V378" s="17">
        <f t="shared" si="211"/>
        <v>2.4988745422644897E-3</v>
      </c>
      <c r="W378" s="31" t="str">
        <f t="shared" si="202"/>
        <v>1-4.0522374220214i</v>
      </c>
      <c r="X378" s="17">
        <f t="shared" si="212"/>
        <v>4.1738025976836326</v>
      </c>
      <c r="Y378" s="17">
        <f t="shared" si="213"/>
        <v>-1.3288531343113981</v>
      </c>
      <c r="Z378" s="31" t="str">
        <f t="shared" si="203"/>
        <v>0.366042723015554+24.6719326657331i</v>
      </c>
      <c r="AA378" s="17">
        <f t="shared" si="214"/>
        <v>24.674647894905018</v>
      </c>
      <c r="AB378" s="17">
        <f t="shared" si="215"/>
        <v>1.5559610127606029</v>
      </c>
      <c r="AC378" s="66" t="str">
        <f t="shared" si="216"/>
        <v>-0.190577534491981+0.716015913376932i</v>
      </c>
      <c r="AD378" s="64">
        <f t="shared" si="217"/>
        <v>-2.6042877501693424</v>
      </c>
      <c r="AE378" s="61">
        <f t="shared" si="218"/>
        <v>104.90451586796495</v>
      </c>
      <c r="AF378" s="31" t="str">
        <f t="shared" si="204"/>
        <v>-1.39902068552014E-06</v>
      </c>
      <c r="AG378" s="31" t="str">
        <f t="shared" si="205"/>
        <v>0.00827156710317308i</v>
      </c>
      <c r="AH378" s="31">
        <f t="shared" si="219"/>
        <v>8.27156710317308E-3</v>
      </c>
      <c r="AI378" s="31">
        <f t="shared" si="220"/>
        <v>1.5707963267948966</v>
      </c>
      <c r="AJ378" s="31" t="str">
        <f t="shared" si="206"/>
        <v>1+0.597499375175591i</v>
      </c>
      <c r="AK378" s="31">
        <f t="shared" si="221"/>
        <v>1.1649057916137346</v>
      </c>
      <c r="AL378" s="31">
        <f t="shared" si="222"/>
        <v>0.53857877690641198</v>
      </c>
      <c r="AM378" s="31" t="str">
        <f t="shared" si="207"/>
        <v>1+290.560431445683i</v>
      </c>
      <c r="AN378" s="31">
        <f t="shared" si="223"/>
        <v>290.56215225301014</v>
      </c>
      <c r="AO378" s="31">
        <f t="shared" si="224"/>
        <v>1.5673547155376719</v>
      </c>
      <c r="AP378" s="58" t="str">
        <f t="shared" si="225"/>
        <v>-0.0361407542763604+0.0217632142087521i</v>
      </c>
      <c r="AQ378" s="49">
        <f t="shared" si="226"/>
        <v>-27.496308442641535</v>
      </c>
      <c r="AR378" s="61">
        <f t="shared" si="227"/>
        <v>148.9445193481809</v>
      </c>
      <c r="AS378" s="58" t="str">
        <f t="shared" si="228"/>
        <v>-0.00869519185502817-0.0300249348898443i</v>
      </c>
      <c r="AT378" s="64">
        <f t="shared" si="229"/>
        <v>-30.100596192810869</v>
      </c>
      <c r="AU378" s="61">
        <f t="shared" si="230"/>
        <v>-106.15096478385412</v>
      </c>
    </row>
    <row r="379" spans="14:47" x14ac:dyDescent="0.4">
      <c r="N379" s="10">
        <v>61</v>
      </c>
      <c r="O379" s="50">
        <f t="shared" si="198"/>
        <v>40738.027780411358</v>
      </c>
      <c r="P379" s="48" t="str">
        <f t="shared" si="199"/>
        <v>5120.19230769231</v>
      </c>
      <c r="Q379" s="17" t="str">
        <f t="shared" si="200"/>
        <v>1+1196.14216067664i</v>
      </c>
      <c r="R379" s="17">
        <f t="shared" si="208"/>
        <v>1196.1425786870816</v>
      </c>
      <c r="S379" s="17">
        <f t="shared" si="209"/>
        <v>1.5699603059606695</v>
      </c>
      <c r="T379" s="17" t="str">
        <f t="shared" si="201"/>
        <v>1+0.00255708613015761i</v>
      </c>
      <c r="U379" s="17">
        <f t="shared" si="210"/>
        <v>1.0000032693393941</v>
      </c>
      <c r="V379" s="17">
        <f t="shared" si="211"/>
        <v>2.5570805568487518E-3</v>
      </c>
      <c r="W379" s="31" t="str">
        <f t="shared" si="202"/>
        <v>1-4.14662615701234i</v>
      </c>
      <c r="X379" s="17">
        <f t="shared" si="212"/>
        <v>4.265502137617438</v>
      </c>
      <c r="Y379" s="17">
        <f t="shared" si="213"/>
        <v>-1.3341548951303106</v>
      </c>
      <c r="Z379" s="31" t="str">
        <f t="shared" si="203"/>
        <v>0.336165237024974+25.2466158028673i</v>
      </c>
      <c r="AA379" s="17">
        <f t="shared" si="214"/>
        <v>25.248853767333141</v>
      </c>
      <c r="AB379" s="17">
        <f t="shared" si="215"/>
        <v>1.5574818542798157</v>
      </c>
      <c r="AC379" s="66" t="str">
        <f t="shared" si="216"/>
        <v>-0.18125773361724+0.700073734727036i</v>
      </c>
      <c r="AD379" s="64">
        <f t="shared" si="217"/>
        <v>-2.815335210953763</v>
      </c>
      <c r="AE379" s="61">
        <f t="shared" si="218"/>
        <v>104.51582876303988</v>
      </c>
      <c r="AF379" s="31" t="str">
        <f t="shared" si="204"/>
        <v>-1.39902068552014E-06</v>
      </c>
      <c r="AG379" s="31" t="str">
        <f t="shared" si="205"/>
        <v>0.00846423665185705i</v>
      </c>
      <c r="AH379" s="31">
        <f t="shared" si="219"/>
        <v>8.4642366518570492E-3</v>
      </c>
      <c r="AI379" s="31">
        <f t="shared" si="220"/>
        <v>1.5707963267948966</v>
      </c>
      <c r="AJ379" s="31" t="str">
        <f t="shared" si="206"/>
        <v>1+0.611416923509312i</v>
      </c>
      <c r="AK379" s="31">
        <f t="shared" si="221"/>
        <v>1.1721052232430293</v>
      </c>
      <c r="AL379" s="31">
        <f t="shared" si="222"/>
        <v>0.5487720310685662</v>
      </c>
      <c r="AM379" s="31" t="str">
        <f t="shared" si="207"/>
        <v>1+297.32845333244i</v>
      </c>
      <c r="AN379" s="31">
        <f t="shared" si="223"/>
        <v>297.33013496963429</v>
      </c>
      <c r="AO379" s="31">
        <f t="shared" si="224"/>
        <v>1.5674330555766256</v>
      </c>
      <c r="AP379" s="58" t="str">
        <f t="shared" si="225"/>
        <v>-0.0356981424837856+0.0219917345547793i</v>
      </c>
      <c r="AQ379" s="49">
        <f t="shared" si="226"/>
        <v>-27.549826694242672</v>
      </c>
      <c r="AR379" s="61">
        <f t="shared" si="227"/>
        <v>148.36497745878432</v>
      </c>
      <c r="AS379" s="58" t="str">
        <f t="shared" si="228"/>
        <v>-0.00892527134193367-0.0289775038951529i</v>
      </c>
      <c r="AT379" s="64">
        <f t="shared" si="229"/>
        <v>-30.36516190519643</v>
      </c>
      <c r="AU379" s="61">
        <f t="shared" si="230"/>
        <v>-107.11919377817577</v>
      </c>
    </row>
    <row r="380" spans="14:47" x14ac:dyDescent="0.4">
      <c r="N380" s="10">
        <v>62</v>
      </c>
      <c r="O380" s="50">
        <f t="shared" si="198"/>
        <v>41686.938347033625</v>
      </c>
      <c r="P380" s="48" t="str">
        <f t="shared" si="199"/>
        <v>5120.19230769231</v>
      </c>
      <c r="Q380" s="17" t="str">
        <f t="shared" si="200"/>
        <v>1+1224.00389079196i</v>
      </c>
      <c r="R380" s="17">
        <f t="shared" si="208"/>
        <v>1224.0042992873252</v>
      </c>
      <c r="S380" s="17">
        <f t="shared" si="209"/>
        <v>1.5699793361096286</v>
      </c>
      <c r="T380" s="17" t="str">
        <f t="shared" si="201"/>
        <v>1+0.0026166483176486i</v>
      </c>
      <c r="U380" s="17">
        <f t="shared" si="210"/>
        <v>1.0000034234183492</v>
      </c>
      <c r="V380" s="17">
        <f t="shared" si="211"/>
        <v>2.6166423457416686E-3</v>
      </c>
      <c r="W380" s="31" t="str">
        <f t="shared" si="202"/>
        <v>1-4.2432134880788i</v>
      </c>
      <c r="X380" s="17">
        <f t="shared" si="212"/>
        <v>4.3594564690353161</v>
      </c>
      <c r="Y380" s="17">
        <f t="shared" si="213"/>
        <v>-1.3393491063881287</v>
      </c>
      <c r="Z380" s="31" t="str">
        <f t="shared" si="203"/>
        <v>0.304879668500245+25.8346850298787i</v>
      </c>
      <c r="AA380" s="17">
        <f t="shared" si="214"/>
        <v>25.836483936582848</v>
      </c>
      <c r="AB380" s="17">
        <f t="shared" si="215"/>
        <v>1.5589956984525133</v>
      </c>
      <c r="AC380" s="66" t="str">
        <f t="shared" si="216"/>
        <v>-0.172356129931319+0.684468917938211i</v>
      </c>
      <c r="AD380" s="64">
        <f t="shared" si="217"/>
        <v>-3.0259249774925117</v>
      </c>
      <c r="AE380" s="61">
        <f t="shared" si="218"/>
        <v>104.1338077900365</v>
      </c>
      <c r="AF380" s="31" t="str">
        <f t="shared" si="204"/>
        <v>-1.39902068552014E-06</v>
      </c>
      <c r="AG380" s="31" t="str">
        <f t="shared" si="205"/>
        <v>0.00866139405085123i</v>
      </c>
      <c r="AH380" s="31">
        <f t="shared" si="219"/>
        <v>8.6613940508512306E-3</v>
      </c>
      <c r="AI380" s="31">
        <f t="shared" si="220"/>
        <v>1.5707963267948966</v>
      </c>
      <c r="AJ380" s="31" t="str">
        <f t="shared" si="206"/>
        <v>1+0.625658653188938i</v>
      </c>
      <c r="AK380" s="31">
        <f t="shared" si="221"/>
        <v>1.1795968592320836</v>
      </c>
      <c r="AL380" s="31">
        <f t="shared" si="222"/>
        <v>0.5590728133896502</v>
      </c>
      <c r="AM380" s="31" t="str">
        <f t="shared" si="207"/>
        <v>1+304.254122700762i</v>
      </c>
      <c r="AN380" s="31">
        <f t="shared" si="223"/>
        <v>304.25576605942962</v>
      </c>
      <c r="AO380" s="31">
        <f t="shared" si="224"/>
        <v>1.5675096124184724</v>
      </c>
      <c r="AP380" s="58" t="str">
        <f t="shared" si="225"/>
        <v>-0.0352461435872316+0.0222135784582105i</v>
      </c>
      <c r="AQ380" s="49">
        <f t="shared" si="226"/>
        <v>-27.605169030189987</v>
      </c>
      <c r="AR380" s="61">
        <f t="shared" si="227"/>
        <v>147.77917249003394</v>
      </c>
      <c r="AS380" s="58" t="str">
        <f t="shared" si="228"/>
        <v>-0.00912961510712808-0.0279535361776301i</v>
      </c>
      <c r="AT380" s="64">
        <f t="shared" si="229"/>
        <v>-30.631094007682499</v>
      </c>
      <c r="AU380" s="61">
        <f t="shared" si="230"/>
        <v>-108.08701971992956</v>
      </c>
    </row>
    <row r="381" spans="14:47" x14ac:dyDescent="0.4">
      <c r="N381" s="10">
        <v>63</v>
      </c>
      <c r="O381" s="50">
        <f t="shared" si="198"/>
        <v>42657.951880159271</v>
      </c>
      <c r="P381" s="48" t="str">
        <f t="shared" si="199"/>
        <v>5120.19230769231</v>
      </c>
      <c r="Q381" s="17" t="str">
        <f t="shared" si="200"/>
        <v>1+1252.51460397179i</v>
      </c>
      <c r="R381" s="17">
        <f t="shared" si="208"/>
        <v>1252.5150031686687</v>
      </c>
      <c r="S381" s="17">
        <f t="shared" si="209"/>
        <v>1.5699979330800837</v>
      </c>
      <c r="T381" s="17" t="str">
        <f t="shared" si="201"/>
        <v>1+0.00267759788671303i</v>
      </c>
      <c r="U381" s="17">
        <f t="shared" si="210"/>
        <v>1.0000035847587962</v>
      </c>
      <c r="V381" s="17">
        <f t="shared" si="211"/>
        <v>2.6775914877007027E-3</v>
      </c>
      <c r="W381" s="31" t="str">
        <f t="shared" si="202"/>
        <v>1-4.34205062710221i</v>
      </c>
      <c r="X381" s="17">
        <f t="shared" si="212"/>
        <v>4.455715840167402</v>
      </c>
      <c r="Y381" s="17">
        <f t="shared" si="213"/>
        <v>-1.344437400520172</v>
      </c>
      <c r="Z381" s="31" t="str">
        <f t="shared" si="203"/>
        <v>0.272119656556002+26.4364521488554i</v>
      </c>
      <c r="AA381" s="17">
        <f t="shared" si="214"/>
        <v>26.437852623203067</v>
      </c>
      <c r="AB381" s="17">
        <f t="shared" si="215"/>
        <v>1.5605033402398785</v>
      </c>
      <c r="AC381" s="66" t="str">
        <f t="shared" si="216"/>
        <v>-0.163854018854469+0.669195440383851i</v>
      </c>
      <c r="AD381" s="64">
        <f t="shared" si="217"/>
        <v>-3.2360759626326918</v>
      </c>
      <c r="AE381" s="61">
        <f t="shared" si="218"/>
        <v>103.75831510059604</v>
      </c>
      <c r="AF381" s="31" t="str">
        <f t="shared" si="204"/>
        <v>-1.39902068552014E-06</v>
      </c>
      <c r="AG381" s="31" t="str">
        <f t="shared" si="205"/>
        <v>0.00886314383561826i</v>
      </c>
      <c r="AH381" s="31">
        <f t="shared" si="219"/>
        <v>8.8631438356182608E-3</v>
      </c>
      <c r="AI381" s="31">
        <f t="shared" si="220"/>
        <v>1.5707963267948966</v>
      </c>
      <c r="AJ381" s="31" t="str">
        <f t="shared" si="206"/>
        <v>1+0.640232115368055i</v>
      </c>
      <c r="AK381" s="31">
        <f t="shared" si="221"/>
        <v>1.1873909051145097</v>
      </c>
      <c r="AL381" s="31">
        <f t="shared" si="222"/>
        <v>0.56947784128975121</v>
      </c>
      <c r="AM381" s="31" t="str">
        <f t="shared" si="207"/>
        <v>1+311.341111632218i</v>
      </c>
      <c r="AN381" s="31">
        <f t="shared" si="223"/>
        <v>311.34271758367049</v>
      </c>
      <c r="AO381" s="31">
        <f t="shared" si="224"/>
        <v>1.5675844266510717</v>
      </c>
      <c r="AP381" s="58" t="str">
        <f t="shared" si="225"/>
        <v>-0.0347849501263179+0.0224282892046577i</v>
      </c>
      <c r="AQ381" s="49">
        <f t="shared" si="226"/>
        <v>-27.662373352925592</v>
      </c>
      <c r="AR381" s="61">
        <f t="shared" si="227"/>
        <v>147.18729484541765</v>
      </c>
      <c r="AS381" s="58" t="str">
        <f t="shared" si="228"/>
        <v>-0.00930925499751782-0.0269528953407251i</v>
      </c>
      <c r="AT381" s="64">
        <f t="shared" si="229"/>
        <v>-30.898449315558278</v>
      </c>
      <c r="AU381" s="61">
        <f t="shared" si="230"/>
        <v>-109.05439005398627</v>
      </c>
    </row>
    <row r="382" spans="14:47" x14ac:dyDescent="0.4">
      <c r="N382" s="10">
        <v>64</v>
      </c>
      <c r="O382" s="50">
        <f t="shared" si="198"/>
        <v>43651.583224016598</v>
      </c>
      <c r="P382" s="48" t="str">
        <f t="shared" si="199"/>
        <v>5120.19230769231</v>
      </c>
      <c r="Q382" s="17" t="str">
        <f t="shared" si="200"/>
        <v>1+1281.68941697364i</v>
      </c>
      <c r="R382" s="17">
        <f t="shared" si="208"/>
        <v>1281.689807083691</v>
      </c>
      <c r="S382" s="17">
        <f t="shared" si="209"/>
        <v>1.570016106732343</v>
      </c>
      <c r="T382" s="17" t="str">
        <f t="shared" si="201"/>
        <v>1+0.0027399671536192i</v>
      </c>
      <c r="U382" s="17">
        <f t="shared" si="210"/>
        <v>1.0000037537029562</v>
      </c>
      <c r="V382" s="17">
        <f t="shared" si="211"/>
        <v>2.7399602969553466E-3</v>
      </c>
      <c r="W382" s="31" t="str">
        <f t="shared" si="202"/>
        <v>1-4.44318997884194i</v>
      </c>
      <c r="X382" s="17">
        <f t="shared" si="212"/>
        <v>4.554331694999985</v>
      </c>
      <c r="Y382" s="17">
        <f t="shared" si="213"/>
        <v>-1.3494214210209168</v>
      </c>
      <c r="Z382" s="31" t="str">
        <f t="shared" si="203"/>
        <v>0.2378157128147+27.0522362246891i</v>
      </c>
      <c r="AA382" s="17">
        <f t="shared" si="214"/>
        <v>27.053281521280233</v>
      </c>
      <c r="AB382" s="17">
        <f t="shared" si="215"/>
        <v>1.562005571572922</v>
      </c>
      <c r="AC382" s="66" t="str">
        <f t="shared" si="216"/>
        <v>-0.155733527661435+0.654247305596029i</v>
      </c>
      <c r="AD382" s="64">
        <f t="shared" si="217"/>
        <v>-3.4458064397750925</v>
      </c>
      <c r="AE382" s="61">
        <f t="shared" si="218"/>
        <v>103.38921244163178</v>
      </c>
      <c r="AF382" s="31" t="str">
        <f t="shared" si="204"/>
        <v>-1.39902068552014E-06</v>
      </c>
      <c r="AG382" s="31" t="str">
        <f t="shared" si="205"/>
        <v>0.00906959297656453i</v>
      </c>
      <c r="AH382" s="31">
        <f t="shared" si="219"/>
        <v>9.0695929765645302E-3</v>
      </c>
      <c r="AI382" s="31">
        <f t="shared" si="220"/>
        <v>1.5707963267948966</v>
      </c>
      <c r="AJ382" s="31" t="str">
        <f t="shared" si="206"/>
        <v>1+0.655145037089213i</v>
      </c>
      <c r="AK382" s="31">
        <f t="shared" si="221"/>
        <v>1.1954978124708662</v>
      </c>
      <c r="AL382" s="31">
        <f t="shared" si="222"/>
        <v>0.57998361938495946</v>
      </c>
      <c r="AM382" s="31" t="str">
        <f t="shared" si="207"/>
        <v>1+318.593177742148i</v>
      </c>
      <c r="AN382" s="31">
        <f t="shared" si="223"/>
        <v>318.5947471378646</v>
      </c>
      <c r="AO382" s="31">
        <f t="shared" si="224"/>
        <v>1.567657537938568</v>
      </c>
      <c r="AP382" s="58" t="str">
        <f t="shared" si="225"/>
        <v>-0.0343147824325667+0.0226354133753686i</v>
      </c>
      <c r="AQ382" s="49">
        <f t="shared" si="226"/>
        <v>-27.721476722939769</v>
      </c>
      <c r="AR382" s="61">
        <f t="shared" si="227"/>
        <v>146.58954706826961</v>
      </c>
      <c r="AS382" s="58" t="str">
        <f t="shared" si="228"/>
        <v>-0.00946519609272897-0.0259754467236417i</v>
      </c>
      <c r="AT382" s="64">
        <f t="shared" si="229"/>
        <v>-31.167283162714856</v>
      </c>
      <c r="AU382" s="61">
        <f t="shared" si="230"/>
        <v>-110.02124049009859</v>
      </c>
    </row>
    <row r="383" spans="14:47" x14ac:dyDescent="0.4">
      <c r="N383" s="10">
        <v>65</v>
      </c>
      <c r="O383" s="50">
        <f t="shared" si="198"/>
        <v>44668.359215096389</v>
      </c>
      <c r="P383" s="48" t="str">
        <f t="shared" si="199"/>
        <v>5120.19230769231</v>
      </c>
      <c r="Q383" s="17" t="str">
        <f t="shared" si="200"/>
        <v>1+1311.54379866953i</v>
      </c>
      <c r="R383" s="17">
        <f t="shared" si="208"/>
        <v>1311.5441798995946</v>
      </c>
      <c r="S383" s="17">
        <f t="shared" si="209"/>
        <v>1.5700338667022695</v>
      </c>
      <c r="T383" s="17" t="str">
        <f t="shared" si="201"/>
        <v>1+0.00280378918737798i</v>
      </c>
      <c r="U383" s="17">
        <f t="shared" si="210"/>
        <v>1.0000039306091788</v>
      </c>
      <c r="V383" s="17">
        <f t="shared" si="211"/>
        <v>2.8037818403318514E-3</v>
      </c>
      <c r="W383" s="31" t="str">
        <f t="shared" si="202"/>
        <v>1-4.54668516872105i</v>
      </c>
      <c r="X383" s="17">
        <f t="shared" si="212"/>
        <v>4.6553567020656921</v>
      </c>
      <c r="Y383" s="17">
        <f t="shared" si="213"/>
        <v>-1.3543028195951985</v>
      </c>
      <c r="Z383" s="31" t="str">
        <f t="shared" si="203"/>
        <v>0.201895074012441+27.6823637542481i</v>
      </c>
      <c r="AA383" s="17">
        <f t="shared" si="214"/>
        <v>27.683099982542043</v>
      </c>
      <c r="AB383" s="17">
        <f t="shared" si="215"/>
        <v>1.563503181737099</v>
      </c>
      <c r="AC383" s="66" t="str">
        <f t="shared" si="216"/>
        <v>-0.147977578931007+0.639618549988108i</v>
      </c>
      <c r="AD383" s="64">
        <f t="shared" si="217"/>
        <v>-3.655134058533021</v>
      </c>
      <c r="AE383" s="61">
        <f t="shared" si="218"/>
        <v>103.02636129719748</v>
      </c>
      <c r="AF383" s="31" t="str">
        <f t="shared" si="204"/>
        <v>-1.39902068552014E-06</v>
      </c>
      <c r="AG383" s="31" t="str">
        <f t="shared" si="205"/>
        <v>0.00928085093575724i</v>
      </c>
      <c r="AH383" s="31">
        <f t="shared" si="219"/>
        <v>9.2808509357572393E-3</v>
      </c>
      <c r="AI383" s="31">
        <f t="shared" si="220"/>
        <v>1.5707963267948966</v>
      </c>
      <c r="AJ383" s="31" t="str">
        <f t="shared" si="206"/>
        <v>1+0.670405325380909i</v>
      </c>
      <c r="AK383" s="31">
        <f t="shared" si="221"/>
        <v>1.2039282787189121</v>
      </c>
      <c r="AL383" s="31">
        <f t="shared" si="222"/>
        <v>0.59058644147209105</v>
      </c>
      <c r="AM383" s="31" t="str">
        <f t="shared" si="207"/>
        <v>1+326.014166171998i</v>
      </c>
      <c r="AN383" s="31">
        <f t="shared" si="223"/>
        <v>326.01569984407672</v>
      </c>
      <c r="AO383" s="31">
        <f t="shared" si="224"/>
        <v>1.5677289850424057</v>
      </c>
      <c r="AP383" s="58" t="str">
        <f t="shared" si="225"/>
        <v>-0.0338358888806395+0.0228345028115119i</v>
      </c>
      <c r="AQ383" s="49">
        <f t="shared" si="226"/>
        <v>-27.782515244879583</v>
      </c>
      <c r="AR383" s="61">
        <f t="shared" si="227"/>
        <v>145.98614372925718</v>
      </c>
      <c r="AS383" s="58" t="str">
        <f t="shared" si="228"/>
        <v>-0.009598418660463-0.0250210566255342i</v>
      </c>
      <c r="AT383" s="64">
        <f t="shared" si="229"/>
        <v>-31.437649303412599</v>
      </c>
      <c r="AU383" s="61">
        <f t="shared" si="230"/>
        <v>-110.9874949735453</v>
      </c>
    </row>
    <row r="384" spans="14:47" x14ac:dyDescent="0.4">
      <c r="N384" s="10">
        <v>66</v>
      </c>
      <c r="O384" s="50">
        <f t="shared" ref="O384:O418" si="231">10^(4+(N384/100))</f>
        <v>45708.818961487581</v>
      </c>
      <c r="P384" s="48" t="str">
        <f t="shared" si="199"/>
        <v>5120.19230769231</v>
      </c>
      <c r="Q384" s="17" t="str">
        <f t="shared" si="200"/>
        <v>1+1342.09357824781i</v>
      </c>
      <c r="R384" s="17">
        <f t="shared" si="208"/>
        <v>1342.0939508000213</v>
      </c>
      <c r="S384" s="17">
        <f t="shared" si="209"/>
        <v>1.5700512224063894</v>
      </c>
      <c r="T384" s="17" t="str">
        <f t="shared" si="201"/>
        <v>1+0.00286909782727643i</v>
      </c>
      <c r="U384" s="17">
        <f t="shared" si="210"/>
        <v>1.0000041158527011</v>
      </c>
      <c r="V384" s="17">
        <f t="shared" si="211"/>
        <v>2.8690899547764164E-3</v>
      </c>
      <c r="W384" s="31" t="str">
        <f t="shared" si="202"/>
        <v>1-4.65259107125907i</v>
      </c>
      <c r="X384" s="17">
        <f t="shared" si="212"/>
        <v>4.7588447838062145</v>
      </c>
      <c r="Y384" s="17">
        <f t="shared" si="213"/>
        <v>-1.3590832534877657</v>
      </c>
      <c r="Z384" s="31" t="str">
        <f t="shared" si="203"/>
        <v>0.164281547658383+28.3271688394887i</v>
      </c>
      <c r="AA384" s="17">
        <f t="shared" si="214"/>
        <v>28.327645205484352</v>
      </c>
      <c r="AB384" s="17">
        <f t="shared" si="215"/>
        <v>1.5649969577565666</v>
      </c>
      <c r="AC384" s="66" t="str">
        <f t="shared" si="216"/>
        <v>-0.140569855563614+0.625303248942527i</v>
      </c>
      <c r="AD384" s="64">
        <f t="shared" si="217"/>
        <v>-3.8640758607971906</v>
      </c>
      <c r="AE384" s="61">
        <f t="shared" si="218"/>
        <v>102.66962302018777</v>
      </c>
      <c r="AF384" s="31" t="str">
        <f t="shared" si="204"/>
        <v>-1.39902068552014E-06</v>
      </c>
      <c r="AG384" s="31" t="str">
        <f t="shared" si="205"/>
        <v>0.00949702972496267i</v>
      </c>
      <c r="AH384" s="31">
        <f t="shared" si="219"/>
        <v>9.4970297249626703E-3</v>
      </c>
      <c r="AI384" s="31">
        <f t="shared" si="220"/>
        <v>1.5707963267948966</v>
      </c>
      <c r="AJ384" s="31" t="str">
        <f t="shared" si="206"/>
        <v>1+0.68602107144998i</v>
      </c>
      <c r="AK384" s="31">
        <f t="shared" si="221"/>
        <v>1.2126932466511795</v>
      </c>
      <c r="AL384" s="31">
        <f t="shared" si="222"/>
        <v>0.60128239345083678</v>
      </c>
      <c r="AM384" s="31" t="str">
        <f t="shared" si="207"/>
        <v>1+333.608011628058i</v>
      </c>
      <c r="AN384" s="31">
        <f t="shared" si="223"/>
        <v>333.6095103896568</v>
      </c>
      <c r="AO384" s="31">
        <f t="shared" si="224"/>
        <v>1.5677988058418653</v>
      </c>
      <c r="AP384" s="58" t="str">
        <f t="shared" si="225"/>
        <v>-0.0333485459809874+0.0230251166389524i</v>
      </c>
      <c r="AQ384" s="49">
        <f t="shared" si="226"/>
        <v>-27.845523952952796</v>
      </c>
      <c r="AR384" s="61">
        <f t="shared" si="227"/>
        <v>145.37731126013162</v>
      </c>
      <c r="AS384" s="58" t="str">
        <f t="shared" si="228"/>
        <v>-0.00970987994981363-0.0240895914696936i</v>
      </c>
      <c r="AT384" s="64">
        <f t="shared" si="229"/>
        <v>-31.709599813749982</v>
      </c>
      <c r="AU384" s="61">
        <f t="shared" si="230"/>
        <v>-111.95306571968059</v>
      </c>
    </row>
    <row r="385" spans="14:47" x14ac:dyDescent="0.4">
      <c r="N385" s="10">
        <v>67</v>
      </c>
      <c r="O385" s="50">
        <f t="shared" si="231"/>
        <v>46773.514128719893</v>
      </c>
      <c r="P385" s="48" t="str">
        <f t="shared" si="199"/>
        <v>5120.19230769231</v>
      </c>
      <c r="Q385" s="17" t="str">
        <f t="shared" si="200"/>
        <v>1+1373.35495360599i</v>
      </c>
      <c r="R385" s="17">
        <f t="shared" si="208"/>
        <v>1373.3553176778801</v>
      </c>
      <c r="S385" s="17">
        <f t="shared" si="209"/>
        <v>1.570068183046885</v>
      </c>
      <c r="T385" s="17" t="str">
        <f t="shared" si="201"/>
        <v>1+0.00293592770081992i</v>
      </c>
      <c r="U385" s="17">
        <f t="shared" si="210"/>
        <v>1.0000043098264448</v>
      </c>
      <c r="V385" s="17">
        <f t="shared" si="211"/>
        <v>2.9359192652861385E-3</v>
      </c>
      <c r="W385" s="31" t="str">
        <f t="shared" si="202"/>
        <v>1-4.76096383916743i</v>
      </c>
      <c r="X385" s="17">
        <f t="shared" si="212"/>
        <v>4.8648511465264663</v>
      </c>
      <c r="Y385" s="17">
        <f t="shared" si="213"/>
        <v>-1.3637643829850306</v>
      </c>
      <c r="Z385" s="31" t="str">
        <f t="shared" si="203"/>
        <v>0.124895350420173+28.9869933646026i</v>
      </c>
      <c r="AA385" s="17">
        <f t="shared" si="214"/>
        <v>28.987262429696109</v>
      </c>
      <c r="AB385" s="17">
        <f t="shared" si="215"/>
        <v>1.5664876847781355</v>
      </c>
      <c r="AC385" s="66" t="str">
        <f t="shared" si="216"/>
        <v>-0.133494767303061+0.611295522309469i</v>
      </c>
      <c r="AD385" s="64">
        <f t="shared" si="217"/>
        <v>-4.0726482971251547</v>
      </c>
      <c r="AE385" s="61">
        <f t="shared" si="218"/>
        <v>102.31885895422003</v>
      </c>
      <c r="AF385" s="31" t="str">
        <f t="shared" si="204"/>
        <v>-1.39902068552014E-06</v>
      </c>
      <c r="AG385" s="31" t="str">
        <f t="shared" si="205"/>
        <v>0.00971824396503631i</v>
      </c>
      <c r="AH385" s="31">
        <f t="shared" si="219"/>
        <v>9.7182439650363092E-3</v>
      </c>
      <c r="AI385" s="31">
        <f t="shared" si="220"/>
        <v>1.5707963267948966</v>
      </c>
      <c r="AJ385" s="31" t="str">
        <f t="shared" si="206"/>
        <v>1+0.702000554971701i</v>
      </c>
      <c r="AK385" s="31">
        <f t="shared" si="221"/>
        <v>1.2218039037343824</v>
      </c>
      <c r="AL385" s="31">
        <f t="shared" si="222"/>
        <v>0.61206735720851058</v>
      </c>
      <c r="AM385" s="31" t="str">
        <f t="shared" si="207"/>
        <v>1+341.378740467709i</v>
      </c>
      <c r="AN385" s="31">
        <f t="shared" si="223"/>
        <v>341.38020511347668</v>
      </c>
      <c r="AO385" s="31">
        <f t="shared" si="224"/>
        <v>1.5678670373541341</v>
      </c>
      <c r="AP385" s="58" t="str">
        <f t="shared" si="225"/>
        <v>-0.0328530583045344+0.02320682333937i</v>
      </c>
      <c r="AQ385" s="49">
        <f t="shared" si="226"/>
        <v>-27.910536696292443</v>
      </c>
      <c r="AR385" s="61">
        <f t="shared" si="227"/>
        <v>144.76328773229824</v>
      </c>
      <c r="AS385" s="58" t="str">
        <f t="shared" si="228"/>
        <v>-0.00980051582082605-0.0231809169172662i</v>
      </c>
      <c r="AT385" s="64">
        <f t="shared" si="229"/>
        <v>-31.983184993417609</v>
      </c>
      <c r="AU385" s="61">
        <f t="shared" si="230"/>
        <v>-112.91785331348177</v>
      </c>
    </row>
    <row r="386" spans="14:47" x14ac:dyDescent="0.4">
      <c r="N386" s="10">
        <v>68</v>
      </c>
      <c r="O386" s="50">
        <f t="shared" si="231"/>
        <v>47863.009232263823</v>
      </c>
      <c r="P386" s="48" t="str">
        <f t="shared" si="199"/>
        <v>5120.19230769231</v>
      </c>
      <c r="Q386" s="17" t="str">
        <f t="shared" si="200"/>
        <v>1+1405.34449993906i</v>
      </c>
      <c r="R386" s="17">
        <f t="shared" si="208"/>
        <v>1405.3448557236643</v>
      </c>
      <c r="S386" s="17">
        <f t="shared" si="209"/>
        <v>1.5700847576164736</v>
      </c>
      <c r="T386" s="17" t="str">
        <f t="shared" si="201"/>
        <v>1+0.00300431424209196i</v>
      </c>
      <c r="U386" s="17">
        <f t="shared" si="210"/>
        <v>1.0000045129418493</v>
      </c>
      <c r="V386" s="17">
        <f t="shared" si="211"/>
        <v>3.0043052032568663E-3</v>
      </c>
      <c r="W386" s="31" t="str">
        <f t="shared" si="202"/>
        <v>1-4.87186093312209i</v>
      </c>
      <c r="X386" s="17">
        <f t="shared" si="212"/>
        <v>4.973432310958021</v>
      </c>
      <c r="Y386" s="17">
        <f t="shared" si="213"/>
        <v>-1.3683478690826203</v>
      </c>
      <c r="Z386" s="31" t="str">
        <f t="shared" si="203"/>
        <v>0.08365293889289+29.6621871772865i</v>
      </c>
      <c r="AA386" s="17">
        <f t="shared" si="214"/>
        <v>29.662305135551506</v>
      </c>
      <c r="AB386" s="17">
        <f t="shared" si="215"/>
        <v>1.56797614645495</v>
      </c>
      <c r="AC386" s="66" t="str">
        <f t="shared" si="216"/>
        <v>-0.126737418700937+0.59758953935939i</v>
      </c>
      <c r="AD386" s="64">
        <f t="shared" si="217"/>
        <v>-4.2808672433765311</v>
      </c>
      <c r="AE386" s="61">
        <f t="shared" si="218"/>
        <v>101.97393054606189</v>
      </c>
      <c r="AF386" s="31" t="str">
        <f t="shared" si="204"/>
        <v>-1.39902068552014E-06</v>
      </c>
      <c r="AG386" s="31" t="str">
        <f t="shared" si="205"/>
        <v>0.00994461094669637i</v>
      </c>
      <c r="AH386" s="31">
        <f t="shared" si="219"/>
        <v>9.9446109466963702E-3</v>
      </c>
      <c r="AI386" s="31">
        <f t="shared" si="220"/>
        <v>1.5707963267948966</v>
      </c>
      <c r="AJ386" s="31" t="str">
        <f t="shared" si="206"/>
        <v>1+0.71835224847974i</v>
      </c>
      <c r="AK386" s="31">
        <f t="shared" si="221"/>
        <v>1.2312716811881521</v>
      </c>
      <c r="AL386" s="31">
        <f t="shared" si="222"/>
        <v>0.62293701548546399</v>
      </c>
      <c r="AM386" s="31" t="str">
        <f t="shared" si="207"/>
        <v>1+349.330472834236i</v>
      </c>
      <c r="AN386" s="31">
        <f t="shared" si="223"/>
        <v>349.33190414073391</v>
      </c>
      <c r="AO386" s="31">
        <f t="shared" si="224"/>
        <v>1.567933715753921</v>
      </c>
      <c r="AP386" s="58" t="str">
        <f t="shared" si="225"/>
        <v>-0.0323497582313763+0.0233792028521781i</v>
      </c>
      <c r="AQ386" s="49">
        <f t="shared" si="226"/>
        <v>-27.977586024985058</v>
      </c>
      <c r="AR386" s="61">
        <f t="shared" si="227"/>
        <v>144.14432257917184</v>
      </c>
      <c r="AS386" s="58" t="str">
        <f t="shared" si="228"/>
        <v>-0.00987124220917883-0.0222948969406464i</v>
      </c>
      <c r="AT386" s="64">
        <f t="shared" si="229"/>
        <v>-32.258453268361599</v>
      </c>
      <c r="AU386" s="61">
        <f t="shared" si="230"/>
        <v>-113.88174687476631</v>
      </c>
    </row>
    <row r="387" spans="14:47" x14ac:dyDescent="0.4">
      <c r="N387" s="10">
        <v>69</v>
      </c>
      <c r="O387" s="50">
        <f t="shared" si="231"/>
        <v>48977.881936844598</v>
      </c>
      <c r="P387" s="48" t="str">
        <f t="shared" si="199"/>
        <v>5120.19230769231</v>
      </c>
      <c r="Q387" s="17" t="str">
        <f t="shared" si="200"/>
        <v>1+1438.07917852794i</v>
      </c>
      <c r="R387" s="17">
        <f t="shared" si="208"/>
        <v>1438.0795262138997</v>
      </c>
      <c r="S387" s="17">
        <f t="shared" si="209"/>
        <v>1.5701009549031744</v>
      </c>
      <c r="T387" s="17" t="str">
        <f t="shared" si="201"/>
        <v>1+0.00307429371054196i</v>
      </c>
      <c r="U387" s="17">
        <f t="shared" si="210"/>
        <v>1.0000047256297435</v>
      </c>
      <c r="V387" s="17">
        <f t="shared" si="211"/>
        <v>3.0742840252581324E-3</v>
      </c>
      <c r="W387" s="31" t="str">
        <f t="shared" si="202"/>
        <v>1-4.9853411522302i</v>
      </c>
      <c r="X387" s="17">
        <f t="shared" si="212"/>
        <v>5.0846461434518657</v>
      </c>
      <c r="Y387" s="17">
        <f t="shared" si="213"/>
        <v>-1.3728353713123105</v>
      </c>
      <c r="Z387" s="31" t="str">
        <f t="shared" si="203"/>
        <v>0.0404668323922061+30.3531082742372i</v>
      </c>
      <c r="AA387" s="17">
        <f t="shared" si="214"/>
        <v>30.35313524946131</v>
      </c>
      <c r="AB387" s="17">
        <f t="shared" si="215"/>
        <v>1.5694631253299598</v>
      </c>
      <c r="AC387" s="66" t="str">
        <f t="shared" si="216"/>
        <v>-0.120283578464319+0.584179523229121i</v>
      </c>
      <c r="AD387" s="64">
        <f t="shared" si="217"/>
        <v>-4.4887480175275645</v>
      </c>
      <c r="AE387" s="61">
        <f t="shared" si="218"/>
        <v>101.63469944897039</v>
      </c>
      <c r="AF387" s="31" t="str">
        <f t="shared" si="204"/>
        <v>-1.39902068552014E-06</v>
      </c>
      <c r="AG387" s="31" t="str">
        <f t="shared" si="205"/>
        <v>0.0101762506927129i</v>
      </c>
      <c r="AH387" s="31">
        <f t="shared" si="219"/>
        <v>1.01762506927129E-2</v>
      </c>
      <c r="AI387" s="31">
        <f t="shared" si="220"/>
        <v>1.5707963267948966</v>
      </c>
      <c r="AJ387" s="31" t="str">
        <f t="shared" si="206"/>
        <v>1+0.73508482185844i</v>
      </c>
      <c r="AK387" s="31">
        <f t="shared" si="221"/>
        <v>1.2411082528638082</v>
      </c>
      <c r="AL387" s="31">
        <f t="shared" si="222"/>
        <v>0.63388685773181885</v>
      </c>
      <c r="AM387" s="31" t="str">
        <f t="shared" si="207"/>
        <v>1+357.467424841395i</v>
      </c>
      <c r="AN387" s="31">
        <f t="shared" si="223"/>
        <v>357.46882356750831</v>
      </c>
      <c r="AO387" s="31">
        <f t="shared" si="224"/>
        <v>1.5679988763926227</v>
      </c>
      <c r="AP387" s="58" t="str">
        <f t="shared" si="225"/>
        <v>-0.0318390055170599+0.0235418486904561i</v>
      </c>
      <c r="AQ387" s="49">
        <f t="shared" si="226"/>
        <v>-28.046703077493195</v>
      </c>
      <c r="AR387" s="61">
        <f t="shared" si="227"/>
        <v>143.52067626170964</v>
      </c>
      <c r="AS387" s="58" t="str">
        <f t="shared" si="228"/>
        <v>-0.00992295642558559-0.021431392867199i</v>
      </c>
      <c r="AT387" s="64">
        <f t="shared" si="229"/>
        <v>-32.535451095020768</v>
      </c>
      <c r="AU387" s="61">
        <f t="shared" si="230"/>
        <v>-114.84462428931997</v>
      </c>
    </row>
    <row r="388" spans="14:47" x14ac:dyDescent="0.4">
      <c r="N388" s="10">
        <v>70</v>
      </c>
      <c r="O388" s="50">
        <f t="shared" si="231"/>
        <v>50118.723362727294</v>
      </c>
      <c r="P388" s="48" t="str">
        <f t="shared" si="199"/>
        <v>5120.19230769231</v>
      </c>
      <c r="Q388" s="17" t="str">
        <f t="shared" si="200"/>
        <v>1+1471.57634573251i</v>
      </c>
      <c r="R388" s="17">
        <f t="shared" si="208"/>
        <v>1471.5766855041729</v>
      </c>
      <c r="S388" s="17">
        <f t="shared" si="209"/>
        <v>1.5701167834949696</v>
      </c>
      <c r="T388" s="17" t="str">
        <f t="shared" si="201"/>
        <v>1+0.00314590321021039i</v>
      </c>
      <c r="U388" s="17">
        <f t="shared" si="210"/>
        <v>1.000004948341261</v>
      </c>
      <c r="V388" s="17">
        <f t="shared" si="211"/>
        <v>3.1458928322445658E-3</v>
      </c>
      <c r="W388" s="31" t="str">
        <f t="shared" si="202"/>
        <v>1-5.10146466520603i</v>
      </c>
      <c r="X388" s="17">
        <f t="shared" si="212"/>
        <v>5.1985518878189207</v>
      </c>
      <c r="Y388" s="17">
        <f t="shared" si="213"/>
        <v>-1.3772285457217659</v>
      </c>
      <c r="Z388" s="31" t="str">
        <f t="shared" si="203"/>
        <v>-0.00475457260383005+31.060122990966i</v>
      </c>
      <c r="AA388" s="17">
        <f t="shared" si="214"/>
        <v>31.060123354872491</v>
      </c>
      <c r="AB388" s="17">
        <f t="shared" si="215"/>
        <v>1.5709494032192259</v>
      </c>
      <c r="AC388" s="66" t="str">
        <f t="shared" si="216"/>
        <v>-0.114119650129706+0.571059754899001i</v>
      </c>
      <c r="AD388" s="64">
        <f t="shared" si="217"/>
        <v>-4.6963053965992332</v>
      </c>
      <c r="AE388" s="61">
        <f t="shared" si="218"/>
        <v>101.3010276173159</v>
      </c>
      <c r="AF388" s="31" t="str">
        <f t="shared" si="204"/>
        <v>-1.39902068552014E-06</v>
      </c>
      <c r="AG388" s="31" t="str">
        <f t="shared" si="205"/>
        <v>0.0104132860215453i</v>
      </c>
      <c r="AH388" s="31">
        <f t="shared" si="219"/>
        <v>1.0413286021545299E-2</v>
      </c>
      <c r="AI388" s="31">
        <f t="shared" si="220"/>
        <v>1.5707963267948966</v>
      </c>
      <c r="AJ388" s="31" t="str">
        <f t="shared" si="206"/>
        <v>1+0.752207146939689i</v>
      </c>
      <c r="AK388" s="31">
        <f t="shared" si="221"/>
        <v>1.2513255339467613</v>
      </c>
      <c r="AL388" s="31">
        <f t="shared" si="222"/>
        <v>0.64491218695785102</v>
      </c>
      <c r="AM388" s="31" t="str">
        <f t="shared" si="207"/>
        <v>1+365.793910808848i</v>
      </c>
      <c r="AN388" s="31">
        <f t="shared" si="223"/>
        <v>365.79527769618824</v>
      </c>
      <c r="AO388" s="31">
        <f t="shared" si="224"/>
        <v>1.5680625538170578</v>
      </c>
      <c r="AP388" s="58" t="str">
        <f t="shared" si="225"/>
        <v>-0.0313211866717797+0.0236943700530295i</v>
      </c>
      <c r="AQ388" s="49">
        <f t="shared" si="226"/>
        <v>-28.117917470226356</v>
      </c>
      <c r="AR388" s="61">
        <f t="shared" si="227"/>
        <v>142.8926198769862</v>
      </c>
      <c r="AS388" s="58" t="str">
        <f t="shared" si="228"/>
        <v>-0.00995653829033854-0.0205902624044279i</v>
      </c>
      <c r="AT388" s="64">
        <f t="shared" si="229"/>
        <v>-32.814222866825588</v>
      </c>
      <c r="AU388" s="61">
        <f t="shared" si="230"/>
        <v>-115.80635250569786</v>
      </c>
    </row>
    <row r="389" spans="14:47" x14ac:dyDescent="0.4">
      <c r="N389" s="10">
        <v>71</v>
      </c>
      <c r="O389" s="50">
        <f t="shared" si="231"/>
        <v>51286.138399136544</v>
      </c>
      <c r="P389" s="48" t="str">
        <f t="shared" si="199"/>
        <v>5120.19230769231</v>
      </c>
      <c r="Q389" s="17" t="str">
        <f t="shared" si="200"/>
        <v>1+1505.8537621942i</v>
      </c>
      <c r="R389" s="17">
        <f t="shared" si="208"/>
        <v>1505.8540942317177</v>
      </c>
      <c r="S389" s="17">
        <f t="shared" si="209"/>
        <v>1.5701322517843561</v>
      </c>
      <c r="T389" s="17" t="str">
        <f t="shared" si="201"/>
        <v>1+0.00321918070940183i</v>
      </c>
      <c r="U389" s="17">
        <f t="shared" si="210"/>
        <v>1.0000051815487956</v>
      </c>
      <c r="V389" s="17">
        <f t="shared" si="211"/>
        <v>3.2191695892142122E-3</v>
      </c>
      <c r="W389" s="31" t="str">
        <f t="shared" si="202"/>
        <v>1-5.22029304227323i</v>
      </c>
      <c r="X389" s="17">
        <f t="shared" si="212"/>
        <v>5.3152101978384918</v>
      </c>
      <c r="Y389" s="17">
        <f t="shared" si="213"/>
        <v>-1.3815290430005567</v>
      </c>
      <c r="Z389" s="31" t="str">
        <f t="shared" si="203"/>
        <v>-0.0521071967581599+31.7836061960339i</v>
      </c>
      <c r="AA389" s="17">
        <f t="shared" si="214"/>
        <v>31.78364890921932</v>
      </c>
      <c r="AB389" s="17">
        <f t="shared" si="215"/>
        <v>1.5724357615951241</v>
      </c>
      <c r="AC389" s="66" t="str">
        <f t="shared" si="216"/>
        <v>-0.108232644008158+0.558224576735643i</v>
      </c>
      <c r="AD389" s="64">
        <f t="shared" si="217"/>
        <v>-4.9035536336439902</v>
      </c>
      <c r="AE389" s="61">
        <f t="shared" si="218"/>
        <v>100.97277739286351</v>
      </c>
      <c r="AF389" s="31" t="str">
        <f t="shared" si="204"/>
        <v>-1.39902068552014E-06</v>
      </c>
      <c r="AG389" s="31" t="str">
        <f t="shared" si="205"/>
        <v>0.0106558426124624i</v>
      </c>
      <c r="AH389" s="31">
        <f t="shared" si="219"/>
        <v>1.0655842612462401E-2</v>
      </c>
      <c r="AI389" s="31">
        <f t="shared" si="220"/>
        <v>1.5707963267948966</v>
      </c>
      <c r="AJ389" s="31" t="str">
        <f t="shared" si="206"/>
        <v>1+0.769728302206885i</v>
      </c>
      <c r="AK389" s="31">
        <f t="shared" si="221"/>
        <v>1.2619356795091792</v>
      </c>
      <c r="AL389" s="31">
        <f t="shared" si="222"/>
        <v>0.65600812757188287</v>
      </c>
      <c r="AM389" s="31" t="str">
        <f t="shared" si="207"/>
        <v>1+374.314345549666i</v>
      </c>
      <c r="AN389" s="31">
        <f t="shared" si="223"/>
        <v>374.315681322964</v>
      </c>
      <c r="AO389" s="31">
        <f t="shared" si="224"/>
        <v>1.568124781787773</v>
      </c>
      <c r="AP389" s="58" t="str">
        <f t="shared" si="225"/>
        <v>-0.0307967141497762+0.023836393913959i</v>
      </c>
      <c r="AQ389" s="49">
        <f t="shared" si="226"/>
        <v>-28.191257190030065</v>
      </c>
      <c r="AR389" s="61">
        <f t="shared" si="227"/>
        <v>142.26043471016396</v>
      </c>
      <c r="AS389" s="58" t="str">
        <f t="shared" si="228"/>
        <v>-0.00997285110433009-0.0197713586580352i</v>
      </c>
      <c r="AT389" s="64">
        <f t="shared" si="229"/>
        <v>-33.094810823674038</v>
      </c>
      <c r="AU389" s="61">
        <f t="shared" si="230"/>
        <v>-116.76678789697246</v>
      </c>
    </row>
    <row r="390" spans="14:47" x14ac:dyDescent="0.4">
      <c r="N390" s="10">
        <v>72</v>
      </c>
      <c r="O390" s="50">
        <f t="shared" si="231"/>
        <v>52480.746024977314</v>
      </c>
      <c r="P390" s="48" t="str">
        <f t="shared" si="199"/>
        <v>5120.19230769231</v>
      </c>
      <c r="Q390" s="17" t="str">
        <f t="shared" si="200"/>
        <v>1+1540.92960225293i</v>
      </c>
      <c r="R390" s="17">
        <f t="shared" si="208"/>
        <v>1540.9299267323522</v>
      </c>
      <c r="S390" s="17">
        <f t="shared" si="209"/>
        <v>1.5701473679727964</v>
      </c>
      <c r="T390" s="17" t="str">
        <f t="shared" si="201"/>
        <v>1+0.00329416506081627i</v>
      </c>
      <c r="U390" s="17">
        <f t="shared" si="210"/>
        <v>1.0000054257470046</v>
      </c>
      <c r="V390" s="17">
        <f t="shared" si="211"/>
        <v>3.2941531453240512E-3</v>
      </c>
      <c r="W390" s="31" t="str">
        <f t="shared" si="202"/>
        <v>1-5.34188928781017i</v>
      </c>
      <c r="X390" s="17">
        <f t="shared" si="212"/>
        <v>5.4346831704544689</v>
      </c>
      <c r="Y390" s="17">
        <f t="shared" si="213"/>
        <v>-1.3857385067459087</v>
      </c>
      <c r="Z390" s="31" t="str">
        <f t="shared" si="203"/>
        <v>-0.10169148133527+32.5239414898126i</v>
      </c>
      <c r="AA390" s="17">
        <f t="shared" si="214"/>
        <v>32.524100467040277</v>
      </c>
      <c r="AB390" s="17">
        <f t="shared" si="215"/>
        <v>1.5739229819694913</v>
      </c>
      <c r="AC390" s="66" t="str">
        <f t="shared" si="216"/>
        <v>-0.102610150348706+0.545668395632781i</v>
      </c>
      <c r="AD390" s="64">
        <f t="shared" si="217"/>
        <v>-5.1105064747395996</v>
      </c>
      <c r="AE390" s="61">
        <f t="shared" si="218"/>
        <v>100.64981158308237</v>
      </c>
      <c r="AF390" s="31" t="str">
        <f t="shared" si="204"/>
        <v>-1.39902068552014E-06</v>
      </c>
      <c r="AG390" s="31" t="str">
        <f t="shared" si="205"/>
        <v>0.0109040490721794i</v>
      </c>
      <c r="AH390" s="31">
        <f t="shared" si="219"/>
        <v>1.09040490721794E-2</v>
      </c>
      <c r="AI390" s="31">
        <f t="shared" si="220"/>
        <v>1.5707963267948966</v>
      </c>
      <c r="AJ390" s="31" t="str">
        <f t="shared" si="206"/>
        <v>1+0.787657577608467i</v>
      </c>
      <c r="AK390" s="31">
        <f t="shared" si="221"/>
        <v>1.272951082942325</v>
      </c>
      <c r="AL390" s="31">
        <f t="shared" si="222"/>
        <v>0.66716963419052655</v>
      </c>
      <c r="AM390" s="31" t="str">
        <f t="shared" si="207"/>
        <v>1+383.033246711129i</v>
      </c>
      <c r="AN390" s="31">
        <f t="shared" si="223"/>
        <v>383.03455207861936</v>
      </c>
      <c r="AO390" s="31">
        <f t="shared" si="224"/>
        <v>1.5681855932969331</v>
      </c>
      <c r="AP390" s="58" t="str">
        <f t="shared" si="225"/>
        <v>-0.0302660253483269+0.0239675670700646i</v>
      </c>
      <c r="AQ390" s="49">
        <f t="shared" si="226"/>
        <v>-28.266748490368382</v>
      </c>
      <c r="AR390" s="61">
        <f t="shared" si="227"/>
        <v>141.62441173072901</v>
      </c>
      <c r="AS390" s="58" t="str">
        <f t="shared" si="228"/>
        <v>-0.00997274245889365-0.0189745291545546i</v>
      </c>
      <c r="AT390" s="64">
        <f t="shared" si="229"/>
        <v>-33.377254965108001</v>
      </c>
      <c r="AU390" s="61">
        <f t="shared" si="230"/>
        <v>-117.72577668618867</v>
      </c>
    </row>
    <row r="391" spans="14:47" x14ac:dyDescent="0.4">
      <c r="N391" s="10">
        <v>73</v>
      </c>
      <c r="O391" s="50">
        <f t="shared" si="231"/>
        <v>53703.179637025423</v>
      </c>
      <c r="P391" s="48" t="str">
        <f t="shared" si="199"/>
        <v>5120.19230769231</v>
      </c>
      <c r="Q391" s="17" t="str">
        <f t="shared" si="200"/>
        <v>1+1576.8224635834i</v>
      </c>
      <c r="R391" s="17">
        <f t="shared" si="208"/>
        <v>1576.8227806767704</v>
      </c>
      <c r="S391" s="17">
        <f t="shared" si="209"/>
        <v>1.5701621400750656</v>
      </c>
      <c r="T391" s="17" t="str">
        <f t="shared" si="201"/>
        <v>1+0.0033708960221494i</v>
      </c>
      <c r="U391" s="17">
        <f t="shared" si="210"/>
        <v>1.0000056814538565</v>
      </c>
      <c r="V391" s="17">
        <f t="shared" si="211"/>
        <v>3.3708832544733737E-3</v>
      </c>
      <c r="W391" s="31" t="str">
        <f t="shared" si="202"/>
        <v>1-5.46631787375578i</v>
      </c>
      <c r="X391" s="17">
        <f t="shared" si="212"/>
        <v>5.5570343796796777</v>
      </c>
      <c r="Y391" s="17">
        <f t="shared" si="213"/>
        <v>-1.3898585718617102</v>
      </c>
      <c r="Z391" s="31" t="str">
        <f t="shared" si="203"/>
        <v>-0.15361260125065+33.2815214078746i</v>
      </c>
      <c r="AA391" s="17">
        <f t="shared" si="214"/>
        <v>33.281875909480796</v>
      </c>
      <c r="AB391" s="17">
        <f t="shared" si="215"/>
        <v>1.5754118462767868</v>
      </c>
      <c r="AC391" s="66" t="str">
        <f t="shared" si="216"/>
        <v>-0.0972403136691403+0.533385685780407i</v>
      </c>
      <c r="AD391" s="64">
        <f t="shared" si="217"/>
        <v>-5.3171771759443338</v>
      </c>
      <c r="AE391" s="61">
        <f t="shared" si="218"/>
        <v>100.33199353185344</v>
      </c>
      <c r="AF391" s="31" t="str">
        <f t="shared" si="204"/>
        <v>-1.39902068552014E-06</v>
      </c>
      <c r="AG391" s="31" t="str">
        <f t="shared" si="205"/>
        <v>0.0111580370030467i</v>
      </c>
      <c r="AH391" s="31">
        <f t="shared" si="219"/>
        <v>1.1158037003046699E-2</v>
      </c>
      <c r="AI391" s="31">
        <f t="shared" si="220"/>
        <v>1.5707963267948966</v>
      </c>
      <c r="AJ391" s="31" t="str">
        <f t="shared" si="206"/>
        <v>1+0.80600447948358i</v>
      </c>
      <c r="AK391" s="31">
        <f t="shared" si="221"/>
        <v>1.2843843743006207</v>
      </c>
      <c r="AL391" s="31">
        <f t="shared" si="222"/>
        <v>0.67839150139694582</v>
      </c>
      <c r="AM391" s="31" t="str">
        <f t="shared" si="207"/>
        <v>1+391.955237170044i</v>
      </c>
      <c r="AN391" s="31">
        <f t="shared" si="223"/>
        <v>391.95651282384051</v>
      </c>
      <c r="AO391" s="31">
        <f t="shared" si="224"/>
        <v>1.5682450205858049</v>
      </c>
      <c r="AP391" s="58" t="str">
        <f t="shared" si="225"/>
        <v>-0.0297295814179356+0.0240875581267315i</v>
      </c>
      <c r="AQ391" s="49">
        <f t="shared" si="226"/>
        <v>-28.344415791974257</v>
      </c>
      <c r="AR391" s="61">
        <f t="shared" si="227"/>
        <v>140.98485103438537</v>
      </c>
      <c r="AS391" s="58" t="str">
        <f t="shared" si="228"/>
        <v>-0.00995704488786979-0.018199614880337i</v>
      </c>
      <c r="AT391" s="64">
        <f t="shared" si="229"/>
        <v>-33.661592967918608</v>
      </c>
      <c r="AU391" s="61">
        <f t="shared" si="230"/>
        <v>-118.68315543376123</v>
      </c>
    </row>
    <row r="392" spans="14:47" x14ac:dyDescent="0.4">
      <c r="N392" s="10">
        <v>74</v>
      </c>
      <c r="O392" s="50">
        <f t="shared" si="231"/>
        <v>54954.087385762505</v>
      </c>
      <c r="P392" s="48" t="str">
        <f t="shared" si="199"/>
        <v>5120.19230769231</v>
      </c>
      <c r="Q392" s="17" t="str">
        <f t="shared" si="200"/>
        <v>1+1613.55137705576i</v>
      </c>
      <c r="R392" s="17">
        <f t="shared" si="208"/>
        <v>1613.5516869312057</v>
      </c>
      <c r="S392" s="17">
        <f t="shared" si="209"/>
        <v>1.5701765759235025</v>
      </c>
      <c r="T392" s="17" t="str">
        <f t="shared" si="201"/>
        <v>1+0.00344941427717255i</v>
      </c>
      <c r="U392" s="17">
        <f t="shared" si="210"/>
        <v>1.0000059492117312</v>
      </c>
      <c r="V392" s="17">
        <f t="shared" si="211"/>
        <v>3.4494005963656006E-3</v>
      </c>
      <c r="W392" s="31" t="str">
        <f t="shared" si="202"/>
        <v>1-5.59364477379331i</v>
      </c>
      <c r="X392" s="17">
        <f t="shared" si="212"/>
        <v>5.6823289112286712</v>
      </c>
      <c r="Y392" s="17">
        <f t="shared" si="213"/>
        <v>-1.3938908630843603</v>
      </c>
      <c r="Z392" s="31" t="str">
        <f t="shared" si="203"/>
        <v>-0.20798068816081+34.0567476291199i</v>
      </c>
      <c r="AA392" s="17">
        <f t="shared" si="214"/>
        <v>34.057382680414705</v>
      </c>
      <c r="AB392" s="17">
        <f t="shared" si="215"/>
        <v>1.5769031372573061</v>
      </c>
      <c r="AC392" s="66" t="str">
        <f t="shared" si="216"/>
        <v>-0.0921118082052014+0.521370991090383i</v>
      </c>
      <c r="AD392" s="64">
        <f t="shared" si="217"/>
        <v>-5.5235785201726575</v>
      </c>
      <c r="AE392" s="61">
        <f t="shared" si="218"/>
        <v>100.01918718293813</v>
      </c>
      <c r="AF392" s="31" t="str">
        <f t="shared" si="204"/>
        <v>-1.39902068552014E-06</v>
      </c>
      <c r="AG392" s="31" t="str">
        <f t="shared" si="205"/>
        <v>0.011417941072827i</v>
      </c>
      <c r="AH392" s="31">
        <f t="shared" si="219"/>
        <v>1.1417941072827001E-2</v>
      </c>
      <c r="AI392" s="31">
        <f t="shared" si="220"/>
        <v>1.5707963267948966</v>
      </c>
      <c r="AJ392" s="31" t="str">
        <f t="shared" si="206"/>
        <v>1+0.824778735602443i</v>
      </c>
      <c r="AK392" s="31">
        <f t="shared" si="221"/>
        <v>1.2962484185918857</v>
      </c>
      <c r="AL392" s="31">
        <f t="shared" si="222"/>
        <v>0.68966837441346485</v>
      </c>
      <c r="AM392" s="31" t="str">
        <f t="shared" si="207"/>
        <v>1+401.085047483847i</v>
      </c>
      <c r="AN392" s="31">
        <f t="shared" si="223"/>
        <v>401.08629410030926</v>
      </c>
      <c r="AO392" s="31">
        <f t="shared" si="224"/>
        <v>1.568303095161844</v>
      </c>
      <c r="AP392" s="58" t="str">
        <f t="shared" si="225"/>
        <v>-0.0291878658876348+0.024196059402151i</v>
      </c>
      <c r="AQ392" s="49">
        <f t="shared" si="226"/>
        <v>-28.424281588730196</v>
      </c>
      <c r="AR392" s="61">
        <f t="shared" si="227"/>
        <v>140.34206123253773</v>
      </c>
      <c r="AS392" s="58" t="str">
        <f t="shared" si="228"/>
        <v>-0.00992657636642029-0.0174464493486219i</v>
      </c>
      <c r="AT392" s="64">
        <f t="shared" si="229"/>
        <v>-33.947860108902866</v>
      </c>
      <c r="AU392" s="61">
        <f t="shared" si="230"/>
        <v>-119.63875158452419</v>
      </c>
    </row>
    <row r="393" spans="14:47" x14ac:dyDescent="0.4">
      <c r="N393" s="10">
        <v>75</v>
      </c>
      <c r="O393" s="50">
        <f t="shared" si="231"/>
        <v>56234.132519034953</v>
      </c>
      <c r="P393" s="48" t="str">
        <f t="shared" si="199"/>
        <v>5120.19230769231</v>
      </c>
      <c r="Q393" s="17" t="str">
        <f t="shared" si="200"/>
        <v>1+1651.13581682612i</v>
      </c>
      <c r="R393" s="17">
        <f t="shared" si="208"/>
        <v>1651.1361196479404</v>
      </c>
      <c r="S393" s="17">
        <f t="shared" si="209"/>
        <v>1.5701906831721606</v>
      </c>
      <c r="T393" s="17" t="str">
        <f t="shared" si="201"/>
        <v>1+0.00352976145730385i</v>
      </c>
      <c r="U393" s="17">
        <f t="shared" si="210"/>
        <v>1.0000062295885688</v>
      </c>
      <c r="V393" s="17">
        <f t="shared" si="211"/>
        <v>3.5297467980600246E-3</v>
      </c>
      <c r="W393" s="31" t="str">
        <f t="shared" si="202"/>
        <v>1-5.72393749833056i</v>
      </c>
      <c r="X393" s="17">
        <f t="shared" si="212"/>
        <v>5.8106333979003271</v>
      </c>
      <c r="Y393" s="17">
        <f t="shared" si="213"/>
        <v>-1.3978369936291899</v>
      </c>
      <c r="Z393" s="31" t="str">
        <f t="shared" si="203"/>
        <v>-0.26491106406736+34.8500311887525i</v>
      </c>
      <c r="AA393" s="17">
        <f t="shared" si="214"/>
        <v>34.851038029431599</v>
      </c>
      <c r="AB393" s="17">
        <f t="shared" si="215"/>
        <v>1.5783976388405219</v>
      </c>
      <c r="AC393" s="66" t="str">
        <f t="shared" si="216"/>
        <v>-0.0872138144310952+0.509618927304673i</v>
      </c>
      <c r="AD393" s="64">
        <f t="shared" si="217"/>
        <v>-5.7297228339571973</v>
      </c>
      <c r="AE393" s="61">
        <f t="shared" si="218"/>
        <v>99.711257136566246</v>
      </c>
      <c r="AF393" s="31" t="str">
        <f t="shared" si="204"/>
        <v>-1.39902068552014E-06</v>
      </c>
      <c r="AG393" s="31" t="str">
        <f t="shared" si="205"/>
        <v>0.0116838990860985i</v>
      </c>
      <c r="AH393" s="31">
        <f t="shared" si="219"/>
        <v>1.1683899086098499E-2</v>
      </c>
      <c r="AI393" s="31">
        <f t="shared" si="220"/>
        <v>1.5707963267948966</v>
      </c>
      <c r="AJ393" s="31" t="str">
        <f t="shared" si="206"/>
        <v>1+0.84399030032416i</v>
      </c>
      <c r="AK393" s="31">
        <f t="shared" si="221"/>
        <v>1.308556314050437</v>
      </c>
      <c r="AL393" s="31">
        <f t="shared" si="222"/>
        <v>0.70099476064563493</v>
      </c>
      <c r="AM393" s="31" t="str">
        <f t="shared" si="207"/>
        <v>1+410.427518398814i</v>
      </c>
      <c r="AN393" s="31">
        <f t="shared" si="223"/>
        <v>410.4287366389064</v>
      </c>
      <c r="AO393" s="31">
        <f t="shared" si="224"/>
        <v>1.5683598478153913</v>
      </c>
      <c r="AP393" s="58" t="str">
        <f t="shared" si="225"/>
        <v>-0.0286413831116619+0.0242927887303509i</v>
      </c>
      <c r="AQ393" s="49">
        <f t="shared" si="226"/>
        <v>-28.506366359522151</v>
      </c>
      <c r="AR393" s="61">
        <f t="shared" si="227"/>
        <v>139.69635879182388</v>
      </c>
      <c r="AS393" s="58" t="str">
        <f t="shared" si="228"/>
        <v>-0.00988214066225009-0.0167148577062299i</v>
      </c>
      <c r="AT393" s="64">
        <f t="shared" si="229"/>
        <v>-34.236089193479359</v>
      </c>
      <c r="AU393" s="61">
        <f t="shared" si="230"/>
        <v>-120.59238407160993</v>
      </c>
    </row>
    <row r="394" spans="14:47" x14ac:dyDescent="0.4">
      <c r="N394" s="10">
        <v>76</v>
      </c>
      <c r="O394" s="50">
        <f t="shared" si="231"/>
        <v>57543.993733715732</v>
      </c>
      <c r="P394" s="48" t="str">
        <f t="shared" si="199"/>
        <v>5120.19230769231</v>
      </c>
      <c r="Q394" s="17" t="str">
        <f t="shared" si="200"/>
        <v>1+1689.59571066193i</v>
      </c>
      <c r="R394" s="17">
        <f t="shared" si="208"/>
        <v>1689.5960065906856</v>
      </c>
      <c r="S394" s="17">
        <f t="shared" si="209"/>
        <v>1.5702044693008674</v>
      </c>
      <c r="T394" s="17" t="str">
        <f t="shared" si="201"/>
        <v>1+0.00361198016368173i</v>
      </c>
      <c r="U394" s="17">
        <f t="shared" si="210"/>
        <v>1.0000065231790756</v>
      </c>
      <c r="V394" s="17">
        <f t="shared" si="211"/>
        <v>3.6119644560245047E-3</v>
      </c>
      <c r="W394" s="31" t="str">
        <f t="shared" si="202"/>
        <v>1-5.85726513029469i</v>
      </c>
      <c r="X394" s="17">
        <f t="shared" si="212"/>
        <v>5.9420160557310906</v>
      </c>
      <c r="Y394" s="17">
        <f t="shared" si="213"/>
        <v>-1.4016985639512707</v>
      </c>
      <c r="Z394" s="31" t="str">
        <f t="shared" si="203"/>
        <v>-0.32452448593037+35.6617926962162i</v>
      </c>
      <c r="AA394" s="17">
        <f t="shared" si="214"/>
        <v>35.66326926194327</v>
      </c>
      <c r="AB394" s="17">
        <f t="shared" si="215"/>
        <v>1.5798961365285888</v>
      </c>
      <c r="AC394" s="66" t="str">
        <f t="shared" si="216"/>
        <v>-0.0825359966061188+0.498124183810749i</v>
      </c>
      <c r="AD394" s="64">
        <f t="shared" si="217"/>
        <v>-5.935622004064073</v>
      </c>
      <c r="AE394" s="61">
        <f t="shared" si="218"/>
        <v>99.408068699493782</v>
      </c>
      <c r="AF394" s="31" t="str">
        <f t="shared" si="204"/>
        <v>-1.39902068552014E-06</v>
      </c>
      <c r="AG394" s="31" t="str">
        <f t="shared" si="205"/>
        <v>0.0119560520573201i</v>
      </c>
      <c r="AH394" s="31">
        <f t="shared" si="219"/>
        <v>1.19560520573201E-2</v>
      </c>
      <c r="AI394" s="31">
        <f t="shared" si="220"/>
        <v>1.5707963267948966</v>
      </c>
      <c r="AJ394" s="31" t="str">
        <f t="shared" si="206"/>
        <v>1+0.863649359874643i</v>
      </c>
      <c r="AK394" s="31">
        <f t="shared" si="221"/>
        <v>1.3213213904315182</v>
      </c>
      <c r="AL394" s="31">
        <f t="shared" si="222"/>
        <v>0.71236504204567619</v>
      </c>
      <c r="AM394" s="31" t="str">
        <f t="shared" si="207"/>
        <v>1+419.987603416687i</v>
      </c>
      <c r="AN394" s="31">
        <f t="shared" si="223"/>
        <v>419.98879392632887</v>
      </c>
      <c r="AO394" s="31">
        <f t="shared" si="224"/>
        <v>1.5684153086359915</v>
      </c>
      <c r="AP394" s="58" t="str">
        <f t="shared" si="225"/>
        <v>-0.0280906565461277+0.0243774911438948i</v>
      </c>
      <c r="AQ394" s="49">
        <f t="shared" si="226"/>
        <v>-28.590688486776429</v>
      </c>
      <c r="AR394" s="61">
        <f t="shared" si="227"/>
        <v>139.04806732667407</v>
      </c>
      <c r="AS394" s="58" t="str">
        <f t="shared" si="228"/>
        <v>-0.00982452754605151-0.0160046558910661i</v>
      </c>
      <c r="AT394" s="64">
        <f t="shared" si="229"/>
        <v>-34.526310490840515</v>
      </c>
      <c r="AU394" s="61">
        <f t="shared" si="230"/>
        <v>-121.54386397383216</v>
      </c>
    </row>
    <row r="395" spans="14:47" x14ac:dyDescent="0.4">
      <c r="N395" s="10">
        <v>77</v>
      </c>
      <c r="O395" s="50">
        <f t="shared" si="231"/>
        <v>58884.365535558936</v>
      </c>
      <c r="P395" s="48" t="str">
        <f t="shared" si="199"/>
        <v>5120.19230769231</v>
      </c>
      <c r="Q395" s="17" t="str">
        <f t="shared" si="200"/>
        <v>1+1728.95145050798i</v>
      </c>
      <c r="R395" s="17">
        <f t="shared" si="208"/>
        <v>1728.9517397005761</v>
      </c>
      <c r="S395" s="17">
        <f t="shared" si="209"/>
        <v>1.5702179416191901</v>
      </c>
      <c r="T395" s="17" t="str">
        <f t="shared" si="201"/>
        <v>1+0.00369611398975261i</v>
      </c>
      <c r="U395" s="17">
        <f t="shared" si="210"/>
        <v>1.0000068306059839</v>
      </c>
      <c r="V395" s="17">
        <f t="shared" si="211"/>
        <v>3.6960971587008625E-3</v>
      </c>
      <c r="W395" s="31" t="str">
        <f t="shared" si="202"/>
        <v>1-5.99369836176098i</v>
      </c>
      <c r="X395" s="17">
        <f t="shared" si="212"/>
        <v>6.0765467209407875</v>
      </c>
      <c r="Y395" s="17">
        <f t="shared" si="213"/>
        <v>-1.4054771606146181</v>
      </c>
      <c r="Z395" s="31" t="str">
        <f t="shared" si="203"/>
        <v>-0.38694740181013+36.492462558207i</v>
      </c>
      <c r="AA395" s="17">
        <f t="shared" si="214"/>
        <v>36.494513996680475</v>
      </c>
      <c r="AB395" s="17">
        <f t="shared" si="215"/>
        <v>1.5813994177800812</v>
      </c>
      <c r="AC395" s="66" t="str">
        <f t="shared" si="216"/>
        <v>-0.078068481303926+0.486881525186869i</v>
      </c>
      <c r="AD395" s="64">
        <f t="shared" si="217"/>
        <v>-6.1412874939356819</v>
      </c>
      <c r="AE395" s="61">
        <f t="shared" si="218"/>
        <v>99.109487928872326</v>
      </c>
      <c r="AF395" s="31" t="str">
        <f t="shared" si="204"/>
        <v>-1.39902068552014E-06</v>
      </c>
      <c r="AG395" s="31" t="str">
        <f t="shared" si="205"/>
        <v>0.0122345442855995i</v>
      </c>
      <c r="AH395" s="31">
        <f t="shared" si="219"/>
        <v>1.2234544285599501E-2</v>
      </c>
      <c r="AI395" s="31">
        <f t="shared" si="220"/>
        <v>1.5707963267948966</v>
      </c>
      <c r="AJ395" s="31" t="str">
        <f t="shared" si="206"/>
        <v>1+0.883766337747481i</v>
      </c>
      <c r="AK395" s="31">
        <f t="shared" si="221"/>
        <v>1.3345572073671457</v>
      </c>
      <c r="AL395" s="31">
        <f t="shared" si="222"/>
        <v>0.72377348823447685</v>
      </c>
      <c r="AM395" s="31" t="str">
        <f t="shared" si="207"/>
        <v>1+429.770371421084i</v>
      </c>
      <c r="AN395" s="31">
        <f t="shared" si="223"/>
        <v>429.7715348314922</v>
      </c>
      <c r="AO395" s="31">
        <f t="shared" si="224"/>
        <v>1.5684695070283408</v>
      </c>
      <c r="AP395" s="58" t="str">
        <f t="shared" si="225"/>
        <v>-0.0275362268665954+0.0244499404179402i</v>
      </c>
      <c r="AQ395" s="49">
        <f t="shared" si="226"/>
        <v>-28.677264182353937</v>
      </c>
      <c r="AR395" s="61">
        <f t="shared" si="227"/>
        <v>138.39751684839177</v>
      </c>
      <c r="AS395" s="58" t="str">
        <f t="shared" si="228"/>
        <v>-0.00975451286909933-0.0153156498510997i</v>
      </c>
      <c r="AT395" s="64">
        <f t="shared" si="229"/>
        <v>-34.818551676289609</v>
      </c>
      <c r="AU395" s="61">
        <f t="shared" si="230"/>
        <v>-122.49299522273584</v>
      </c>
    </row>
    <row r="396" spans="14:47" x14ac:dyDescent="0.4">
      <c r="N396" s="10">
        <v>78</v>
      </c>
      <c r="O396" s="50">
        <f t="shared" si="231"/>
        <v>60255.95860743591</v>
      </c>
      <c r="P396" s="48" t="str">
        <f t="shared" si="199"/>
        <v>5120.19230769231</v>
      </c>
      <c r="Q396" s="17" t="str">
        <f t="shared" si="200"/>
        <v>1+1769.22390329846i</v>
      </c>
      <c r="R396" s="17">
        <f t="shared" si="208"/>
        <v>1769.2241859082301</v>
      </c>
      <c r="S396" s="17">
        <f t="shared" si="209"/>
        <v>1.5702311072703103</v>
      </c>
      <c r="T396" s="17" t="str">
        <f t="shared" si="201"/>
        <v>1+0.00378220754438471i</v>
      </c>
      <c r="U396" s="17">
        <f t="shared" si="210"/>
        <v>1.0000071525213752</v>
      </c>
      <c r="V396" s="17">
        <f t="shared" si="211"/>
        <v>3.7821895095948017E-3</v>
      </c>
      <c r="W396" s="31" t="str">
        <f t="shared" si="202"/>
        <v>1-6.13330953143466i</v>
      </c>
      <c r="X396" s="17">
        <f t="shared" si="212"/>
        <v>6.2142968876927069</v>
      </c>
      <c r="Y396" s="17">
        <f t="shared" si="213"/>
        <v>-1.4091743552639211</v>
      </c>
      <c r="Z396" s="31" t="str">
        <f t="shared" si="203"/>
        <v>-0.45231221908042+37.3424812068812i</v>
      </c>
      <c r="AA396" s="17">
        <f t="shared" si="214"/>
        <v>37.345220430863776</v>
      </c>
      <c r="AB396" s="17">
        <f t="shared" si="215"/>
        <v>1.5829082723939991</v>
      </c>
      <c r="AC396" s="66" t="str">
        <f t="shared" si="216"/>
        <v>-0.0738018368827018+0.475885792498433i</v>
      </c>
      <c r="AD396" s="64">
        <f t="shared" si="217"/>
        <v>-6.346730359937748</v>
      </c>
      <c r="AE396" s="61">
        <f t="shared" si="218"/>
        <v>98.815381670263449</v>
      </c>
      <c r="AF396" s="31" t="str">
        <f t="shared" si="204"/>
        <v>-1.39902068552014E-06</v>
      </c>
      <c r="AG396" s="31" t="str">
        <f t="shared" si="205"/>
        <v>0.0125195234312025i</v>
      </c>
      <c r="AH396" s="31">
        <f t="shared" si="219"/>
        <v>1.25195234312025E-2</v>
      </c>
      <c r="AI396" s="31">
        <f t="shared" si="220"/>
        <v>1.5707963267948966</v>
      </c>
      <c r="AJ396" s="31" t="str">
        <f t="shared" si="206"/>
        <v>1+0.904351900230626i</v>
      </c>
      <c r="AK396" s="31">
        <f t="shared" si="221"/>
        <v>1.3482775528246194</v>
      </c>
      <c r="AL396" s="31">
        <f t="shared" si="222"/>
        <v>0.73521427031297382</v>
      </c>
      <c r="AM396" s="31" t="str">
        <f t="shared" si="207"/>
        <v>1+439.781009365093i</v>
      </c>
      <c r="AN396" s="31">
        <f t="shared" si="223"/>
        <v>439.78214629311628</v>
      </c>
      <c r="AO396" s="31">
        <f t="shared" si="224"/>
        <v>1.5685224717278694</v>
      </c>
      <c r="AP396" s="58" t="str">
        <f t="shared" si="225"/>
        <v>-0.0269786499397155+0.0245099404585035i</v>
      </c>
      <c r="AQ396" s="49">
        <f t="shared" si="226"/>
        <v>-28.766107421422397</v>
      </c>
      <c r="AR396" s="61">
        <f t="shared" si="227"/>
        <v>137.74504297471123</v>
      </c>
      <c r="AS396" s="58" t="str">
        <f t="shared" si="228"/>
        <v>-0.00967285851701795-0.0146476348348225i</v>
      </c>
      <c r="AT396" s="64">
        <f t="shared" si="229"/>
        <v>-35.112837781360156</v>
      </c>
      <c r="AU396" s="61">
        <f t="shared" si="230"/>
        <v>-123.43957535502537</v>
      </c>
    </row>
    <row r="397" spans="14:47" x14ac:dyDescent="0.4">
      <c r="N397" s="10">
        <v>79</v>
      </c>
      <c r="O397" s="50">
        <f t="shared" si="231"/>
        <v>61659.500186148245</v>
      </c>
      <c r="P397" s="48" t="str">
        <f t="shared" si="199"/>
        <v>5120.19230769231</v>
      </c>
      <c r="Q397" s="17" t="str">
        <f t="shared" si="200"/>
        <v>1+1810.43442202091i</v>
      </c>
      <c r="R397" s="17">
        <f t="shared" si="208"/>
        <v>1810.4346981976971</v>
      </c>
      <c r="S397" s="17">
        <f t="shared" si="209"/>
        <v>1.5702439732348126</v>
      </c>
      <c r="T397" s="17" t="str">
        <f t="shared" si="201"/>
        <v>1+0.00387030647552027i</v>
      </c>
      <c r="U397" s="17">
        <f t="shared" si="210"/>
        <v>1.0000074896080602</v>
      </c>
      <c r="V397" s="17">
        <f t="shared" si="211"/>
        <v>3.870287150902534E-3</v>
      </c>
      <c r="W397" s="31" t="str">
        <f t="shared" si="202"/>
        <v>1-6.27617266300583i</v>
      </c>
      <c r="X397" s="17">
        <f t="shared" si="212"/>
        <v>6.355339746690313</v>
      </c>
      <c r="Y397" s="17">
        <f t="shared" si="213"/>
        <v>-1.4127917036931308</v>
      </c>
      <c r="Z397" s="31" t="str">
        <f t="shared" si="203"/>
        <v>-0.52075758528225+38.2122993333772i</v>
      </c>
      <c r="AA397" s="17">
        <f t="shared" si="214"/>
        <v>38.21584761334293</v>
      </c>
      <c r="AB397" s="17">
        <f t="shared" si="215"/>
        <v>1.584423492894099</v>
      </c>
      <c r="AC397" s="66" t="str">
        <f t="shared" si="216"/>
        <v>-0.0697270538561756+0.465131904365198i</v>
      </c>
      <c r="AD397" s="64">
        <f t="shared" si="217"/>
        <v>-6.5519612673903573</v>
      </c>
      <c r="AE397" s="61">
        <f t="shared" si="218"/>
        <v>98.525617590120646</v>
      </c>
      <c r="AF397" s="31" t="str">
        <f t="shared" si="204"/>
        <v>-1.39902068552014E-06</v>
      </c>
      <c r="AG397" s="31" t="str">
        <f t="shared" si="205"/>
        <v>0.0128111405938442i</v>
      </c>
      <c r="AH397" s="31">
        <f t="shared" si="219"/>
        <v>1.28111405938442E-2</v>
      </c>
      <c r="AI397" s="31">
        <f t="shared" si="220"/>
        <v>1.5707963267948966</v>
      </c>
      <c r="AJ397" s="31" t="str">
        <f t="shared" si="206"/>
        <v>1+0.925416962061781i</v>
      </c>
      <c r="AK397" s="31">
        <f t="shared" si="221"/>
        <v>1.3624964417097227</v>
      </c>
      <c r="AL397" s="31">
        <f t="shared" si="222"/>
        <v>0.74668147528598305</v>
      </c>
      <c r="AM397" s="31" t="str">
        <f t="shared" si="207"/>
        <v>1+450.024825021456i</v>
      </c>
      <c r="AN397" s="31">
        <f t="shared" si="223"/>
        <v>450.02593606990268</v>
      </c>
      <c r="AO397" s="31">
        <f t="shared" si="224"/>
        <v>1.5685742308159731</v>
      </c>
      <c r="AP397" s="58" t="str">
        <f t="shared" si="225"/>
        <v>-0.0264184946641425+0.024557326519203i</v>
      </c>
      <c r="AQ397" s="49">
        <f t="shared" si="226"/>
        <v>-28.85722988487214</v>
      </c>
      <c r="AR397" s="61">
        <f t="shared" si="227"/>
        <v>137.09098610424584</v>
      </c>
      <c r="AS397" s="58" t="str">
        <f t="shared" si="228"/>
        <v>-0.00958031224974912-0.0140003947623626i</v>
      </c>
      <c r="AT397" s="64">
        <f t="shared" si="229"/>
        <v>-35.409191152262494</v>
      </c>
      <c r="AU397" s="61">
        <f t="shared" si="230"/>
        <v>-124.38339630563345</v>
      </c>
    </row>
    <row r="398" spans="14:47" x14ac:dyDescent="0.4">
      <c r="N398" s="10">
        <v>80</v>
      </c>
      <c r="O398" s="50">
        <f t="shared" si="231"/>
        <v>63095.734448019342</v>
      </c>
      <c r="P398" s="48" t="str">
        <f t="shared" si="199"/>
        <v>5120.19230769231</v>
      </c>
      <c r="Q398" s="17" t="str">
        <f t="shared" si="200"/>
        <v>1+1852.60485703786i</v>
      </c>
      <c r="R398" s="17">
        <f t="shared" si="208"/>
        <v>1852.6051269280968</v>
      </c>
      <c r="S398" s="17">
        <f t="shared" si="209"/>
        <v>1.5702565463343845</v>
      </c>
      <c r="T398" s="17" t="str">
        <f t="shared" si="201"/>
        <v>1+0.00396045749437871i</v>
      </c>
      <c r="U398" s="17">
        <f t="shared" si="210"/>
        <v>1.0000078425810295</v>
      </c>
      <c r="V398" s="17">
        <f t="shared" si="211"/>
        <v>3.960436787686511E-3</v>
      </c>
      <c r="W398" s="31" t="str">
        <f t="shared" si="202"/>
        <v>1-6.4223635043979i</v>
      </c>
      <c r="X398" s="17">
        <f t="shared" si="212"/>
        <v>6.4997502246334111</v>
      </c>
      <c r="Y398" s="17">
        <f t="shared" si="213"/>
        <v>-1.4163307450054154</v>
      </c>
      <c r="Z398" s="31" t="str">
        <f t="shared" si="203"/>
        <v>-0.59242868221399+39.1023781267793i</v>
      </c>
      <c r="AA398" s="17">
        <f t="shared" si="214"/>
        <v>39.106865726022306</v>
      </c>
      <c r="AB398" s="17">
        <f t="shared" si="215"/>
        <v>1.585945874913588</v>
      </c>
      <c r="AC398" s="66" t="str">
        <f t="shared" si="216"/>
        <v>-0.0658355261270028+0.454614857817661i</v>
      </c>
      <c r="AD398" s="64">
        <f t="shared" si="217"/>
        <v>-6.7569905063678011</v>
      </c>
      <c r="AE398" s="61">
        <f t="shared" si="218"/>
        <v>98.240064203052469</v>
      </c>
      <c r="AF398" s="31" t="str">
        <f t="shared" si="204"/>
        <v>-1.39902068552014E-06</v>
      </c>
      <c r="AG398" s="31" t="str">
        <f t="shared" si="205"/>
        <v>0.0131095503928043i</v>
      </c>
      <c r="AH398" s="31">
        <f t="shared" si="219"/>
        <v>1.3109550392804301E-2</v>
      </c>
      <c r="AI398" s="31">
        <f t="shared" si="220"/>
        <v>1.5707963267948966</v>
      </c>
      <c r="AJ398" s="31" t="str">
        <f t="shared" si="206"/>
        <v>1+0.946972692215564i</v>
      </c>
      <c r="AK398" s="31">
        <f t="shared" si="221"/>
        <v>1.3772281146571157</v>
      </c>
      <c r="AL398" s="31">
        <f t="shared" si="222"/>
        <v>0.75816912101462353</v>
      </c>
      <c r="AM398" s="31" t="str">
        <f t="shared" si="207"/>
        <v>1+460.507249796827i</v>
      </c>
      <c r="AN398" s="31">
        <f t="shared" si="223"/>
        <v>460.50833555478363</v>
      </c>
      <c r="AO398" s="31">
        <f t="shared" si="224"/>
        <v>1.5686248117348953</v>
      </c>
      <c r="AP398" s="58" t="str">
        <f t="shared" si="225"/>
        <v>-0.0258563406978603+0.024591966232476i</v>
      </c>
      <c r="AQ398" s="49">
        <f t="shared" si="226"/>
        <v>-28.95064091077456</v>
      </c>
      <c r="AR398" s="61">
        <f t="shared" si="227"/>
        <v>136.43569056063154</v>
      </c>
      <c r="AS398" s="58" t="str">
        <f t="shared" si="228"/>
        <v>-0.00947760743867113-0.0133737016854553i</v>
      </c>
      <c r="AT398" s="64">
        <f t="shared" si="229"/>
        <v>-35.707631417142366</v>
      </c>
      <c r="AU398" s="61">
        <f t="shared" si="230"/>
        <v>-125.32424523631599</v>
      </c>
    </row>
    <row r="399" spans="14:47" x14ac:dyDescent="0.4">
      <c r="N399" s="10">
        <v>81</v>
      </c>
      <c r="O399" s="50">
        <f t="shared" si="231"/>
        <v>64565.422903465682</v>
      </c>
      <c r="P399" s="48" t="str">
        <f t="shared" si="199"/>
        <v>5120.19230769231</v>
      </c>
      <c r="Q399" s="17" t="str">
        <f t="shared" si="200"/>
        <v>1+1895.75756767213i</v>
      </c>
      <c r="R399" s="17">
        <f t="shared" si="208"/>
        <v>1895.7578314189159</v>
      </c>
      <c r="S399" s="17">
        <f t="shared" si="209"/>
        <v>1.5702688332354338</v>
      </c>
      <c r="T399" s="17" t="str">
        <f t="shared" si="201"/>
        <v>1+0.00405270840022354i</v>
      </c>
      <c r="U399" s="17">
        <f t="shared" si="210"/>
        <v>1.0000082121889686</v>
      </c>
      <c r="V399" s="17">
        <f t="shared" si="211"/>
        <v>4.0526862126129418E-3</v>
      </c>
      <c r="W399" s="31" t="str">
        <f t="shared" si="202"/>
        <v>1-6.57195956793005i</v>
      </c>
      <c r="X399" s="17">
        <f t="shared" si="212"/>
        <v>6.6476050245563885</v>
      </c>
      <c r="Y399" s="17">
        <f t="shared" si="213"/>
        <v>-1.4197930008591708</v>
      </c>
      <c r="Z399" s="31" t="str">
        <f t="shared" si="203"/>
        <v>-0.66747753388135+40.0131895186456i</v>
      </c>
      <c r="AA399" s="17">
        <f t="shared" si="214"/>
        <v>40.018756373896565</v>
      </c>
      <c r="AB399" s="17">
        <f t="shared" si="215"/>
        <v>1.5874762175802166</v>
      </c>
      <c r="AC399" s="66" t="str">
        <f t="shared" si="216"/>
        <v>-0.0621190330456128+0.444329728959777i</v>
      </c>
      <c r="AD399" s="64">
        <f t="shared" si="217"/>
        <v>-6.9618280072527181</v>
      </c>
      <c r="AE399" s="61">
        <f t="shared" si="218"/>
        <v>97.958590894168594</v>
      </c>
      <c r="AF399" s="31" t="str">
        <f t="shared" si="204"/>
        <v>-1.39902068552014E-06</v>
      </c>
      <c r="AG399" s="31" t="str">
        <f t="shared" si="205"/>
        <v>0.0134149110489081i</v>
      </c>
      <c r="AH399" s="31">
        <f t="shared" si="219"/>
        <v>1.34149110489081E-2</v>
      </c>
      <c r="AI399" s="31">
        <f t="shared" si="220"/>
        <v>1.5707963267948966</v>
      </c>
      <c r="AJ399" s="31" t="str">
        <f t="shared" si="206"/>
        <v>1+0.969030519825428i</v>
      </c>
      <c r="AK399" s="31">
        <f t="shared" si="221"/>
        <v>1.3924870370503057</v>
      </c>
      <c r="AL399" s="31">
        <f t="shared" si="222"/>
        <v>0.76967117160726684</v>
      </c>
      <c r="AM399" s="31" t="str">
        <f t="shared" si="207"/>
        <v>1+471.233841611577i</v>
      </c>
      <c r="AN399" s="31">
        <f t="shared" si="223"/>
        <v>471.23490265472151</v>
      </c>
      <c r="AO399" s="31">
        <f t="shared" si="224"/>
        <v>1.568674241302273</v>
      </c>
      <c r="AP399" s="58" t="str">
        <f t="shared" si="225"/>
        <v>-0.0252927760907284+0.0246137604432425i</v>
      </c>
      <c r="AQ399" s="49">
        <f t="shared" si="226"/>
        <v>-29.046347455308023</v>
      </c>
      <c r="AR399" s="61">
        <f t="shared" si="227"/>
        <v>135.77950371152096</v>
      </c>
      <c r="AS399" s="58" t="str">
        <f t="shared" si="228"/>
        <v>-0.00936546271263158-0.0127673153433843i</v>
      </c>
      <c r="AT399" s="64">
        <f t="shared" si="229"/>
        <v>-36.008175462560722</v>
      </c>
      <c r="AU399" s="61">
        <f t="shared" si="230"/>
        <v>-126.26190539431035</v>
      </c>
    </row>
    <row r="400" spans="14:47" x14ac:dyDescent="0.4">
      <c r="N400" s="10">
        <v>82</v>
      </c>
      <c r="O400" s="50">
        <f t="shared" si="231"/>
        <v>66069.344800759733</v>
      </c>
      <c r="P400" s="48" t="str">
        <f t="shared" si="199"/>
        <v>5120.19230769231</v>
      </c>
      <c r="Q400" s="17" t="str">
        <f t="shared" si="200"/>
        <v>1+1939.9154340621i</v>
      </c>
      <c r="R400" s="17">
        <f t="shared" si="208"/>
        <v>1939.9156918052768</v>
      </c>
      <c r="S400" s="17">
        <f t="shared" si="209"/>
        <v>1.5702808404526232</v>
      </c>
      <c r="T400" s="17" t="str">
        <f t="shared" si="201"/>
        <v>1+0.00414710810570609i</v>
      </c>
      <c r="U400" s="17">
        <f t="shared" si="210"/>
        <v>1.0000085992158469</v>
      </c>
      <c r="V400" s="17">
        <f t="shared" si="211"/>
        <v>4.1470843312640376E-3</v>
      </c>
      <c r="W400" s="31" t="str">
        <f t="shared" si="202"/>
        <v>1-6.72504017141528i</v>
      </c>
      <c r="X400" s="17">
        <f t="shared" si="212"/>
        <v>6.7989826670722771</v>
      </c>
      <c r="Y400" s="17">
        <f t="shared" si="213"/>
        <v>-1.4231799747949889</v>
      </c>
      <c r="Z400" s="31" t="str">
        <f t="shared" si="203"/>
        <v>-0.74606332896068+40.9452164332318i</v>
      </c>
      <c r="AA400" s="17">
        <f t="shared" si="214"/>
        <v>40.952012884045338</v>
      </c>
      <c r="AB400" s="17">
        <f t="shared" si="215"/>
        <v>1.5890153239018074</v>
      </c>
      <c r="AC400" s="66" t="str">
        <f t="shared" si="216"/>
        <v>-0.0585697222590943+0.434271673453842i</v>
      </c>
      <c r="AD400" s="64">
        <f t="shared" si="217"/>
        <v>-7.1664833560354744</v>
      </c>
      <c r="AE400" s="61">
        <f t="shared" si="218"/>
        <v>97.68106793680036</v>
      </c>
      <c r="AF400" s="31" t="str">
        <f t="shared" si="204"/>
        <v>-1.39902068552014E-06</v>
      </c>
      <c r="AG400" s="31" t="str">
        <f t="shared" si="205"/>
        <v>0.0137273844684173i</v>
      </c>
      <c r="AH400" s="31">
        <f t="shared" si="219"/>
        <v>1.37273844684173E-2</v>
      </c>
      <c r="AI400" s="31">
        <f t="shared" si="220"/>
        <v>1.5707963267948966</v>
      </c>
      <c r="AJ400" s="31" t="str">
        <f t="shared" si="206"/>
        <v>1+0.991602140243538i</v>
      </c>
      <c r="AK400" s="31">
        <f t="shared" si="221"/>
        <v>1.408287898313255</v>
      </c>
      <c r="AL400" s="31">
        <f t="shared" si="222"/>
        <v>0.78118155315389082</v>
      </c>
      <c r="AM400" s="31" t="str">
        <f t="shared" si="207"/>
        <v>1+482.210287846666i</v>
      </c>
      <c r="AN400" s="31">
        <f t="shared" si="223"/>
        <v>482.2113247375724</v>
      </c>
      <c r="AO400" s="31">
        <f t="shared" si="224"/>
        <v>1.5687225457253502</v>
      </c>
      <c r="AP400" s="58" t="str">
        <f t="shared" si="225"/>
        <v>-0.0247283948424846+0.0246226438351788i</v>
      </c>
      <c r="AQ400" s="49">
        <f t="shared" si="226"/>
        <v>-29.14435406349746</v>
      </c>
      <c r="AR400" s="61">
        <f t="shared" si="227"/>
        <v>135.12277506788828</v>
      </c>
      <c r="AS400" s="58" t="str">
        <f t="shared" si="228"/>
        <v>-0.00924458152532348-0.0121809828207842i</v>
      </c>
      <c r="AT400" s="64">
        <f t="shared" si="229"/>
        <v>-36.310837419532916</v>
      </c>
      <c r="AU400" s="61">
        <f t="shared" si="230"/>
        <v>-127.19615699531127</v>
      </c>
    </row>
    <row r="401" spans="14:47" x14ac:dyDescent="0.4">
      <c r="N401" s="10">
        <v>83</v>
      </c>
      <c r="O401" s="50">
        <f t="shared" si="231"/>
        <v>67608.297539198305</v>
      </c>
      <c r="P401" s="48" t="str">
        <f t="shared" si="199"/>
        <v>5120.19230769231</v>
      </c>
      <c r="Q401" s="17" t="str">
        <f t="shared" si="200"/>
        <v>1+1985.10186929302i</v>
      </c>
      <c r="R401" s="17">
        <f t="shared" si="208"/>
        <v>1985.1021211692469</v>
      </c>
      <c r="S401" s="17">
        <f t="shared" si="209"/>
        <v>1.5702925743523244</v>
      </c>
      <c r="T401" s="17" t="str">
        <f t="shared" si="201"/>
        <v>1+0.00424370666279976i</v>
      </c>
      <c r="U401" s="17">
        <f t="shared" si="210"/>
        <v>1.0000090044825796</v>
      </c>
      <c r="V401" s="17">
        <f t="shared" si="211"/>
        <v>4.2436811880385188E-3</v>
      </c>
      <c r="W401" s="31" t="str">
        <f t="shared" si="202"/>
        <v>1-6.88168648021581i</v>
      </c>
      <c r="X401" s="17">
        <f t="shared" si="212"/>
        <v>6.9539635325463909</v>
      </c>
      <c r="Y401" s="17">
        <f t="shared" si="213"/>
        <v>-1.4264931516386765</v>
      </c>
      <c r="Z401" s="31" t="str">
        <f t="shared" si="203"/>
        <v>-0.82835275845952+41.8989530435449i</v>
      </c>
      <c r="AA401" s="17">
        <f t="shared" si="214"/>
        <v>41.90714061395299</v>
      </c>
      <c r="AB401" s="17">
        <f t="shared" si="215"/>
        <v>1.5905640011522422</v>
      </c>
      <c r="AC401" s="66" t="str">
        <f t="shared" si="216"/>
        <v>-0.0551800933161586+0.424435926842382i</v>
      </c>
      <c r="AD401" s="64">
        <f t="shared" si="217"/>
        <v>-7.3709658093499826</v>
      </c>
      <c r="AE401" s="61">
        <f t="shared" si="218"/>
        <v>97.407366505876055</v>
      </c>
      <c r="AF401" s="31" t="str">
        <f t="shared" si="204"/>
        <v>-1.39902068552014E-06</v>
      </c>
      <c r="AG401" s="31" t="str">
        <f t="shared" si="205"/>
        <v>0.0140471363288751i</v>
      </c>
      <c r="AH401" s="31">
        <f t="shared" si="219"/>
        <v>1.4047136328875101E-2</v>
      </c>
      <c r="AI401" s="31">
        <f t="shared" si="220"/>
        <v>1.5707963267948966</v>
      </c>
      <c r="AJ401" s="31" t="str">
        <f t="shared" si="206"/>
        <v>1+1.01469952124181i</v>
      </c>
      <c r="AK401" s="31">
        <f t="shared" si="221"/>
        <v>1.424645611514793</v>
      </c>
      <c r="AL401" s="31">
        <f t="shared" si="222"/>
        <v>0.79269416970460704</v>
      </c>
      <c r="AM401" s="31" t="str">
        <f t="shared" si="207"/>
        <v>1+493.442408359179i</v>
      </c>
      <c r="AN401" s="31">
        <f t="shared" si="223"/>
        <v>493.44342164761582</v>
      </c>
      <c r="AO401" s="31">
        <f t="shared" si="224"/>
        <v>1.5687697506148695</v>
      </c>
      <c r="AP401" s="58" t="str">
        <f t="shared" si="225"/>
        <v>-0.0241637944075659+0.0246185853421561i</v>
      </c>
      <c r="AQ401" s="49">
        <f t="shared" si="226"/>
        <v>-29.244662850028025</v>
      </c>
      <c r="AR401" s="61">
        <f t="shared" si="227"/>
        <v>134.4658553693217</v>
      </c>
      <c r="AS401" s="58" t="str">
        <f t="shared" si="228"/>
        <v>-0.00911565165696435-0.011614438311896i</v>
      </c>
      <c r="AT401" s="64">
        <f t="shared" si="229"/>
        <v>-36.615628659377997</v>
      </c>
      <c r="AU401" s="61">
        <f t="shared" si="230"/>
        <v>-128.12677812480223</v>
      </c>
    </row>
    <row r="402" spans="14:47" x14ac:dyDescent="0.4">
      <c r="N402" s="10">
        <v>84</v>
      </c>
      <c r="O402" s="50">
        <f t="shared" si="231"/>
        <v>69183.097091893651</v>
      </c>
      <c r="P402" s="48" t="str">
        <f t="shared" si="199"/>
        <v>5120.19230769231</v>
      </c>
      <c r="Q402" s="17" t="str">
        <f t="shared" si="200"/>
        <v>1+2031.34083181097i</v>
      </c>
      <c r="R402" s="17">
        <f t="shared" si="208"/>
        <v>2031.3410779537944</v>
      </c>
      <c r="S402" s="17">
        <f t="shared" si="209"/>
        <v>1.5703040411559934</v>
      </c>
      <c r="T402" s="17" t="str">
        <f t="shared" si="201"/>
        <v>1+0.00434255528933813i</v>
      </c>
      <c r="U402" s="17">
        <f t="shared" si="210"/>
        <v>1.0000094288487689</v>
      </c>
      <c r="V402" s="17">
        <f t="shared" si="211"/>
        <v>4.3425279926535649E-3</v>
      </c>
      <c r="W402" s="31" t="str">
        <f t="shared" si="202"/>
        <v>1-7.04198155027803i</v>
      </c>
      <c r="X402" s="17">
        <f t="shared" si="212"/>
        <v>7.1126299042236241</v>
      </c>
      <c r="Y402" s="17">
        <f t="shared" si="213"/>
        <v>-1.4297339969756111</v>
      </c>
      <c r="Z402" s="31" t="str">
        <f t="shared" si="203"/>
        <v>-0.91452036929056+42.8749050333597i</v>
      </c>
      <c r="AA402" s="17">
        <f t="shared" si="214"/>
        <v>42.884657269534756</v>
      </c>
      <c r="AB402" s="17">
        <f t="shared" si="215"/>
        <v>1.5921230612579269</v>
      </c>
      <c r="AC402" s="66" t="str">
        <f t="shared" si="216"/>
        <v>-0.0519429819955955+0.414817804720766i</v>
      </c>
      <c r="AD402" s="64">
        <f t="shared" si="217"/>
        <v>-7.5752843092411002</v>
      </c>
      <c r="AE402" s="61">
        <f t="shared" si="218"/>
        <v>97.137358687220171</v>
      </c>
      <c r="AF402" s="31" t="str">
        <f t="shared" si="204"/>
        <v>-1.39902068552014E-06</v>
      </c>
      <c r="AG402" s="31" t="str">
        <f t="shared" si="205"/>
        <v>0.0143743361669502i</v>
      </c>
      <c r="AH402" s="31">
        <f t="shared" si="219"/>
        <v>1.43743361669502E-2</v>
      </c>
      <c r="AI402" s="31">
        <f t="shared" si="220"/>
        <v>1.5707963267948966</v>
      </c>
      <c r="AJ402" s="31" t="str">
        <f t="shared" si="206"/>
        <v>1+1.03833490935738i</v>
      </c>
      <c r="AK402" s="31">
        <f t="shared" si="221"/>
        <v>1.4415753133257374</v>
      </c>
      <c r="AL402" s="31">
        <f t="shared" si="222"/>
        <v>0.80420291939022459</v>
      </c>
      <c r="AM402" s="31" t="str">
        <f t="shared" si="207"/>
        <v>1+504.936158568084i</v>
      </c>
      <c r="AN402" s="31">
        <f t="shared" si="223"/>
        <v>504.93714879130573</v>
      </c>
      <c r="AO402" s="31">
        <f t="shared" si="224"/>
        <v>1.5688158809986459</v>
      </c>
      <c r="AP402" s="58" t="str">
        <f t="shared" si="225"/>
        <v>-0.0235995731689278+0.0246015883399164i</v>
      </c>
      <c r="AQ402" s="49">
        <f t="shared" si="226"/>
        <v>-29.347273490304879</v>
      </c>
      <c r="AR402" s="61">
        <f t="shared" si="227"/>
        <v>133.80909566116102</v>
      </c>
      <c r="AS402" s="58" t="str">
        <f t="shared" si="228"/>
        <v>-0.00897934466359076-0.0110674029944851i</v>
      </c>
      <c r="AT402" s="64">
        <f t="shared" si="229"/>
        <v>-36.922557799545949</v>
      </c>
      <c r="AU402" s="61">
        <f t="shared" si="230"/>
        <v>-129.05354565161866</v>
      </c>
    </row>
    <row r="403" spans="14:47" x14ac:dyDescent="0.4">
      <c r="N403" s="10">
        <v>85</v>
      </c>
      <c r="O403" s="50">
        <f t="shared" si="231"/>
        <v>70794.578438413781</v>
      </c>
      <c r="P403" s="48" t="str">
        <f t="shared" ref="P403:P466" si="232">COMPLEX(Adc,0)</f>
        <v>5120.19230769231</v>
      </c>
      <c r="Q403" s="17" t="str">
        <f t="shared" ref="Q403:Q466" si="233">IMSUM(COMPLEX(1,0),IMDIV(COMPLEX(0,2*PI()*O403),COMPLEX(wp_lf,0)))</f>
        <v>1+2078.65683812592i</v>
      </c>
      <c r="R403" s="17">
        <f t="shared" si="208"/>
        <v>2078.6570786658503</v>
      </c>
      <c r="S403" s="17">
        <f t="shared" si="209"/>
        <v>1.5703152469434694</v>
      </c>
      <c r="T403" s="17" t="str">
        <f t="shared" ref="T403:T466" si="234">IMSUM(COMPLEX(1,0),IMDIV(COMPLEX(0,2*PI()*O403),COMPLEX(wz_esr,0)))</f>
        <v>1+0.00444370639617142i</v>
      </c>
      <c r="U403" s="17">
        <f t="shared" si="210"/>
        <v>1.0000098732145275</v>
      </c>
      <c r="V403" s="17">
        <f t="shared" si="211"/>
        <v>4.4436771472625355E-3</v>
      </c>
      <c r="W403" s="31" t="str">
        <f t="shared" ref="W403:W466" si="235">IMSUB(COMPLEX(1,0),IMDIV(COMPLEX(0,2*PI()*O403),COMPLEX(wz_rhp,0)))</f>
        <v>1-7.20601037216987i</v>
      </c>
      <c r="X403" s="17">
        <f t="shared" si="212"/>
        <v>7.2750660123341664</v>
      </c>
      <c r="Y403" s="17">
        <f t="shared" si="213"/>
        <v>-1.4329039566919348</v>
      </c>
      <c r="Z403" s="31" t="str">
        <f t="shared" ref="Z403:Z466" si="236">IMSUM(COMPLEX(1,0),IMDIV(COMPLEX(0,2*PI()*O403),COMPLEX(Q*(wsl/2),0)),IMDIV(IMPOWER(COMPLEX(0,2*PI()*O403),2),IMPOWER(COMPLEX(wsl/2,0),2)))</f>
        <v>-1.00474893450909+43.8735898653398i</v>
      </c>
      <c r="AA403" s="17">
        <f t="shared" si="214"/>
        <v>43.885093233277338</v>
      </c>
      <c r="AB403" s="17">
        <f t="shared" si="215"/>
        <v>1.5936933211847486</v>
      </c>
      <c r="AC403" s="66" t="str">
        <f t="shared" si="216"/>
        <v>-0.0488515453269921+0.405412702773346i</v>
      </c>
      <c r="AD403" s="64">
        <f t="shared" si="217"/>
        <v>-7.7794474976598291</v>
      </c>
      <c r="AE403" s="61">
        <f t="shared" si="218"/>
        <v>96.87091748303483</v>
      </c>
      <c r="AF403" s="31" t="str">
        <f t="shared" ref="AF403:AF466" si="237">COMPLEX(Adc_ea,0)</f>
        <v>-1.39902068552014E-06</v>
      </c>
      <c r="AG403" s="31" t="str">
        <f t="shared" ref="AG403:AG466" si="238">COMPLEX(0,2*PI()*O403*wp0_ea)</f>
        <v>0.014709157468328i</v>
      </c>
      <c r="AH403" s="31">
        <f t="shared" si="219"/>
        <v>1.4709157468328E-2</v>
      </c>
      <c r="AI403" s="31">
        <f t="shared" si="220"/>
        <v>1.5707963267948966</v>
      </c>
      <c r="AJ403" s="31" t="str">
        <f t="shared" ref="AJ403:AJ466" si="239">IMSUM(COMPLEX(1,0),IMDIV(COMPLEX(0,2*PI()*O403),COMPLEX(wp1_ea,0)))</f>
        <v>1+1.06252083638588i</v>
      </c>
      <c r="AK403" s="31">
        <f t="shared" si="221"/>
        <v>1.4590923643670233</v>
      </c>
      <c r="AL403" s="31">
        <f t="shared" si="222"/>
        <v>0.81570171058102303</v>
      </c>
      <c r="AM403" s="31" t="str">
        <f t="shared" ref="AM403:AM466" si="240">IMSUM(COMPLEX(1,0),IMDIV(COMPLEX(0,2*PI()*O403),COMPLEX(wz_ea,0)))</f>
        <v>1+516.697632611884i</v>
      </c>
      <c r="AN403" s="31">
        <f t="shared" si="223"/>
        <v>516.69860029491622</v>
      </c>
      <c r="AO403" s="31">
        <f t="shared" si="224"/>
        <v>1.5688609613348339</v>
      </c>
      <c r="AP403" s="58" t="str">
        <f t="shared" si="225"/>
        <v>-0.0230363279035155+0.0245716906156794i</v>
      </c>
      <c r="AQ403" s="49">
        <f t="shared" si="226"/>
        <v>-29.452183221839494</v>
      </c>
      <c r="AR403" s="61">
        <f t="shared" si="227"/>
        <v>133.15284636942863</v>
      </c>
      <c r="AS403" s="58" t="str">
        <f t="shared" si="228"/>
        <v>-0.00883631528746701-0.01053958501521i</v>
      </c>
      <c r="AT403" s="64">
        <f t="shared" si="229"/>
        <v>-37.2316307194993</v>
      </c>
      <c r="AU403" s="61">
        <f t="shared" si="230"/>
        <v>-129.97623614753641</v>
      </c>
    </row>
    <row r="404" spans="14:47" x14ac:dyDescent="0.4">
      <c r="N404" s="10">
        <v>86</v>
      </c>
      <c r="O404" s="50">
        <f t="shared" si="231"/>
        <v>72443.596007499116</v>
      </c>
      <c r="P404" s="48" t="str">
        <f t="shared" si="232"/>
        <v>5120.19230769231</v>
      </c>
      <c r="Q404" s="17" t="str">
        <f t="shared" si="233"/>
        <v>1+2127.07497581073i</v>
      </c>
      <c r="R404" s="17">
        <f t="shared" ref="R404:R467" si="241">IMABS(Q404)</f>
        <v>2127.0752108753036</v>
      </c>
      <c r="S404" s="17">
        <f t="shared" ref="S404:S467" si="242">IMARGUMENT(Q404)</f>
        <v>1.5703261976561975</v>
      </c>
      <c r="T404" s="17" t="str">
        <f t="shared" si="234"/>
        <v>1+0.00454721361495539i</v>
      </c>
      <c r="U404" s="17">
        <f t="shared" ref="U404:U467" si="243">IMABS(T404)</f>
        <v>1.0000103385223875</v>
      </c>
      <c r="V404" s="17">
        <f t="shared" ref="V404:V467" si="244">IMARGUMENT(T404)</f>
        <v>4.5471822742023625E-3</v>
      </c>
      <c r="W404" s="31" t="str">
        <f t="shared" si="235"/>
        <v>1-7.37385991614387i</v>
      </c>
      <c r="X404" s="17">
        <f t="shared" ref="X404:X467" si="245">IMABS(W404)</f>
        <v>7.4413580792025638</v>
      </c>
      <c r="Y404" s="17">
        <f t="shared" ref="Y404:Y467" si="246">IMARGUMENT(W404)</f>
        <v>-1.4360044565782737</v>
      </c>
      <c r="Z404" s="31" t="str">
        <f t="shared" si="236"/>
        <v>-1.0992298409991+44.8955370554022i</v>
      </c>
      <c r="AA404" s="17">
        <f t="shared" ref="AA404:AA467" si="247">IMABS(Z404)</f>
        <v>44.908991902917791</v>
      </c>
      <c r="AB404" s="17">
        <f t="shared" ref="AB404:AB467" si="248">IMARGUMENT(Z404)</f>
        <v>1.5952756033255213</v>
      </c>
      <c r="AC404" s="66" t="str">
        <f t="shared" ref="AC404:AC467" si="249">(IMDIV(IMPRODUCT(P404,T404,W404),IMPRODUCT(Q404,Z404)))</f>
        <v>-0.0458992472737698+0.396216096684972i</v>
      </c>
      <c r="AD404" s="64">
        <f t="shared" ref="AD404:AD467" si="250">20*LOG(IMABS(AC404))</f>
        <v>-7.9834637306854841</v>
      </c>
      <c r="AE404" s="61">
        <f t="shared" ref="AE404:AE467" si="251">(180/PI())*IMARGUMENT(AC404)</f>
        <v>96.607916813811244</v>
      </c>
      <c r="AF404" s="31" t="str">
        <f t="shared" si="237"/>
        <v>-1.39902068552014E-06</v>
      </c>
      <c r="AG404" s="31" t="str">
        <f t="shared" si="238"/>
        <v>0.0150517777596942i</v>
      </c>
      <c r="AH404" s="31">
        <f t="shared" ref="AH404:AH467" si="252">IMABS(AG404)</f>
        <v>1.50517777596942E-2</v>
      </c>
      <c r="AI404" s="31">
        <f t="shared" ref="AI404:AI467" si="253">IMARGUMENT(AG404)</f>
        <v>1.5707963267948966</v>
      </c>
      <c r="AJ404" s="31" t="str">
        <f t="shared" si="239"/>
        <v>1+1.08727012602595i</v>
      </c>
      <c r="AK404" s="31">
        <f t="shared" ref="AK404:AK467" si="254">IMABS(AJ404)</f>
        <v>1.4772123499850947</v>
      </c>
      <c r="AL404" s="31">
        <f t="shared" ref="AL404:AL467" si="255">IMARGUMENT(AJ404)</f>
        <v>0.82718447797944095</v>
      </c>
      <c r="AM404" s="31" t="str">
        <f t="shared" si="240"/>
        <v>1+528.733066579798i</v>
      </c>
      <c r="AN404" s="31">
        <f t="shared" ref="AN404:AN467" si="256">IMABS(AM404)</f>
        <v>528.73401223571489</v>
      </c>
      <c r="AO404" s="31">
        <f t="shared" ref="AO404:AO467" si="257">IMARGUMENT(AM404)</f>
        <v>1.5689050155248911</v>
      </c>
      <c r="AP404" s="58" t="str">
        <f t="shared" ref="AP404:AP467" si="258">IMPRODUCT(AF404,IMDIV(AM404,IMPRODUCT(AG404,AJ404)))</f>
        <v>-0.0224746512621709+0.0245289641160387i</v>
      </c>
      <c r="AQ404" s="49">
        <f t="shared" ref="AQ404:AQ467" si="259">20*LOG(IMABS(AP404))</f>
        <v>-29.55938685594964</v>
      </c>
      <c r="AR404" s="61">
        <f t="shared" ref="AR404:AR467" si="260">(180/PI())*IMARGUMENT(AP404)</f>
        <v>132.49745637952896</v>
      </c>
      <c r="AS404" s="58" t="str">
        <f t="shared" ref="AS404:AS467" si="261">IMPRODUCT(AC404,AP404)</f>
        <v>-0.00868720084210847-0.0100306795867848i</v>
      </c>
      <c r="AT404" s="64">
        <f t="shared" ref="AT404:AT467" si="262">20*LOG(IMABS(AS404))</f>
        <v>-37.542850586635133</v>
      </c>
      <c r="AU404" s="61">
        <f t="shared" ref="AU404:AU467" si="263">(180/PI())*IMARGUMENT(AS404)</f>
        <v>-130.89462680665983</v>
      </c>
    </row>
    <row r="405" spans="14:47" x14ac:dyDescent="0.4">
      <c r="N405" s="10">
        <v>87</v>
      </c>
      <c r="O405" s="50">
        <f t="shared" si="231"/>
        <v>74131.024130091857</v>
      </c>
      <c r="P405" s="48" t="str">
        <f t="shared" si="232"/>
        <v>5120.19230769231</v>
      </c>
      <c r="Q405" s="17" t="str">
        <f t="shared" si="233"/>
        <v>1+2176.62091680288i</v>
      </c>
      <c r="R405" s="17">
        <f t="shared" si="241"/>
        <v>2176.6211465167312</v>
      </c>
      <c r="S405" s="17">
        <f t="shared" si="242"/>
        <v>1.5703368991003805</v>
      </c>
      <c r="T405" s="17" t="str">
        <f t="shared" si="234"/>
        <v>1+0.00465313182658749i</v>
      </c>
      <c r="U405" s="17">
        <f t="shared" si="243"/>
        <v>1.0000108257592992</v>
      </c>
      <c r="V405" s="17">
        <f t="shared" si="244"/>
        <v>4.6530982443852148E-3</v>
      </c>
      <c r="W405" s="31" t="str">
        <f t="shared" si="235"/>
        <v>1-7.54561917824998i</v>
      </c>
      <c r="X405" s="17">
        <f t="shared" si="245"/>
        <v>7.6115943653858693</v>
      </c>
      <c r="Y405" s="17">
        <f t="shared" si="246"/>
        <v>-1.4390369019918798</v>
      </c>
      <c r="Z405" s="31" t="str">
        <f t="shared" si="236"/>
        <v>-1.19816349543051+45.9412884534741i</v>
      </c>
      <c r="AA405" s="17">
        <f t="shared" si="247"/>
        <v>45.956910041114547</v>
      </c>
      <c r="AB405" s="17">
        <f t="shared" si="248"/>
        <v>1.5968707358879175</v>
      </c>
      <c r="AC405" s="66" t="str">
        <f t="shared" si="249"/>
        <v>-0.0430798450498381+0.387223541938943i</v>
      </c>
      <c r="AD405" s="64">
        <f t="shared" si="250"/>
        <v>-8.1873410924746199</v>
      </c>
      <c r="AE405" s="61">
        <f t="shared" si="251"/>
        <v>96.348231516906779</v>
      </c>
      <c r="AF405" s="31" t="str">
        <f t="shared" si="237"/>
        <v>-1.39902068552014E-06</v>
      </c>
      <c r="AG405" s="31" t="str">
        <f t="shared" si="238"/>
        <v>0.0154023787028623i</v>
      </c>
      <c r="AH405" s="31">
        <f t="shared" si="252"/>
        <v>1.5402378702862299E-2</v>
      </c>
      <c r="AI405" s="31">
        <f t="shared" si="253"/>
        <v>1.5707963267948966</v>
      </c>
      <c r="AJ405" s="31" t="str">
        <f t="shared" si="239"/>
        <v>1+1.11259590067857i</v>
      </c>
      <c r="AK405" s="31">
        <f t="shared" si="254"/>
        <v>1.4959510814885486</v>
      </c>
      <c r="AL405" s="31">
        <f t="shared" si="255"/>
        <v>0.83864519854320974</v>
      </c>
      <c r="AM405" s="31" t="str">
        <f t="shared" si="240"/>
        <v>1+541.048841818221i</v>
      </c>
      <c r="AN405" s="31">
        <f t="shared" si="256"/>
        <v>541.04976594841844</v>
      </c>
      <c r="AO405" s="31">
        <f t="shared" si="257"/>
        <v>1.5689480669262477</v>
      </c>
      <c r="AP405" s="58" t="str">
        <f t="shared" si="258"/>
        <v>-0.0219151292865327+0.024473514476157i</v>
      </c>
      <c r="AQ405" s="49">
        <f t="shared" si="259"/>
        <v>-29.668876799669089</v>
      </c>
      <c r="AR405" s="61">
        <f t="shared" si="260"/>
        <v>131.84327212464603</v>
      </c>
      <c r="AS405" s="58" t="str">
        <f t="shared" si="261"/>
        <v>-0.00853262058524051-0.00954036919583887i</v>
      </c>
      <c r="AT405" s="64">
        <f t="shared" si="262"/>
        <v>-37.856217892143704</v>
      </c>
      <c r="AU405" s="61">
        <f t="shared" si="263"/>
        <v>-131.80849635844717</v>
      </c>
    </row>
    <row r="406" spans="14:47" x14ac:dyDescent="0.4">
      <c r="N406" s="10">
        <v>88</v>
      </c>
      <c r="O406" s="50">
        <f t="shared" si="231"/>
        <v>75857.757502918481</v>
      </c>
      <c r="P406" s="48" t="str">
        <f t="shared" si="232"/>
        <v>5120.19230769231</v>
      </c>
      <c r="Q406" s="17" t="str">
        <f t="shared" si="233"/>
        <v>1+2227.32093101609i</v>
      </c>
      <c r="R406" s="17">
        <f t="shared" si="241"/>
        <v>2227.3211555010162</v>
      </c>
      <c r="S406" s="17">
        <f t="shared" si="242"/>
        <v>1.5703473569500559</v>
      </c>
      <c r="T406" s="17" t="str">
        <f t="shared" si="234"/>
        <v>1+0.00476151719030552i</v>
      </c>
      <c r="U406" s="17">
        <f t="shared" si="243"/>
        <v>1.0000113359587248</v>
      </c>
      <c r="V406" s="17">
        <f t="shared" si="244"/>
        <v>4.7614812063495014E-3</v>
      </c>
      <c r="W406" s="31" t="str">
        <f t="shared" si="235"/>
        <v>1-7.72137922752245i</v>
      </c>
      <c r="X406" s="17">
        <f t="shared" si="245"/>
        <v>7.7858652168667284</v>
      </c>
      <c r="Y406" s="17">
        <f t="shared" si="246"/>
        <v>-1.4420026775732762</v>
      </c>
      <c r="Z406" s="31" t="str">
        <f t="shared" si="236"/>
        <v>-1.30175974934864+47.0113985307887i</v>
      </c>
      <c r="AA406" s="17">
        <f t="shared" si="247"/>
        <v>47.029418136584113</v>
      </c>
      <c r="AB406" s="17">
        <f t="shared" si="248"/>
        <v>1.5984795532828686</v>
      </c>
      <c r="AC406" s="66" t="str">
        <f t="shared" si="249"/>
        <v>-0.0403873760423659+0.378430673511603i</v>
      </c>
      <c r="AD406" s="64">
        <f t="shared" si="250"/>
        <v>-8.3910874089394376</v>
      </c>
      <c r="AE406" s="61">
        <f t="shared" si="251"/>
        <v>96.091737342014355</v>
      </c>
      <c r="AF406" s="31" t="str">
        <f t="shared" si="237"/>
        <v>-1.39902068552014E-06</v>
      </c>
      <c r="AG406" s="31" t="str">
        <f t="shared" si="238"/>
        <v>0.0157611461910934i</v>
      </c>
      <c r="AH406" s="31">
        <f t="shared" si="252"/>
        <v>1.5761146191093402E-2</v>
      </c>
      <c r="AI406" s="31">
        <f t="shared" si="253"/>
        <v>1.5707963267948966</v>
      </c>
      <c r="AJ406" s="31" t="str">
        <f t="shared" si="239"/>
        <v>1+1.13851158840468i</v>
      </c>
      <c r="AK406" s="31">
        <f t="shared" si="254"/>
        <v>1.5153245978772163</v>
      </c>
      <c r="AL406" s="31">
        <f t="shared" si="255"/>
        <v>0.85007790713740194</v>
      </c>
      <c r="AM406" s="31" t="str">
        <f t="shared" si="240"/>
        <v>1+553.651488314203i</v>
      </c>
      <c r="AN406" s="31">
        <f t="shared" si="256"/>
        <v>553.65239140866368</v>
      </c>
      <c r="AO406" s="31">
        <f t="shared" si="257"/>
        <v>1.568990138364688</v>
      </c>
      <c r="AP406" s="58" t="str">
        <f t="shared" si="258"/>
        <v>-0.0213583389849277+0.0244054803358736i</v>
      </c>
      <c r="AQ406" s="49">
        <f t="shared" si="259"/>
        <v>-29.780643087669834</v>
      </c>
      <c r="AR406" s="61">
        <f t="shared" si="260"/>
        <v>131.19063668965663</v>
      </c>
      <c r="AS406" s="58" t="str">
        <f t="shared" si="261"/>
        <v>-0.00837317509265423-0.00906832391897481i</v>
      </c>
      <c r="AT406" s="64">
        <f t="shared" si="262"/>
        <v>-38.171730496609271</v>
      </c>
      <c r="AU406" s="61">
        <f t="shared" si="263"/>
        <v>-132.71762596832903</v>
      </c>
    </row>
    <row r="407" spans="14:47" x14ac:dyDescent="0.4">
      <c r="N407" s="10">
        <v>89</v>
      </c>
      <c r="O407" s="50">
        <f t="shared" si="231"/>
        <v>77624.711662869129</v>
      </c>
      <c r="P407" s="48" t="str">
        <f t="shared" si="232"/>
        <v>5120.19230769231</v>
      </c>
      <c r="Q407" s="17" t="str">
        <f t="shared" si="233"/>
        <v>1+2279.20190026901i</v>
      </c>
      <c r="R407" s="17">
        <f t="shared" si="241"/>
        <v>2279.202119644036</v>
      </c>
      <c r="S407" s="17">
        <f t="shared" si="242"/>
        <v>1.5703575767501048</v>
      </c>
      <c r="T407" s="17" t="str">
        <f t="shared" si="234"/>
        <v>1+0.00487242717346397i</v>
      </c>
      <c r="U407" s="17">
        <f t="shared" si="243"/>
        <v>1.0000118702028296</v>
      </c>
      <c r="V407" s="17">
        <f t="shared" si="244"/>
        <v>4.8723886159851354E-3</v>
      </c>
      <c r="W407" s="31" t="str">
        <f t="shared" si="235"/>
        <v>1-7.90123325426589i</v>
      </c>
      <c r="X407" s="17">
        <f t="shared" si="245"/>
        <v>7.9642631133280091</v>
      </c>
      <c r="Y407" s="17">
        <f t="shared" si="246"/>
        <v>-1.4449031470136868</v>
      </c>
      <c r="Z407" s="31" t="str">
        <f t="shared" si="236"/>
        <v>-1.41023834429743+48.1064346738737i</v>
      </c>
      <c r="AA407" s="17">
        <f t="shared" si="247"/>
        <v>48.127100777206643</v>
      </c>
      <c r="AB407" s="17">
        <f t="shared" si="248"/>
        <v>1.6001028965134023</v>
      </c>
      <c r="AC407" s="66" t="str">
        <f t="shared" si="249"/>
        <v>-0.0378161453143195+0.369833205473091i</v>
      </c>
      <c r="AD407" s="64">
        <f t="shared" si="250"/>
        <v>-8.5947102611591699</v>
      </c>
      <c r="AE407" s="61">
        <f t="shared" si="251"/>
        <v>95.838310943740026</v>
      </c>
      <c r="AF407" s="31" t="str">
        <f t="shared" si="237"/>
        <v>-1.39902068552014E-06</v>
      </c>
      <c r="AG407" s="31" t="str">
        <f t="shared" si="238"/>
        <v>0.0161282704476583i</v>
      </c>
      <c r="AH407" s="31">
        <f t="shared" si="252"/>
        <v>1.6128270447658299E-2</v>
      </c>
      <c r="AI407" s="31">
        <f t="shared" si="253"/>
        <v>1.5707963267948966</v>
      </c>
      <c r="AJ407" s="31" t="str">
        <f t="shared" si="239"/>
        <v>1+1.16503093004493i</v>
      </c>
      <c r="AK407" s="31">
        <f t="shared" si="254"/>
        <v>1.5353491680921816</v>
      </c>
      <c r="AL407" s="31">
        <f t="shared" si="255"/>
        <v>0.86147671181721819</v>
      </c>
      <c r="AM407" s="31" t="str">
        <f t="shared" si="240"/>
        <v>1+566.547688157733i</v>
      </c>
      <c r="AN407" s="31">
        <f t="shared" si="256"/>
        <v>566.54857069528634</v>
      </c>
      <c r="AO407" s="31">
        <f t="shared" si="257"/>
        <v>1.5690312521464493</v>
      </c>
      <c r="AP407" s="58" t="str">
        <f t="shared" si="258"/>
        <v>-0.0208048459883425+0.024325032450827i</v>
      </c>
      <c r="AQ407" s="49">
        <f t="shared" si="259"/>
        <v>-29.894673423913162</v>
      </c>
      <c r="AR407" s="61">
        <f t="shared" si="260"/>
        <v>130.53988893618393</v>
      </c>
      <c r="AS407" s="58" t="str">
        <f t="shared" si="261"/>
        <v>-0.00820944564538911-0.0086142018431787i</v>
      </c>
      <c r="AT407" s="64">
        <f t="shared" si="262"/>
        <v>-38.489383685072326</v>
      </c>
      <c r="AU407" s="61">
        <f t="shared" si="263"/>
        <v>-133.62180012007599</v>
      </c>
    </row>
    <row r="408" spans="14:47" x14ac:dyDescent="0.4">
      <c r="N408" s="10">
        <v>90</v>
      </c>
      <c r="O408" s="50">
        <f t="shared" si="231"/>
        <v>79432.823472428237</v>
      </c>
      <c r="P408" s="48" t="str">
        <f t="shared" si="232"/>
        <v>5120.19230769231</v>
      </c>
      <c r="Q408" s="17" t="str">
        <f t="shared" si="233"/>
        <v>1+2332.29133253826i</v>
      </c>
      <c r="R408" s="17">
        <f t="shared" si="241"/>
        <v>2332.291546919701</v>
      </c>
      <c r="S408" s="17">
        <f t="shared" si="242"/>
        <v>1.5703675639191916</v>
      </c>
      <c r="T408" s="17" t="str">
        <f t="shared" si="234"/>
        <v>1+0.00498592058200402i</v>
      </c>
      <c r="U408" s="17">
        <f t="shared" si="243"/>
        <v>1.0000124296247772</v>
      </c>
      <c r="V408" s="17">
        <f t="shared" si="244"/>
        <v>4.9858792669488228E-3</v>
      </c>
      <c r="W408" s="31" t="str">
        <f t="shared" si="235"/>
        <v>1-8.08527661946597i</v>
      </c>
      <c r="X408" s="17">
        <f t="shared" si="245"/>
        <v>8.1468827175357745</v>
      </c>
      <c r="Y408" s="17">
        <f t="shared" si="246"/>
        <v>-1.4477396528697062</v>
      </c>
      <c r="Z408" s="31" t="str">
        <f t="shared" si="236"/>
        <v>-1.52382937792078+49.226977485387i</v>
      </c>
      <c r="AA408" s="17">
        <f t="shared" si="247"/>
        <v>49.250557035629697</v>
      </c>
      <c r="AB408" s="17">
        <f t="shared" si="248"/>
        <v>1.6017416135638771</v>
      </c>
      <c r="AC408" s="66" t="str">
        <f t="shared" si="249"/>
        <v>-0.035360713661528+0.361426930503102i</v>
      </c>
      <c r="AD408" s="64">
        <f t="shared" si="250"/>
        <v>-8.7982169985284528</v>
      </c>
      <c r="AE408" s="61">
        <f t="shared" si="251"/>
        <v>95.587829871494094</v>
      </c>
      <c r="AF408" s="31" t="str">
        <f t="shared" si="237"/>
        <v>-1.39902068552014E-06</v>
      </c>
      <c r="AG408" s="31" t="str">
        <f t="shared" si="238"/>
        <v>0.0165039461266976i</v>
      </c>
      <c r="AH408" s="31">
        <f t="shared" si="252"/>
        <v>1.6503946126697599E-2</v>
      </c>
      <c r="AI408" s="31">
        <f t="shared" si="253"/>
        <v>1.5707963267948966</v>
      </c>
      <c r="AJ408" s="31" t="str">
        <f t="shared" si="239"/>
        <v>1+1.19216798650531i</v>
      </c>
      <c r="AK408" s="31">
        <f t="shared" si="254"/>
        <v>1.5560412938120007</v>
      </c>
      <c r="AL408" s="31">
        <f t="shared" si="255"/>
        <v>0.87283580864761556</v>
      </c>
      <c r="AM408" s="31" t="str">
        <f t="shared" si="240"/>
        <v>1+579.744279084671i</v>
      </c>
      <c r="AN408" s="31">
        <f t="shared" si="256"/>
        <v>579.74514153324731</v>
      </c>
      <c r="AO408" s="31">
        <f t="shared" si="257"/>
        <v>1.5690714300700468</v>
      </c>
      <c r="AP408" s="58" t="str">
        <f t="shared" si="258"/>
        <v>-0.020255202306353+0.0242323726090263i</v>
      </c>
      <c r="AQ408" s="49">
        <f t="shared" si="259"/>
        <v>-30.010953232663745</v>
      </c>
      <c r="AR408" s="61">
        <f t="shared" si="260"/>
        <v>129.89136265417349</v>
      </c>
      <c r="AS408" s="58" t="str">
        <f t="shared" si="261"/>
        <v>-0.00804199364197655-0.00817764958547175i</v>
      </c>
      <c r="AT408" s="64">
        <f t="shared" si="262"/>
        <v>-38.809170231192198</v>
      </c>
      <c r="AU408" s="61">
        <f t="shared" si="263"/>
        <v>-134.52080747433243</v>
      </c>
    </row>
    <row r="409" spans="14:47" x14ac:dyDescent="0.4">
      <c r="N409" s="10">
        <v>91</v>
      </c>
      <c r="O409" s="50">
        <f t="shared" si="231"/>
        <v>81283.051616410012</v>
      </c>
      <c r="P409" s="48" t="str">
        <f t="shared" si="232"/>
        <v>5120.19230769231</v>
      </c>
      <c r="Q409" s="17" t="str">
        <f t="shared" si="233"/>
        <v>1+2386.61737654354i</v>
      </c>
      <c r="R409" s="17">
        <f t="shared" si="241"/>
        <v>2386.6175860450644</v>
      </c>
      <c r="S409" s="17">
        <f t="shared" si="242"/>
        <v>1.5703773237526382</v>
      </c>
      <c r="T409" s="17" t="str">
        <f t="shared" si="234"/>
        <v>1+0.00510205759163309i</v>
      </c>
      <c r="U409" s="17">
        <f t="shared" si="243"/>
        <v>1.0000130154111337</v>
      </c>
      <c r="V409" s="17">
        <f t="shared" si="244"/>
        <v>5.1020133217849675E-3</v>
      </c>
      <c r="W409" s="31" t="str">
        <f t="shared" si="235"/>
        <v>1-8.27360690535094i</v>
      </c>
      <c r="X409" s="17">
        <f t="shared" si="245"/>
        <v>8.3338209258581237</v>
      </c>
      <c r="Y409" s="17">
        <f t="shared" si="246"/>
        <v>-1.4505135164218581</v>
      </c>
      <c r="Z409" s="31" t="str">
        <f t="shared" si="236"/>
        <v>-1.64277379203039+50.3736210919589i</v>
      </c>
      <c r="AA409" s="17">
        <f t="shared" si="247"/>
        <v>50.400400867929896</v>
      </c>
      <c r="AB409" s="17">
        <f t="shared" si="248"/>
        <v>1.6033965597895559</v>
      </c>
      <c r="AC409" s="66" t="str">
        <f t="shared" si="249"/>
        <v>-0.0330158862000978+0.353207719329798i</v>
      </c>
      <c r="AD409" s="64">
        <f t="shared" si="250"/>
        <v>-9.0016147516496741</v>
      </c>
      <c r="AE409" s="61">
        <f t="shared" si="251"/>
        <v>95.340172556892725</v>
      </c>
      <c r="AF409" s="31" t="str">
        <f t="shared" si="237"/>
        <v>-1.39902068552014E-06</v>
      </c>
      <c r="AG409" s="31" t="str">
        <f t="shared" si="238"/>
        <v>0.0168883724164287i</v>
      </c>
      <c r="AH409" s="31">
        <f t="shared" si="252"/>
        <v>1.6888372416428699E-2</v>
      </c>
      <c r="AI409" s="31">
        <f t="shared" si="253"/>
        <v>1.5707963267948966</v>
      </c>
      <c r="AJ409" s="31" t="str">
        <f t="shared" si="239"/>
        <v>1+1.21993714621234i</v>
      </c>
      <c r="AK409" s="31">
        <f t="shared" si="254"/>
        <v>1.5774177128169662</v>
      </c>
      <c r="AL409" s="31">
        <f t="shared" si="255"/>
        <v>0.88414949597122516</v>
      </c>
      <c r="AM409" s="31" t="str">
        <f t="shared" si="240"/>
        <v>1+593.248258102201i</v>
      </c>
      <c r="AN409" s="31">
        <f t="shared" si="256"/>
        <v>593.24910091907918</v>
      </c>
      <c r="AO409" s="31">
        <f t="shared" si="257"/>
        <v>1.5691106934378281</v>
      </c>
      <c r="AP409" s="58" t="str">
        <f t="shared" si="258"/>
        <v>-0.0197099442014071+0.0241277323654608i</v>
      </c>
      <c r="AQ409" s="49">
        <f t="shared" si="259"/>
        <v>-30.129465718417542</v>
      </c>
      <c r="AR409" s="61">
        <f t="shared" si="260"/>
        <v>129.24538574506343</v>
      </c>
      <c r="AS409" s="58" t="str">
        <f t="shared" si="261"/>
        <v>-0.00787136004664023-0.00775830290554105i</v>
      </c>
      <c r="AT409" s="64">
        <f t="shared" si="262"/>
        <v>-39.131080470067218</v>
      </c>
      <c r="AU409" s="61">
        <f t="shared" si="263"/>
        <v>-135.41444169804385</v>
      </c>
    </row>
    <row r="410" spans="14:47" x14ac:dyDescent="0.4">
      <c r="N410" s="10">
        <v>92</v>
      </c>
      <c r="O410" s="50">
        <f t="shared" si="231"/>
        <v>83176.377110267174</v>
      </c>
      <c r="P410" s="48" t="str">
        <f t="shared" si="232"/>
        <v>5120.19230769231</v>
      </c>
      <c r="Q410" s="17" t="str">
        <f t="shared" si="233"/>
        <v>1+2442.20883667248i</v>
      </c>
      <c r="R410" s="17">
        <f t="shared" si="241"/>
        <v>2442.2090414051681</v>
      </c>
      <c r="S410" s="17">
        <f t="shared" si="242"/>
        <v>1.5703868614252294</v>
      </c>
      <c r="T410" s="17" t="str">
        <f t="shared" si="234"/>
        <v>1+0.00522089977973096i</v>
      </c>
      <c r="U410" s="17">
        <f t="shared" si="243"/>
        <v>1.0000136288043828</v>
      </c>
      <c r="V410" s="17">
        <f t="shared" si="244"/>
        <v>5.2208523437689723E-3</v>
      </c>
      <c r="W410" s="31" t="str">
        <f t="shared" si="235"/>
        <v>1-8.46632396713128i</v>
      </c>
      <c r="X410" s="17">
        <f t="shared" si="245"/>
        <v>8.5251769199484393</v>
      </c>
      <c r="Y410" s="17">
        <f t="shared" si="246"/>
        <v>-1.4532260375738688</v>
      </c>
      <c r="Z410" s="31" t="str">
        <f t="shared" si="236"/>
        <v>-1.76732388367576+51.5469734592075i</v>
      </c>
      <c r="AA410" s="17">
        <f t="shared" si="247"/>
        <v>51.577261525928783</v>
      </c>
      <c r="AB410" s="17">
        <f t="shared" si="248"/>
        <v>1.6050685983064532</v>
      </c>
      <c r="AC410" s="66" t="str">
        <f t="shared" si="249"/>
        <v>-0.0307767014610165+0.345171520099457i</v>
      </c>
      <c r="AD410" s="64">
        <f t="shared" si="250"/>
        <v>-9.2049104449764165</v>
      </c>
      <c r="AE410" s="61">
        <f t="shared" si="251"/>
        <v>95.095218298856338</v>
      </c>
      <c r="AF410" s="31" t="str">
        <f t="shared" si="237"/>
        <v>-1.39902068552014E-06</v>
      </c>
      <c r="AG410" s="31" t="str">
        <f t="shared" si="238"/>
        <v>0.0172817531447591i</v>
      </c>
      <c r="AH410" s="31">
        <f t="shared" si="252"/>
        <v>1.7281753144759101E-2</v>
      </c>
      <c r="AI410" s="31">
        <f t="shared" si="253"/>
        <v>1.5707963267948966</v>
      </c>
      <c r="AJ410" s="31" t="str">
        <f t="shared" si="239"/>
        <v>1+1.24835313274207i</v>
      </c>
      <c r="AK410" s="31">
        <f t="shared" si="254"/>
        <v>1.5994954029402335</v>
      </c>
      <c r="AL410" s="31">
        <f t="shared" si="255"/>
        <v>0.89541218804258083</v>
      </c>
      <c r="AM410" s="31" t="str">
        <f t="shared" si="240"/>
        <v>1+607.066785198747i</v>
      </c>
      <c r="AN410" s="31">
        <f t="shared" si="256"/>
        <v>607.0676088307971</v>
      </c>
      <c r="AO410" s="31">
        <f t="shared" si="257"/>
        <v>1.569149063067266</v>
      </c>
      <c r="AP410" s="58" t="str">
        <f t="shared" si="258"/>
        <v>-0.0191695901980873+0.024011371609229i</v>
      </c>
      <c r="AQ410" s="49">
        <f t="shared" si="259"/>
        <v>-30.250191934230489</v>
      </c>
      <c r="AR410" s="61">
        <f t="shared" si="260"/>
        <v>128.60227944124748</v>
      </c>
      <c r="AS410" s="58" t="str">
        <f t="shared" si="261"/>
        <v>-0.00769806488337396-0.00735578740404421i</v>
      </c>
      <c r="AT410" s="64">
        <f t="shared" si="262"/>
        <v>-39.455102379206906</v>
      </c>
      <c r="AU410" s="61">
        <f t="shared" si="263"/>
        <v>-136.30250225989619</v>
      </c>
    </row>
    <row r="411" spans="14:47" x14ac:dyDescent="0.4">
      <c r="N411" s="10">
        <v>93</v>
      </c>
      <c r="O411" s="50">
        <f t="shared" si="231"/>
        <v>85113.803820237721</v>
      </c>
      <c r="P411" s="48" t="str">
        <f t="shared" si="232"/>
        <v>5120.19230769231</v>
      </c>
      <c r="Q411" s="17" t="str">
        <f t="shared" si="233"/>
        <v>1+2499.09518825309i</v>
      </c>
      <c r="R411" s="17">
        <f t="shared" si="241"/>
        <v>2499.0953883254933</v>
      </c>
      <c r="S411" s="17">
        <f t="shared" si="242"/>
        <v>1.5703961819939589</v>
      </c>
      <c r="T411" s="17" t="str">
        <f t="shared" si="234"/>
        <v>1+0.00534251015799882i</v>
      </c>
      <c r="U411" s="17">
        <f t="shared" si="243"/>
        <v>1.000014271105562</v>
      </c>
      <c r="V411" s="17">
        <f t="shared" si="244"/>
        <v>5.3424593294889647E-3</v>
      </c>
      <c r="W411" s="31" t="str">
        <f t="shared" si="235"/>
        <v>1-8.66352998594402i</v>
      </c>
      <c r="X411" s="17">
        <f t="shared" si="245"/>
        <v>8.7210522196207041</v>
      </c>
      <c r="Y411" s="17">
        <f t="shared" si="246"/>
        <v>-1.4558784947896324</v>
      </c>
      <c r="Z411" s="31" t="str">
        <f t="shared" si="236"/>
        <v>-1.89774384029997+52.7476567140891i</v>
      </c>
      <c r="AA411" s="17">
        <f t="shared" si="247"/>
        <v>52.781783983783512</v>
      </c>
      <c r="AB411" s="17">
        <f t="shared" si="248"/>
        <v>1.6067586003813636</v>
      </c>
      <c r="AC411" s="66" t="str">
        <f t="shared" si="249"/>
        <v>-0.028638420969784+0.337314357683922i</v>
      </c>
      <c r="AD411" s="64">
        <f t="shared" si="250"/>
        <v>-9.4081108092152537</v>
      </c>
      <c r="AE411" s="61">
        <f t="shared" si="251"/>
        <v>94.852847246583522</v>
      </c>
      <c r="AF411" s="31" t="str">
        <f t="shared" si="237"/>
        <v>-1.39902068552014E-06</v>
      </c>
      <c r="AG411" s="31" t="str">
        <f t="shared" si="238"/>
        <v>0.0176842968873579i</v>
      </c>
      <c r="AH411" s="31">
        <f t="shared" si="252"/>
        <v>1.7684296887357901E-2</v>
      </c>
      <c r="AI411" s="31">
        <f t="shared" si="253"/>
        <v>1.5707963267948966</v>
      </c>
      <c r="AJ411" s="31" t="str">
        <f t="shared" si="239"/>
        <v>1+1.27743101262669i</v>
      </c>
      <c r="AK411" s="31">
        <f t="shared" si="254"/>
        <v>1.6222915866207439</v>
      </c>
      <c r="AL411" s="31">
        <f t="shared" si="255"/>
        <v>0.90661842795364389</v>
      </c>
      <c r="AM411" s="31" t="str">
        <f t="shared" si="240"/>
        <v>1+621.207187140283i</v>
      </c>
      <c r="AN411" s="31">
        <f t="shared" si="256"/>
        <v>621.20799202420335</v>
      </c>
      <c r="AO411" s="31">
        <f t="shared" si="257"/>
        <v>1.5691865593019938</v>
      </c>
      <c r="AP411" s="58" t="str">
        <f t="shared" si="258"/>
        <v>-0.0186346392420495+0.0238835769793297i</v>
      </c>
      <c r="AQ411" s="49">
        <f t="shared" si="259"/>
        <v>-30.37311085786332</v>
      </c>
      <c r="AR411" s="61">
        <f t="shared" si="260"/>
        <v>127.96235756613025</v>
      </c>
      <c r="AS411" s="58" t="str">
        <f t="shared" si="261"/>
        <v>-0.00752260678474323-0.00696971929840182i</v>
      </c>
      <c r="AT411" s="64">
        <f t="shared" si="262"/>
        <v>-39.781221667078576</v>
      </c>
      <c r="AU411" s="61">
        <f t="shared" si="263"/>
        <v>-137.18479518728623</v>
      </c>
    </row>
    <row r="412" spans="14:47" x14ac:dyDescent="0.4">
      <c r="N412" s="10">
        <v>94</v>
      </c>
      <c r="O412" s="50">
        <f t="shared" si="231"/>
        <v>87096.358995608127</v>
      </c>
      <c r="P412" s="48" t="str">
        <f t="shared" si="232"/>
        <v>5120.19230769231</v>
      </c>
      <c r="Q412" s="17" t="str">
        <f t="shared" si="233"/>
        <v>1+2557.30659318194i</v>
      </c>
      <c r="R412" s="17">
        <f t="shared" si="241"/>
        <v>2557.3067887001398</v>
      </c>
      <c r="S412" s="17">
        <f t="shared" si="242"/>
        <v>1.5704052904007089</v>
      </c>
      <c r="T412" s="17" t="str">
        <f t="shared" si="234"/>
        <v>1+0.00546695320586894i</v>
      </c>
      <c r="U412" s="17">
        <f t="shared" si="243"/>
        <v>1.0000149436770209</v>
      </c>
      <c r="V412" s="17">
        <f t="shared" si="244"/>
        <v>5.46689874218333E-3</v>
      </c>
      <c r="W412" s="31" t="str">
        <f t="shared" si="235"/>
        <v>1-8.86532952303071i</v>
      </c>
      <c r="X412" s="17">
        <f t="shared" si="245"/>
        <v>8.9215507369470188</v>
      </c>
      <c r="Y412" s="17">
        <f t="shared" si="246"/>
        <v>-1.4584721450650395</v>
      </c>
      <c r="Z412" s="31" t="str">
        <f t="shared" si="236"/>
        <v>-2.03431030011675+53.9763074747583i</v>
      </c>
      <c r="AA412" s="17">
        <f t="shared" si="247"/>
        <v>54.014629379519121</v>
      </c>
      <c r="AB412" s="17">
        <f t="shared" si="248"/>
        <v>1.6084674458219763</v>
      </c>
      <c r="AC412" s="66" t="str">
        <f t="shared" si="249"/>
        <v>-0.0265965192898364+0.32963233293233i</v>
      </c>
      <c r="AD412" s="64">
        <f t="shared" si="250"/>
        <v>-9.611222393495682</v>
      </c>
      <c r="AE412" s="61">
        <f t="shared" si="251"/>
        <v>94.61294038057008</v>
      </c>
      <c r="AF412" s="31" t="str">
        <f t="shared" si="237"/>
        <v>-1.39902068552014E-06</v>
      </c>
      <c r="AG412" s="31" t="str">
        <f t="shared" si="238"/>
        <v>0.0180962170782456i</v>
      </c>
      <c r="AH412" s="31">
        <f t="shared" si="252"/>
        <v>1.8096217078245599E-2</v>
      </c>
      <c r="AI412" s="31">
        <f t="shared" si="253"/>
        <v>1.5707963267948966</v>
      </c>
      <c r="AJ412" s="31" t="str">
        <f t="shared" si="239"/>
        <v>1+1.307186203343i</v>
      </c>
      <c r="AK412" s="31">
        <f t="shared" si="254"/>
        <v>1.6458237360696579</v>
      </c>
      <c r="AL412" s="31">
        <f t="shared" si="255"/>
        <v>0.91776289978367387</v>
      </c>
      <c r="AM412" s="31" t="str">
        <f t="shared" si="240"/>
        <v>1+635.676961355091i</v>
      </c>
      <c r="AN412" s="31">
        <f t="shared" si="256"/>
        <v>635.67774791763918</v>
      </c>
      <c r="AO412" s="31">
        <f t="shared" si="257"/>
        <v>1.5692232020225894</v>
      </c>
      <c r="AP412" s="58" t="str">
        <f t="shared" si="258"/>
        <v>-0.0181055690211895+0.0237446601466069i</v>
      </c>
      <c r="AQ412" s="49">
        <f t="shared" si="259"/>
        <v>-30.498199475107942</v>
      </c>
      <c r="AR412" s="61">
        <f t="shared" si="260"/>
        <v>127.32592583860696</v>
      </c>
      <c r="AS412" s="58" t="str">
        <f t="shared" si="261"/>
        <v>-0.00734546260308582-0.00659970626714186i</v>
      </c>
      <c r="AT412" s="64">
        <f t="shared" si="262"/>
        <v>-40.109421868603626</v>
      </c>
      <c r="AU412" s="61">
        <f t="shared" si="263"/>
        <v>-138.0611337808229</v>
      </c>
    </row>
    <row r="413" spans="14:47" x14ac:dyDescent="0.4">
      <c r="N413" s="10">
        <v>95</v>
      </c>
      <c r="O413" s="50">
        <f t="shared" si="231"/>
        <v>89125.093813374609</v>
      </c>
      <c r="P413" s="48" t="str">
        <f t="shared" si="232"/>
        <v>5120.19230769231</v>
      </c>
      <c r="Q413" s="17" t="str">
        <f t="shared" si="233"/>
        <v>1+2616.87391591645i</v>
      </c>
      <c r="R413" s="17">
        <f t="shared" si="241"/>
        <v>2616.8741069841121</v>
      </c>
      <c r="S413" s="17">
        <f t="shared" si="242"/>
        <v>1.5704141914748715</v>
      </c>
      <c r="T413" s="17" t="str">
        <f t="shared" si="234"/>
        <v>1+0.00559429490469249i</v>
      </c>
      <c r="U413" s="17">
        <f t="shared" si="243"/>
        <v>1.0000156479453113</v>
      </c>
      <c r="V413" s="17">
        <f t="shared" si="244"/>
        <v>5.5942365458512442E-3</v>
      </c>
      <c r="W413" s="31" t="str">
        <f t="shared" si="235"/>
        <v>1-9.07182957517701i</v>
      </c>
      <c r="X413" s="17">
        <f t="shared" si="245"/>
        <v>9.1267788316062699</v>
      </c>
      <c r="Y413" s="17">
        <f t="shared" si="246"/>
        <v>-1.4610082239319719</v>
      </c>
      <c r="Z413" s="31" t="str">
        <f t="shared" si="236"/>
        <v>-2.17731293889714+55.2335771881114i</v>
      </c>
      <c r="AA413" s="17">
        <f t="shared" si="247"/>
        <v>55.276475472202002</v>
      </c>
      <c r="AB413" s="17">
        <f t="shared" si="248"/>
        <v>1.610196023366941</v>
      </c>
      <c r="AC413" s="66" t="str">
        <f t="shared" si="249"/>
        <v>-0.0246466745094426+0.32212162187316i</v>
      </c>
      <c r="AD413" s="64">
        <f t="shared" si="250"/>
        <v>-9.8142515773176715</v>
      </c>
      <c r="AE413" s="61">
        <f t="shared" si="251"/>
        <v>94.375379491834963</v>
      </c>
      <c r="AF413" s="31" t="str">
        <f t="shared" si="237"/>
        <v>-1.39902068552014E-06</v>
      </c>
      <c r="AG413" s="31" t="str">
        <f t="shared" si="238"/>
        <v>0.0185177321229601i</v>
      </c>
      <c r="AH413" s="31">
        <f t="shared" si="252"/>
        <v>1.8517732122960099E-2</v>
      </c>
      <c r="AI413" s="31">
        <f t="shared" si="253"/>
        <v>1.5707963267948966</v>
      </c>
      <c r="AJ413" s="31" t="str">
        <f t="shared" si="239"/>
        <v>1+1.33763448148697i</v>
      </c>
      <c r="AK413" s="31">
        <f t="shared" si="254"/>
        <v>1.6701095790584866</v>
      </c>
      <c r="AL413" s="31">
        <f t="shared" si="255"/>
        <v>0.9288404399149115</v>
      </c>
      <c r="AM413" s="31" t="str">
        <f t="shared" si="240"/>
        <v>1+650.483779908989i</v>
      </c>
      <c r="AN413" s="31">
        <f t="shared" si="256"/>
        <v>650.48454856720934</v>
      </c>
      <c r="AO413" s="31">
        <f t="shared" si="257"/>
        <v>1.5692590106571145</v>
      </c>
      <c r="AP413" s="58" t="str">
        <f t="shared" si="258"/>
        <v>-0.0175828344593537+0.0235949559803988i</v>
      </c>
      <c r="AQ413" s="49">
        <f t="shared" si="259"/>
        <v>-30.625432869611583</v>
      </c>
      <c r="AR413" s="61">
        <f t="shared" si="260"/>
        <v>126.69328122532843</v>
      </c>
      <c r="AS413" s="58" t="str">
        <f t="shared" si="261"/>
        <v>-0.00716708709055878-0.00624534835328782i</v>
      </c>
      <c r="AT413" s="64">
        <f t="shared" si="262"/>
        <v>-40.439684446929249</v>
      </c>
      <c r="AU413" s="61">
        <f t="shared" si="263"/>
        <v>-138.93133928283657</v>
      </c>
    </row>
    <row r="414" spans="14:47" x14ac:dyDescent="0.4">
      <c r="N414" s="10">
        <v>96</v>
      </c>
      <c r="O414" s="50">
        <f t="shared" si="231"/>
        <v>91201.083935591028</v>
      </c>
      <c r="P414" s="48" t="str">
        <f t="shared" si="232"/>
        <v>5120.19230769231</v>
      </c>
      <c r="Q414" s="17" t="str">
        <f t="shared" si="233"/>
        <v>1+2677.82873983959i</v>
      </c>
      <c r="R414" s="17">
        <f t="shared" si="241"/>
        <v>2677.828926558022</v>
      </c>
      <c r="S414" s="17">
        <f t="shared" si="242"/>
        <v>1.5704228899359081</v>
      </c>
      <c r="T414" s="17" t="str">
        <f t="shared" si="234"/>
        <v>1+0.00572460277272376i</v>
      </c>
      <c r="U414" s="17">
        <f t="shared" si="243"/>
        <v>1.0000163854042119</v>
      </c>
      <c r="V414" s="17">
        <f t="shared" si="244"/>
        <v>5.7245402401540713E-3</v>
      </c>
      <c r="W414" s="31" t="str">
        <f t="shared" si="235"/>
        <v>1-9.28313963144392i</v>
      </c>
      <c r="X414" s="17">
        <f t="shared" si="245"/>
        <v>9.3368453675149166</v>
      </c>
      <c r="Y414" s="17">
        <f t="shared" si="246"/>
        <v>-1.4634879454919403</v>
      </c>
      <c r="Z414" s="31" t="str">
        <f t="shared" si="236"/>
        <v>-2.3270550844107+56.5201324751926i</v>
      </c>
      <c r="AA414" s="17">
        <f t="shared" si="247"/>
        <v>56.568017115497362</v>
      </c>
      <c r="AB414" s="17">
        <f t="shared" si="248"/>
        <v>1.6119452310757554</v>
      </c>
      <c r="AC414" s="66" t="str">
        <f t="shared" si="249"/>
        <v>-0.0227847591526235+0.314778474872177i</v>
      </c>
      <c r="AD414" s="64">
        <f t="shared" si="250"/>
        <v>-10.017204582287345</v>
      </c>
      <c r="AE414" s="61">
        <f t="shared" si="251"/>
        <v>94.140047159507219</v>
      </c>
      <c r="AF414" s="31" t="str">
        <f t="shared" si="237"/>
        <v>-1.39902068552014E-06</v>
      </c>
      <c r="AG414" s="31" t="str">
        <f t="shared" si="238"/>
        <v>0.0189490655143572i</v>
      </c>
      <c r="AH414" s="31">
        <f t="shared" si="252"/>
        <v>1.89490655143572E-2</v>
      </c>
      <c r="AI414" s="31">
        <f t="shared" si="253"/>
        <v>1.5707963267948966</v>
      </c>
      <c r="AJ414" s="31" t="str">
        <f t="shared" si="239"/>
        <v>1+1.36879199113872i</v>
      </c>
      <c r="AK414" s="31">
        <f t="shared" si="254"/>
        <v>1.6951671053337196</v>
      </c>
      <c r="AL414" s="31">
        <f t="shared" si="255"/>
        <v>0.93984604746444533</v>
      </c>
      <c r="AM414" s="31" t="str">
        <f t="shared" si="240"/>
        <v>1+665.635493573164i</v>
      </c>
      <c r="AN414" s="31">
        <f t="shared" si="256"/>
        <v>665.63624473460709</v>
      </c>
      <c r="AO414" s="31">
        <f t="shared" si="257"/>
        <v>1.5692940041914136</v>
      </c>
      <c r="AP414" s="58" t="str">
        <f t="shared" si="258"/>
        <v>-0.0170668663905815+0.0234348206191909i</v>
      </c>
      <c r="AQ414" s="49">
        <f t="shared" si="259"/>
        <v>-30.75478431847699</v>
      </c>
      <c r="AR414" s="61">
        <f t="shared" si="260"/>
        <v>126.06471134358883</v>
      </c>
      <c r="AS414" s="58" t="str">
        <f t="shared" si="261"/>
        <v>-0.00698791265321255-0.00590623891686766i</v>
      </c>
      <c r="AT414" s="64">
        <f t="shared" si="262"/>
        <v>-40.771988900764342</v>
      </c>
      <c r="AU414" s="61">
        <f t="shared" si="263"/>
        <v>-139.79524149690394</v>
      </c>
    </row>
    <row r="415" spans="14:47" x14ac:dyDescent="0.4">
      <c r="N415" s="10">
        <v>97</v>
      </c>
      <c r="O415" s="50">
        <f t="shared" si="231"/>
        <v>93325.430079699145</v>
      </c>
      <c r="P415" s="48" t="str">
        <f t="shared" si="232"/>
        <v>5120.19230769231</v>
      </c>
      <c r="Q415" s="17" t="str">
        <f t="shared" si="233"/>
        <v>1+2740.20338400586i</v>
      </c>
      <c r="R415" s="17">
        <f t="shared" si="241"/>
        <v>2740.2035664740615</v>
      </c>
      <c r="S415" s="17">
        <f t="shared" si="242"/>
        <v>1.5704313903958527</v>
      </c>
      <c r="T415" s="17" t="str">
        <f t="shared" si="234"/>
        <v>1+0.0058579459009192i</v>
      </c>
      <c r="U415" s="17">
        <f t="shared" si="243"/>
        <v>1.0000171576178971</v>
      </c>
      <c r="V415" s="17">
        <f t="shared" si="244"/>
        <v>5.8578788961256628E-3</v>
      </c>
      <c r="W415" s="31" t="str">
        <f t="shared" si="235"/>
        <v>1-9.49937173122031i</v>
      </c>
      <c r="X415" s="17">
        <f t="shared" si="245"/>
        <v>9.5518617707705307</v>
      </c>
      <c r="Y415" s="17">
        <f t="shared" si="246"/>
        <v>-1.465912502476973</v>
      </c>
      <c r="Z415" s="31" t="str">
        <f t="shared" si="236"/>
        <v>-2.48385435982434+57.8366554846444i</v>
      </c>
      <c r="AA415" s="17">
        <f t="shared" si="247"/>
        <v>57.88996674839489</v>
      </c>
      <c r="AB415" s="17">
        <f t="shared" si="248"/>
        <v>1.6137159767183025</v>
      </c>
      <c r="AC415" s="66" t="str">
        <f t="shared" si="249"/>
        <v>-0.021006831495475+0.307599215751453i</v>
      </c>
      <c r="AD415" s="64">
        <f t="shared" si="250"/>
        <v>-10.220087483651339</v>
      </c>
      <c r="AE415" s="61">
        <f t="shared" si="251"/>
        <v>93.906826726921153</v>
      </c>
      <c r="AF415" s="31" t="str">
        <f t="shared" si="237"/>
        <v>-1.39902068552014E-06</v>
      </c>
      <c r="AG415" s="31" t="str">
        <f t="shared" si="238"/>
        <v>0.0193904459511107i</v>
      </c>
      <c r="AH415" s="31">
        <f t="shared" si="252"/>
        <v>1.93904459511107E-2</v>
      </c>
      <c r="AI415" s="31">
        <f t="shared" si="253"/>
        <v>1.5707963267948966</v>
      </c>
      <c r="AJ415" s="31" t="str">
        <f t="shared" si="239"/>
        <v>1+1.40067525242227i</v>
      </c>
      <c r="AK415" s="31">
        <f t="shared" si="254"/>
        <v>1.7210145736594418</v>
      </c>
      <c r="AL415" s="31">
        <f t="shared" si="255"/>
        <v>0.95077489379177316</v>
      </c>
      <c r="AM415" s="31" t="str">
        <f t="shared" si="240"/>
        <v>1+681.14013598676i</v>
      </c>
      <c r="AN415" s="31">
        <f t="shared" si="256"/>
        <v>681.14087004969963</v>
      </c>
      <c r="AO415" s="31">
        <f t="shared" si="257"/>
        <v>1.5693282011791789</v>
      </c>
      <c r="AP415" s="58" t="str">
        <f t="shared" si="258"/>
        <v>-0.0165580704195093+0.0232646294649953i</v>
      </c>
      <c r="AQ415" s="49">
        <f t="shared" si="259"/>
        <v>-30.88622539289166</v>
      </c>
      <c r="AR415" s="61">
        <f t="shared" si="260"/>
        <v>125.44049391715656</v>
      </c>
      <c r="AS415" s="58" t="str">
        <f t="shared" si="261"/>
        <v>-0.00680834918298786-0.00558196562637421i</v>
      </c>
      <c r="AT415" s="64">
        <f t="shared" si="262"/>
        <v>-41.106312876543001</v>
      </c>
      <c r="AU415" s="61">
        <f t="shared" si="263"/>
        <v>-140.65267935592229</v>
      </c>
    </row>
    <row r="416" spans="14:47" x14ac:dyDescent="0.4">
      <c r="N416" s="10">
        <v>98</v>
      </c>
      <c r="O416" s="50">
        <f t="shared" si="231"/>
        <v>95499.258602143804</v>
      </c>
      <c r="P416" s="48" t="str">
        <f t="shared" si="232"/>
        <v>5120.19230769231</v>
      </c>
      <c r="Q416" s="17" t="str">
        <f t="shared" si="233"/>
        <v>1+2804.03092027721i</v>
      </c>
      <c r="R416" s="17">
        <f t="shared" si="241"/>
        <v>2804.0310985919286</v>
      </c>
      <c r="S416" s="17">
        <f t="shared" si="242"/>
        <v>1.5704396973617567</v>
      </c>
      <c r="T416" s="17" t="str">
        <f t="shared" si="234"/>
        <v>1+0.00599439498957039i</v>
      </c>
      <c r="U416" s="17">
        <f t="shared" si="243"/>
        <v>1.0000179662242528</v>
      </c>
      <c r="V416" s="17">
        <f t="shared" si="244"/>
        <v>5.9943231927102368E-3</v>
      </c>
      <c r="W416" s="31" t="str">
        <f t="shared" si="235"/>
        <v>1-9.72064052362765i</v>
      </c>
      <c r="X416" s="17">
        <f t="shared" si="245"/>
        <v>9.7719420889397419</v>
      </c>
      <c r="Y416" s="17">
        <f t="shared" si="246"/>
        <v>-1.4682830663355135</v>
      </c>
      <c r="Z416" s="31" t="str">
        <f t="shared" si="236"/>
        <v>-2.64804335742366+59.183844254393i</v>
      </c>
      <c r="AA416" s="17">
        <f t="shared" si="247"/>
        <v>59.243054903938258</v>
      </c>
      <c r="AB416" s="17">
        <f t="shared" si="248"/>
        <v>1.6155091781638491</v>
      </c>
      <c r="AC416" s="66" t="str">
        <f t="shared" si="249"/>
        <v>-0.0193091272700793+0.300580240874213i</v>
      </c>
      <c r="AD416" s="64">
        <f t="shared" si="250"/>
        <v>-10.422906221642048</v>
      </c>
      <c r="AE416" s="61">
        <f t="shared" si="251"/>
        <v>93.67560227636001</v>
      </c>
      <c r="AF416" s="31" t="str">
        <f t="shared" si="237"/>
        <v>-1.39902068552014E-06</v>
      </c>
      <c r="AG416" s="31" t="str">
        <f t="shared" si="238"/>
        <v>0.0198421074589703i</v>
      </c>
      <c r="AH416" s="31">
        <f t="shared" si="252"/>
        <v>1.98421074589703E-2</v>
      </c>
      <c r="AI416" s="31">
        <f t="shared" si="253"/>
        <v>1.5707963267948966</v>
      </c>
      <c r="AJ416" s="31" t="str">
        <f t="shared" si="239"/>
        <v>1+1.43330117026479i</v>
      </c>
      <c r="AK416" s="31">
        <f t="shared" si="254"/>
        <v>1.747670519486558</v>
      </c>
      <c r="AL416" s="31">
        <f t="shared" si="255"/>
        <v>0.96162233105097206</v>
      </c>
      <c r="AM416" s="31" t="str">
        <f t="shared" si="240"/>
        <v>1+697.005927916413i</v>
      </c>
      <c r="AN416" s="31">
        <f t="shared" si="256"/>
        <v>697.00664527005756</v>
      </c>
      <c r="AO416" s="31">
        <f t="shared" si="257"/>
        <v>1.5693616197517857</v>
      </c>
      <c r="AP416" s="58" t="str">
        <f t="shared" si="258"/>
        <v>-0.0160568259712319+0.0230847751213082i</v>
      </c>
      <c r="AQ416" s="49">
        <f t="shared" si="259"/>
        <v>-31.019726063018037</v>
      </c>
      <c r="AR416" s="61">
        <f t="shared" si="260"/>
        <v>124.82089628683921</v>
      </c>
      <c r="AS416" s="58" t="str">
        <f t="shared" si="261"/>
        <v>-0.00662878397025783-0.0052721114789267i</v>
      </c>
      <c r="AT416" s="64">
        <f t="shared" si="262"/>
        <v>-41.442632284660085</v>
      </c>
      <c r="AU416" s="61">
        <f t="shared" si="263"/>
        <v>-141.50350143680083</v>
      </c>
    </row>
    <row r="417" spans="14:47" x14ac:dyDescent="0.4">
      <c r="N417" s="10">
        <v>99</v>
      </c>
      <c r="O417" s="50">
        <f t="shared" si="231"/>
        <v>97723.722095581266</v>
      </c>
      <c r="P417" s="48" t="str">
        <f t="shared" si="232"/>
        <v>5120.19230769231</v>
      </c>
      <c r="Q417" s="17" t="str">
        <f t="shared" si="233"/>
        <v>1+2869.34519085822i</v>
      </c>
      <c r="R417" s="17">
        <f t="shared" si="241"/>
        <v>2869.3453651140007</v>
      </c>
      <c r="S417" s="17">
        <f t="shared" si="242"/>
        <v>1.570447815238079</v>
      </c>
      <c r="T417" s="17" t="str">
        <f t="shared" si="234"/>
        <v>1+0.00613402238579024i</v>
      </c>
      <c r="U417" s="17">
        <f t="shared" si="243"/>
        <v>1.0000188129383514</v>
      </c>
      <c r="V417" s="17">
        <f t="shared" si="244"/>
        <v>6.1339454541466968E-3</v>
      </c>
      <c r="W417" s="31" t="str">
        <f t="shared" si="235"/>
        <v>1-9.94706332830848i</v>
      </c>
      <c r="X417" s="17">
        <f t="shared" si="245"/>
        <v>9.9972030517229875</v>
      </c>
      <c r="Y417" s="17">
        <f t="shared" si="246"/>
        <v>-1.470600787341215</v>
      </c>
      <c r="Z417" s="31" t="str">
        <f t="shared" si="236"/>
        <v>-2.81997034408576+60.5624130817558i</v>
      </c>
      <c r="AA417" s="17">
        <f t="shared" si="247"/>
        <v>60.628030736836145</v>
      </c>
      <c r="AB417" s="17">
        <f t="shared" si="248"/>
        <v>1.6173257637693002</v>
      </c>
      <c r="AC417" s="66" t="str">
        <f t="shared" si="249"/>
        <v>-0.0176880517389554+0.293718018199916i</v>
      </c>
      <c r="AD417" s="64">
        <f t="shared" si="250"/>
        <v>-10.625666612645833</v>
      </c>
      <c r="AE417" s="61">
        <f t="shared" si="251"/>
        <v>93.446258602582432</v>
      </c>
      <c r="AF417" s="31" t="str">
        <f t="shared" si="237"/>
        <v>-1.39902068552014E-06</v>
      </c>
      <c r="AG417" s="31" t="str">
        <f t="shared" si="238"/>
        <v>0.020304289514846i</v>
      </c>
      <c r="AH417" s="31">
        <f t="shared" si="252"/>
        <v>2.0304289514845999E-2</v>
      </c>
      <c r="AI417" s="31">
        <f t="shared" si="253"/>
        <v>1.5707963267948966</v>
      </c>
      <c r="AJ417" s="31" t="str">
        <f t="shared" si="239"/>
        <v>1+1.46668704335976i</v>
      </c>
      <c r="AK417" s="31">
        <f t="shared" si="254"/>
        <v>1.7751537632440166</v>
      </c>
      <c r="AL417" s="31">
        <f t="shared" si="255"/>
        <v>0.9723838997655323</v>
      </c>
      <c r="AM417" s="31" t="str">
        <f t="shared" si="240"/>
        <v>1+713.241281615009i</v>
      </c>
      <c r="AN417" s="31">
        <f t="shared" si="256"/>
        <v>713.24198263970743</v>
      </c>
      <c r="AO417" s="31">
        <f t="shared" si="257"/>
        <v>1.5693942776279046</v>
      </c>
      <c r="AP417" s="58" t="str">
        <f t="shared" si="258"/>
        <v>-0.015563485531618+0.0228956652943224i</v>
      </c>
      <c r="AQ417" s="49">
        <f t="shared" si="259"/>
        <v>-31.155254806370802</v>
      </c>
      <c r="AR417" s="61">
        <f t="shared" si="260"/>
        <v>124.20617497702449</v>
      </c>
      <c r="AS417" s="58" t="str">
        <f t="shared" si="261"/>
        <v>-0.00644958169829523-0.00497625583895369i</v>
      </c>
      <c r="AT417" s="64">
        <f t="shared" si="262"/>
        <v>-41.780921419016636</v>
      </c>
      <c r="AU417" s="61">
        <f t="shared" si="263"/>
        <v>-142.34756642039304</v>
      </c>
    </row>
    <row r="418" spans="14:47" x14ac:dyDescent="0.4">
      <c r="N418" s="10">
        <v>100</v>
      </c>
      <c r="O418" s="50">
        <f t="shared" si="231"/>
        <v>100000</v>
      </c>
      <c r="P418" s="48" t="str">
        <f t="shared" si="232"/>
        <v>5120.19230769231</v>
      </c>
      <c r="Q418" s="17" t="str">
        <f t="shared" si="233"/>
        <v>1+2936.18082623969i</v>
      </c>
      <c r="R418" s="17">
        <f t="shared" si="241"/>
        <v>2936.1809965289244</v>
      </c>
      <c r="S418" s="17">
        <f t="shared" si="242"/>
        <v>1.5704557483290205</v>
      </c>
      <c r="T418" s="17" t="str">
        <f t="shared" si="234"/>
        <v>1+0.00627690212187242i</v>
      </c>
      <c r="U418" s="17">
        <f t="shared" si="243"/>
        <v>1.0000196995560875</v>
      </c>
      <c r="V418" s="17">
        <f t="shared" si="244"/>
        <v>6.2768196882188832E-3</v>
      </c>
      <c r="W418" s="31" t="str">
        <f t="shared" si="235"/>
        <v>1-10.1787601976309i</v>
      </c>
      <c r="X418" s="17">
        <f t="shared" si="245"/>
        <v>10.227764133029028</v>
      </c>
      <c r="Y418" s="17">
        <f t="shared" si="246"/>
        <v>-1.4728667947226506</v>
      </c>
      <c r="Z418" s="31" t="str">
        <f t="shared" si="236"/>
        <v>-3.00000000000001+61.973092902173i</v>
      </c>
      <c r="AA418" s="17">
        <f t="shared" si="247"/>
        <v>62.045662570895033</v>
      </c>
      <c r="AB418" s="17">
        <f t="shared" si="248"/>
        <v>1.6191666727664584</v>
      </c>
      <c r="AC418" s="66" t="str">
        <f t="shared" si="249"/>
        <v>-0.0161401721237371+0.28700908631367i</v>
      </c>
      <c r="AD418" s="64">
        <f t="shared" si="250"/>
        <v>-10.828374360205981</v>
      </c>
      <c r="AE418" s="61">
        <f t="shared" si="251"/>
        <v>93.218681185259882</v>
      </c>
      <c r="AF418" s="31" t="str">
        <f t="shared" si="237"/>
        <v>-1.39902068552014E-06</v>
      </c>
      <c r="AG418" s="31" t="str">
        <f t="shared" si="238"/>
        <v>0.0207772371737815i</v>
      </c>
      <c r="AH418" s="31">
        <f t="shared" si="252"/>
        <v>2.07772371737815E-2</v>
      </c>
      <c r="AI418" s="31">
        <f t="shared" si="253"/>
        <v>1.5707963267948966</v>
      </c>
      <c r="AJ418" s="31" t="str">
        <f t="shared" si="239"/>
        <v>1+1.50085057333902i</v>
      </c>
      <c r="AK418" s="31">
        <f t="shared" si="254"/>
        <v>1.803483419245119</v>
      </c>
      <c r="AL418" s="31">
        <f t="shared" si="255"/>
        <v>0.98305533541321066</v>
      </c>
      <c r="AM418" s="31" t="str">
        <f t="shared" si="240"/>
        <v>1+729.854805281982i</v>
      </c>
      <c r="AN418" s="31">
        <f t="shared" si="256"/>
        <v>729.85549034942517</v>
      </c>
      <c r="AO418" s="31">
        <f t="shared" si="257"/>
        <v>1.5694261921228954</v>
      </c>
      <c r="AP418" s="58" t="str">
        <f t="shared" si="258"/>
        <v>-0.0150783740768995+0.0226977206766257i</v>
      </c>
      <c r="AQ418" s="49">
        <f t="shared" si="259"/>
        <v>-31.292778718904565</v>
      </c>
      <c r="AR418" s="61">
        <f t="shared" si="260"/>
        <v>123.59657531893531</v>
      </c>
      <c r="AS418" s="58" t="str">
        <f t="shared" si="261"/>
        <v>-0.00627108451985398-0.0046939754854439i</v>
      </c>
      <c r="AT418" s="64">
        <f t="shared" si="262"/>
        <v>-42.121153079110549</v>
      </c>
      <c r="AU418" s="61">
        <f t="shared" si="263"/>
        <v>-143.18474349580475</v>
      </c>
    </row>
    <row r="419" spans="14:47" x14ac:dyDescent="0.4">
      <c r="N419" s="10">
        <v>1</v>
      </c>
      <c r="O419" s="50">
        <f>10^(5+(N419/100))</f>
        <v>102329.29922807543</v>
      </c>
      <c r="P419" s="48" t="str">
        <f t="shared" si="232"/>
        <v>5120.19230769231</v>
      </c>
      <c r="Q419" s="17" t="str">
        <f t="shared" si="233"/>
        <v>1+3004.57326356019i</v>
      </c>
      <c r="R419" s="17">
        <f t="shared" si="241"/>
        <v>3004.5734299731685</v>
      </c>
      <c r="S419" s="17">
        <f t="shared" si="242"/>
        <v>1.5704635008408072</v>
      </c>
      <c r="T419" s="17" t="str">
        <f t="shared" si="234"/>
        <v>1+0.00642310995454424i</v>
      </c>
      <c r="U419" s="17">
        <f t="shared" si="243"/>
        <v>1.0000206279579877</v>
      </c>
      <c r="V419" s="17">
        <f t="shared" si="244"/>
        <v>6.4230216253914792E-3</v>
      </c>
      <c r="W419" s="31" t="str">
        <f t="shared" si="235"/>
        <v>1-10.415853980342i</v>
      </c>
      <c r="X419" s="17">
        <f t="shared" si="245"/>
        <v>10.46374761449292</v>
      </c>
      <c r="Y419" s="17">
        <f t="shared" si="246"/>
        <v>-1.475082196812078</v>
      </c>
      <c r="Z419" s="31" t="str">
        <f t="shared" si="236"/>
        <v>-3.18851419220361+63.4166316767577i</v>
      </c>
      <c r="AA419" s="17">
        <f t="shared" si="247"/>
        <v>63.49673846725856</v>
      </c>
      <c r="AB419" s="17">
        <f t="shared" si="248"/>
        <v>1.621032855648032</v>
      </c>
      <c r="AC419" s="66" t="str">
        <f t="shared" si="249"/>
        <v>-0.0146622103724725+0.280450053433712i</v>
      </c>
      <c r="AD419" s="64">
        <f t="shared" si="250"/>
        <v>-11.031035065873915</v>
      </c>
      <c r="AE419" s="61">
        <f t="shared" si="251"/>
        <v>92.992756160448138</v>
      </c>
      <c r="AF419" s="31" t="str">
        <f t="shared" si="237"/>
        <v>-1.39902068552014E-06</v>
      </c>
      <c r="AG419" s="31" t="str">
        <f t="shared" si="238"/>
        <v>0.0212612011988857i</v>
      </c>
      <c r="AH419" s="31">
        <f t="shared" si="252"/>
        <v>2.12612011988857E-2</v>
      </c>
      <c r="AI419" s="31">
        <f t="shared" si="253"/>
        <v>1.5707963267948966</v>
      </c>
      <c r="AJ419" s="31" t="str">
        <f t="shared" si="239"/>
        <v>1+1.53580987415837i</v>
      </c>
      <c r="AK419" s="31">
        <f t="shared" si="254"/>
        <v>1.8326789051992574</v>
      </c>
      <c r="AL419" s="31">
        <f t="shared" si="255"/>
        <v>0.99363257401699112</v>
      </c>
      <c r="AM419" s="31" t="str">
        <f t="shared" si="240"/>
        <v>1+746.855307627486i</v>
      </c>
      <c r="AN419" s="31">
        <f t="shared" si="256"/>
        <v>746.8559771009044</v>
      </c>
      <c r="AO419" s="31">
        <f t="shared" si="257"/>
        <v>1.5694573801579852</v>
      </c>
      <c r="AP419" s="58" t="str">
        <f t="shared" si="258"/>
        <v>-0.0146017886892808+0.0224913728319081i</v>
      </c>
      <c r="AQ419" s="49">
        <f t="shared" si="259"/>
        <v>-31.432263628047103</v>
      </c>
      <c r="AR419" s="61">
        <f t="shared" si="260"/>
        <v>122.99233113081796</v>
      </c>
      <c r="AS419" s="58" t="str">
        <f t="shared" si="261"/>
        <v>-0.00609361221492954-0.00442484565816372i</v>
      </c>
      <c r="AT419" s="64">
        <f t="shared" si="262"/>
        <v>-42.463298693921018</v>
      </c>
      <c r="AU419" s="61">
        <f t="shared" si="263"/>
        <v>-144.0149127087339</v>
      </c>
    </row>
    <row r="420" spans="14:47" x14ac:dyDescent="0.4">
      <c r="N420" s="10">
        <v>2</v>
      </c>
      <c r="O420" s="50">
        <f t="shared" ref="O420:O483" si="264">10^(5+(N420/100))</f>
        <v>104712.85480508996</v>
      </c>
      <c r="P420" s="48" t="str">
        <f t="shared" si="232"/>
        <v>5120.19230769231</v>
      </c>
      <c r="Q420" s="17" t="str">
        <f t="shared" si="233"/>
        <v>1+3074.55876539526i</v>
      </c>
      <c r="R420" s="17">
        <f t="shared" si="241"/>
        <v>3074.5589280202171</v>
      </c>
      <c r="S420" s="17">
        <f t="shared" si="242"/>
        <v>1.5704710768839198</v>
      </c>
      <c r="T420" s="17" t="str">
        <f t="shared" si="234"/>
        <v>1+0.00657272340513387i</v>
      </c>
      <c r="U420" s="17">
        <f t="shared" si="243"/>
        <v>1.0000216001131979</v>
      </c>
      <c r="V420" s="17">
        <f t="shared" si="244"/>
        <v>6.5726287588518829E-3</v>
      </c>
      <c r="W420" s="31" t="str">
        <f t="shared" si="235"/>
        <v>1-10.6584703867036i</v>
      </c>
      <c r="X420" s="17">
        <f t="shared" si="245"/>
        <v>10.705278650471344</v>
      </c>
      <c r="Y420" s="17">
        <f t="shared" si="246"/>
        <v>-1.4772480812115099</v>
      </c>
      <c r="Z420" s="31" t="str">
        <f t="shared" si="236"/>
        <v>-3.38591278457276+64.8937947888759i</v>
      </c>
      <c r="AA420" s="17">
        <f t="shared" si="247"/>
        <v>64.982066814510219</v>
      </c>
      <c r="AB420" s="17">
        <f t="shared" si="248"/>
        <v>1.6229252745520788</v>
      </c>
      <c r="AC420" s="66" t="str">
        <f t="shared" si="249"/>
        <v>-0.0132510362506168+0.274037596400435i</v>
      </c>
      <c r="AD420" s="64">
        <f t="shared" si="250"/>
        <v>-11.233654239921549</v>
      </c>
      <c r="AE420" s="61">
        <f t="shared" si="251"/>
        <v>92.768370291211383</v>
      </c>
      <c r="AF420" s="31" t="str">
        <f t="shared" si="237"/>
        <v>-1.39902068552014E-06</v>
      </c>
      <c r="AG420" s="31" t="str">
        <f t="shared" si="238"/>
        <v>0.021756438194291i</v>
      </c>
      <c r="AH420" s="31">
        <f t="shared" si="252"/>
        <v>2.1756438194290999E-2</v>
      </c>
      <c r="AI420" s="31">
        <f t="shared" si="253"/>
        <v>1.5707963267948966</v>
      </c>
      <c r="AJ420" s="31" t="str">
        <f t="shared" si="239"/>
        <v>1+1.57158348170185i</v>
      </c>
      <c r="AK420" s="31">
        <f t="shared" si="254"/>
        <v>1.8627599523175573</v>
      </c>
      <c r="AL420" s="31">
        <f t="shared" si="255"/>
        <v>1.0041117567468401</v>
      </c>
      <c r="AM420" s="31" t="str">
        <f t="shared" si="240"/>
        <v>1+764.251802542893i</v>
      </c>
      <c r="AN420" s="31">
        <f t="shared" si="256"/>
        <v>764.25245677724911</v>
      </c>
      <c r="AO420" s="31">
        <f t="shared" si="257"/>
        <v>1.5694878582692404</v>
      </c>
      <c r="AP420" s="58" t="str">
        <f t="shared" si="258"/>
        <v>-0.0141339983534099+0.0222770620982731i</v>
      </c>
      <c r="AQ420" s="49">
        <f t="shared" si="259"/>
        <v>-31.573674206930036</v>
      </c>
      <c r="AR420" s="61">
        <f t="shared" si="260"/>
        <v>122.39366445479327</v>
      </c>
      <c r="AS420" s="58" t="str">
        <f t="shared" si="261"/>
        <v>-0.0059174624277268-0.00416844109371761i</v>
      </c>
      <c r="AT420" s="64">
        <f t="shared" si="262"/>
        <v>-42.807328446851585</v>
      </c>
      <c r="AU420" s="61">
        <f t="shared" si="263"/>
        <v>-144.83796525399535</v>
      </c>
    </row>
    <row r="421" spans="14:47" x14ac:dyDescent="0.4">
      <c r="N421" s="10">
        <v>3</v>
      </c>
      <c r="O421" s="50">
        <f t="shared" si="264"/>
        <v>107151.93052376082</v>
      </c>
      <c r="P421" s="48" t="str">
        <f t="shared" si="232"/>
        <v>5120.19230769231</v>
      </c>
      <c r="Q421" s="17" t="str">
        <f t="shared" si="233"/>
        <v>1+3146.17443898434i</v>
      </c>
      <c r="R421" s="17">
        <f t="shared" si="241"/>
        <v>3146.1745979075017</v>
      </c>
      <c r="S421" s="17">
        <f t="shared" si="242"/>
        <v>1.5704784804752732</v>
      </c>
      <c r="T421" s="17" t="str">
        <f t="shared" si="234"/>
        <v>1+0.0067258218006732i</v>
      </c>
      <c r="U421" s="17">
        <f t="shared" si="243"/>
        <v>1.0000226180836582</v>
      </c>
      <c r="V421" s="17">
        <f t="shared" si="244"/>
        <v>6.7257203854787654E-3</v>
      </c>
      <c r="W421" s="31" t="str">
        <f t="shared" si="235"/>
        <v>1-10.9067380551457i</v>
      </c>
      <c r="X421" s="17">
        <f t="shared" si="245"/>
        <v>10.952485334551396</v>
      </c>
      <c r="Y421" s="17">
        <f t="shared" si="246"/>
        <v>-1.479365514974468</v>
      </c>
      <c r="Z421" s="31" t="str">
        <f t="shared" si="236"/>
        <v>-3.59261448598756+66.4053654499621i</v>
      </c>
      <c r="AA421" s="17">
        <f t="shared" si="247"/>
        <v>66.502476941749677</v>
      </c>
      <c r="AB421" s="17">
        <f t="shared" si="248"/>
        <v>1.6248449036445656</v>
      </c>
      <c r="AC421" s="66" t="str">
        <f t="shared" si="249"/>
        <v>-0.0119036607414357+0.267768459650141i</v>
      </c>
      <c r="AD421" s="64">
        <f t="shared" si="250"/>
        <v>-11.436237311928622</v>
      </c>
      <c r="AE421" s="61">
        <f t="shared" si="251"/>
        <v>92.545410937512088</v>
      </c>
      <c r="AF421" s="31" t="str">
        <f t="shared" si="237"/>
        <v>-1.39902068552014E-06</v>
      </c>
      <c r="AG421" s="31" t="str">
        <f t="shared" si="238"/>
        <v>0.0222632107412073i</v>
      </c>
      <c r="AH421" s="31">
        <f t="shared" si="252"/>
        <v>2.2263210741207299E-2</v>
      </c>
      <c r="AI421" s="31">
        <f t="shared" si="253"/>
        <v>1.5707963267948966</v>
      </c>
      <c r="AJ421" s="31" t="str">
        <f t="shared" si="239"/>
        <v>1+1.60819036360969i</v>
      </c>
      <c r="AK421" s="31">
        <f t="shared" si="254"/>
        <v>1.8937466159988423</v>
      </c>
      <c r="AL421" s="31">
        <f t="shared" si="255"/>
        <v>1.0144892335448694</v>
      </c>
      <c r="AM421" s="31" t="str">
        <f t="shared" si="240"/>
        <v>1+782.053513880079i</v>
      </c>
      <c r="AN421" s="31">
        <f t="shared" si="256"/>
        <v>782.05415322225542</v>
      </c>
      <c r="AO421" s="31">
        <f t="shared" si="257"/>
        <v>1.5695176426163326</v>
      </c>
      <c r="AP421" s="58" t="str">
        <f t="shared" si="258"/>
        <v>-0.0136752439268396+0.0220552355266266i</v>
      </c>
      <c r="AQ421" s="49">
        <f t="shared" si="259"/>
        <v>-31.716974089090346</v>
      </c>
      <c r="AR421" s="61">
        <f t="shared" si="260"/>
        <v>121.8007853496553</v>
      </c>
      <c r="AS421" s="58" t="str">
        <f t="shared" si="261"/>
        <v>-0.00574291097992439-0.00392433704291121i</v>
      </c>
      <c r="AT421" s="64">
        <f t="shared" si="262"/>
        <v>-43.153211401018972</v>
      </c>
      <c r="AU421" s="61">
        <f t="shared" si="263"/>
        <v>-145.65380371283257</v>
      </c>
    </row>
    <row r="422" spans="14:47" x14ac:dyDescent="0.4">
      <c r="N422" s="10">
        <v>4</v>
      </c>
      <c r="O422" s="50">
        <f t="shared" si="264"/>
        <v>109647.81961431868</v>
      </c>
      <c r="P422" s="48" t="str">
        <f t="shared" si="232"/>
        <v>5120.19230769231</v>
      </c>
      <c r="Q422" s="17" t="str">
        <f t="shared" si="233"/>
        <v>1+3219.45825590551i</v>
      </c>
      <c r="R422" s="17">
        <f t="shared" si="241"/>
        <v>3219.4584112111384</v>
      </c>
      <c r="S422" s="17">
        <f t="shared" si="242"/>
        <v>1.570485715540346</v>
      </c>
      <c r="T422" s="17" t="str">
        <f t="shared" si="234"/>
        <v>1+0.00688248631595801i</v>
      </c>
      <c r="U422" s="17">
        <f t="shared" si="243"/>
        <v>1.0000236840284782</v>
      </c>
      <c r="V422" s="17">
        <f t="shared" si="244"/>
        <v>6.8823776477583273E-3</v>
      </c>
      <c r="W422" s="31" t="str">
        <f t="shared" si="235"/>
        <v>1-11.1607886204724i</v>
      </c>
      <c r="X422" s="17">
        <f t="shared" si="245"/>
        <v>11.205498767608082</v>
      </c>
      <c r="Y422" s="17">
        <f t="shared" si="246"/>
        <v>-1.481435544801883</v>
      </c>
      <c r="Z422" s="31" t="str">
        <f t="shared" si="236"/>
        <v>-3.80905773846968+67.9521451147887i</v>
      </c>
      <c r="AA422" s="17">
        <f t="shared" si="247"/>
        <v>68.058819755828111</v>
      </c>
      <c r="AB422" s="17">
        <f t="shared" si="248"/>
        <v>1.6267927294996649</v>
      </c>
      <c r="AC422" s="66" t="str">
        <f t="shared" si="249"/>
        <v>-0.0106172297421627+0.261639454176499i</v>
      </c>
      <c r="AD422" s="64">
        <f t="shared" si="250"/>
        <v>-11.638789641257627</v>
      </c>
      <c r="AE422" s="61">
        <f t="shared" si="251"/>
        <v>92.323766025476885</v>
      </c>
      <c r="AF422" s="31" t="str">
        <f t="shared" si="237"/>
        <v>-1.39902068552014E-06</v>
      </c>
      <c r="AG422" s="31" t="str">
        <f t="shared" si="238"/>
        <v>0.0227817875371471i</v>
      </c>
      <c r="AH422" s="31">
        <f t="shared" si="252"/>
        <v>2.2781787537147099E-2</v>
      </c>
      <c r="AI422" s="31">
        <f t="shared" si="253"/>
        <v>1.5707963267948966</v>
      </c>
      <c r="AJ422" s="31" t="str">
        <f t="shared" si="239"/>
        <v>1+1.64564992933524i</v>
      </c>
      <c r="AK422" s="31">
        <f t="shared" si="254"/>
        <v>1.9256592870809417</v>
      </c>
      <c r="AL422" s="31">
        <f t="shared" si="255"/>
        <v>1.0247615657940179</v>
      </c>
      <c r="AM422" s="31" t="str">
        <f t="shared" si="240"/>
        <v>1+800.269880342024i</v>
      </c>
      <c r="AN422" s="31">
        <f t="shared" si="256"/>
        <v>800.2705051310071</v>
      </c>
      <c r="AO422" s="31">
        <f t="shared" si="257"/>
        <v>1.569546748991105</v>
      </c>
      <c r="AP422" s="58" t="str">
        <f t="shared" si="258"/>
        <v>-0.0132257382760659+0.021826344869316i</v>
      </c>
      <c r="AQ422" s="49">
        <f t="shared" si="259"/>
        <v>-31.862125982953696</v>
      </c>
      <c r="AR422" s="61">
        <f t="shared" si="260"/>
        <v>121.21389173845441</v>
      </c>
      <c r="AS422" s="58" t="str">
        <f t="shared" si="261"/>
        <v>-0.00557021225648916-0.00369211026154031i</v>
      </c>
      <c r="AT422" s="64">
        <f t="shared" si="262"/>
        <v>-43.500915624211331</v>
      </c>
      <c r="AU422" s="61">
        <f t="shared" si="263"/>
        <v>-146.46234223606874</v>
      </c>
    </row>
    <row r="423" spans="14:47" x14ac:dyDescent="0.4">
      <c r="N423" s="10">
        <v>5</v>
      </c>
      <c r="O423" s="50">
        <f t="shared" si="264"/>
        <v>112201.84543019651</v>
      </c>
      <c r="P423" s="48" t="str">
        <f t="shared" si="232"/>
        <v>5120.19230769231</v>
      </c>
      <c r="Q423" s="17" t="str">
        <f t="shared" si="233"/>
        <v>1+3294.44907220853i</v>
      </c>
      <c r="R423" s="17">
        <f t="shared" si="241"/>
        <v>3294.4492239789711</v>
      </c>
      <c r="S423" s="17">
        <f t="shared" si="242"/>
        <v>1.5704927859152626</v>
      </c>
      <c r="T423" s="17" t="str">
        <f t="shared" si="234"/>
        <v>1+0.00704280001658801i</v>
      </c>
      <c r="U423" s="17">
        <f t="shared" si="243"/>
        <v>1.0000248002085117</v>
      </c>
      <c r="V423" s="17">
        <f t="shared" si="244"/>
        <v>7.042683576670144E-3</v>
      </c>
      <c r="W423" s="31" t="str">
        <f t="shared" si="235"/>
        <v>1-11.4207567836562i</v>
      </c>
      <c r="X423" s="17">
        <f t="shared" si="245"/>
        <v>11.464453127446992</v>
      </c>
      <c r="Y423" s="17">
        <f t="shared" si="246"/>
        <v>-1.4834591972507125</v>
      </c>
      <c r="Z423" s="31" t="str">
        <f t="shared" si="236"/>
        <v>-4.0357016471767+69.5349539064082i</v>
      </c>
      <c r="AA423" s="17">
        <f t="shared" si="247"/>
        <v>69.651968403996577</v>
      </c>
      <c r="AB423" s="17">
        <f t="shared" si="248"/>
        <v>1.6287697514773898</v>
      </c>
      <c r="AC423" s="66" t="str">
        <f t="shared" si="249"/>
        <v>-0.0093890180428447+0.255647456482354i</v>
      </c>
      <c r="AD423" s="64">
        <f t="shared" si="250"/>
        <v>-11.84131652743222</v>
      </c>
      <c r="AE423" s="61">
        <f t="shared" si="251"/>
        <v>92.103324016144668</v>
      </c>
      <c r="AF423" s="31" t="str">
        <f t="shared" si="237"/>
        <v>-1.39902068552014E-06</v>
      </c>
      <c r="AG423" s="31" t="str">
        <f t="shared" si="238"/>
        <v>0.0233124435383916i</v>
      </c>
      <c r="AH423" s="31">
        <f t="shared" si="252"/>
        <v>2.3312443538391601E-2</v>
      </c>
      <c r="AI423" s="31">
        <f t="shared" si="253"/>
        <v>1.5707963267948966</v>
      </c>
      <c r="AJ423" s="31" t="str">
        <f t="shared" si="239"/>
        <v>1+1.68398204043607i</v>
      </c>
      <c r="AK423" s="31">
        <f t="shared" si="254"/>
        <v>1.9585187036408993</v>
      </c>
      <c r="AL423" s="31">
        <f t="shared" si="255"/>
        <v>1.034925528057083</v>
      </c>
      <c r="AM423" s="31" t="str">
        <f t="shared" si="240"/>
        <v>1+818.910560487351i</v>
      </c>
      <c r="AN423" s="31">
        <f t="shared" si="256"/>
        <v>818.91117105441128</v>
      </c>
      <c r="AO423" s="31">
        <f t="shared" si="257"/>
        <v>1.5695751928259456</v>
      </c>
      <c r="AP423" s="58" t="str">
        <f t="shared" si="258"/>
        <v>-0.0127856665684452+0.021590844632786i</v>
      </c>
      <c r="AQ423" s="49">
        <f t="shared" si="259"/>
        <v>-32.009091785439509</v>
      </c>
      <c r="AR423" s="61">
        <f t="shared" si="260"/>
        <v>120.63316930934005</v>
      </c>
      <c r="AS423" s="58" t="str">
        <f t="shared" si="261"/>
        <v>-0.0053995996595765-0.00347133996747197i</v>
      </c>
      <c r="AT423" s="64">
        <f t="shared" si="262"/>
        <v>-43.850408312871714</v>
      </c>
      <c r="AU423" s="61">
        <f t="shared" si="263"/>
        <v>-147.26350667451527</v>
      </c>
    </row>
    <row r="424" spans="14:47" x14ac:dyDescent="0.4">
      <c r="N424" s="10">
        <v>6</v>
      </c>
      <c r="O424" s="50">
        <f t="shared" si="264"/>
        <v>114815.36214968823</v>
      </c>
      <c r="P424" s="48" t="str">
        <f t="shared" si="232"/>
        <v>5120.19230769231</v>
      </c>
      <c r="Q424" s="17" t="str">
        <f t="shared" si="233"/>
        <v>1+3371.18664901681i</v>
      </c>
      <c r="R424" s="17">
        <f t="shared" si="241"/>
        <v>3371.1867973325343</v>
      </c>
      <c r="S424" s="17">
        <f t="shared" si="242"/>
        <v>1.5704996953488266</v>
      </c>
      <c r="T424" s="17" t="str">
        <f t="shared" si="234"/>
        <v>1+0.00720684790300927i</v>
      </c>
      <c r="U424" s="17">
        <f t="shared" si="243"/>
        <v>1.0000259689911544</v>
      </c>
      <c r="V424" s="17">
        <f t="shared" si="244"/>
        <v>7.2067231355643652E-3</v>
      </c>
      <c r="W424" s="31" t="str">
        <f t="shared" si="235"/>
        <v>1-11.6867803832583i</v>
      </c>
      <c r="X424" s="17">
        <f t="shared" si="245"/>
        <v>11.729485740070237</v>
      </c>
      <c r="Y424" s="17">
        <f t="shared" si="246"/>
        <v>-1.4854374789539477</v>
      </c>
      <c r="Z424" s="31" t="str">
        <f t="shared" si="236"/>
        <v>-4.27302695422563+71.1546310509925i</v>
      </c>
      <c r="AA424" s="17">
        <f t="shared" si="247"/>
        <v>71.282818963298624</v>
      </c>
      <c r="AB424" s="17">
        <f t="shared" si="248"/>
        <v>1.6307769820981148</v>
      </c>
      <c r="AC424" s="66" t="str">
        <f t="shared" si="249"/>
        <v>-0.00821642357538474+0.249789407524454i</v>
      </c>
      <c r="AD424" s="64">
        <f t="shared" si="250"/>
        <v>-12.043823220430754</v>
      </c>
      <c r="AE424" s="61">
        <f t="shared" si="251"/>
        <v>91.883973873800173</v>
      </c>
      <c r="AF424" s="31" t="str">
        <f t="shared" si="237"/>
        <v>-1.39902068552014E-06</v>
      </c>
      <c r="AG424" s="31" t="str">
        <f t="shared" si="238"/>
        <v>0.0238554601057768i</v>
      </c>
      <c r="AH424" s="31">
        <f t="shared" si="252"/>
        <v>2.3855460105776799E-2</v>
      </c>
      <c r="AI424" s="31">
        <f t="shared" si="253"/>
        <v>1.5707963267948966</v>
      </c>
      <c r="AJ424" s="31" t="str">
        <f t="shared" si="239"/>
        <v>1+1.72320702110487i</v>
      </c>
      <c r="AK424" s="31">
        <f t="shared" si="254"/>
        <v>1.9923459633269318</v>
      </c>
      <c r="AL424" s="31">
        <f t="shared" si="255"/>
        <v>1.044978108919143</v>
      </c>
      <c r="AM424" s="31" t="str">
        <f t="shared" si="240"/>
        <v>1+837.985437851408i</v>
      </c>
      <c r="AN424" s="31">
        <f t="shared" si="256"/>
        <v>837.98603452027533</v>
      </c>
      <c r="AO424" s="31">
        <f t="shared" si="257"/>
        <v>1.5696029892019676</v>
      </c>
      <c r="AP424" s="58" t="str">
        <f t="shared" si="258"/>
        <v>-0.0123551867091801+0.0213491902064874i</v>
      </c>
      <c r="AQ424" s="49">
        <f t="shared" si="259"/>
        <v>-32.157832694077477</v>
      </c>
      <c r="AR424" s="61">
        <f t="shared" si="260"/>
        <v>120.05879146776185</v>
      </c>
      <c r="AS424" s="58" t="str">
        <f t="shared" si="261"/>
        <v>-0.00523128612544978-0.00326160875766806i</v>
      </c>
      <c r="AT424" s="64">
        <f t="shared" si="262"/>
        <v>-44.201655914508223</v>
      </c>
      <c r="AU424" s="61">
        <f t="shared" si="263"/>
        <v>-148.05723465843801</v>
      </c>
    </row>
    <row r="425" spans="14:47" x14ac:dyDescent="0.4">
      <c r="N425" s="10">
        <v>7</v>
      </c>
      <c r="O425" s="50">
        <f t="shared" si="264"/>
        <v>117489.75549395311</v>
      </c>
      <c r="P425" s="48" t="str">
        <f t="shared" si="232"/>
        <v>5120.19230769231</v>
      </c>
      <c r="Q425" s="17" t="str">
        <f t="shared" si="233"/>
        <v>1+3449.71167360935i</v>
      </c>
      <c r="R425" s="17">
        <f t="shared" si="241"/>
        <v>3449.7118185489962</v>
      </c>
      <c r="S425" s="17">
        <f t="shared" si="242"/>
        <v>1.5705064475045083</v>
      </c>
      <c r="T425" s="17" t="str">
        <f t="shared" si="234"/>
        <v>1+0.00737471695558265i</v>
      </c>
      <c r="U425" s="17">
        <f t="shared" si="243"/>
        <v>1.0000271928553619</v>
      </c>
      <c r="V425" s="17">
        <f t="shared" si="244"/>
        <v>7.3745832650531085E-3</v>
      </c>
      <c r="W425" s="31" t="str">
        <f t="shared" si="235"/>
        <v>1-11.9590004685124i</v>
      </c>
      <c r="X425" s="17">
        <f t="shared" si="245"/>
        <v>12.000737152603577</v>
      </c>
      <c r="Y425" s="17">
        <f t="shared" si="246"/>
        <v>-1.4873713768507602</v>
      </c>
      <c r="Z425" s="31" t="str">
        <f t="shared" si="236"/>
        <v>-4.52153705841156+72.8120353228033i</v>
      </c>
      <c r="AA425" s="17">
        <f t="shared" si="247"/>
        <v>72.952291158124311</v>
      </c>
      <c r="AB425" s="17">
        <f t="shared" si="248"/>
        <v>1.6328154474134977</v>
      </c>
      <c r="AC425" s="66" t="str">
        <f t="shared" si="249"/>
        <v>-0.00709696192083147+0.24406231165331i</v>
      </c>
      <c r="AD425" s="64">
        <f t="shared" si="250"/>
        <v>-12.246314930911566</v>
      </c>
      <c r="AE425" s="61">
        <f t="shared" si="251"/>
        <v>91.665605033993387</v>
      </c>
      <c r="AF425" s="31" t="str">
        <f t="shared" si="237"/>
        <v>-1.39902068552014E-06</v>
      </c>
      <c r="AG425" s="31" t="str">
        <f t="shared" si="238"/>
        <v>0.0244111251538746i</v>
      </c>
      <c r="AH425" s="31">
        <f t="shared" si="252"/>
        <v>2.4411125153874599E-2</v>
      </c>
      <c r="AI425" s="31">
        <f t="shared" si="253"/>
        <v>1.5707963267948966</v>
      </c>
      <c r="AJ425" s="31" t="str">
        <f t="shared" si="239"/>
        <v>1+1.76334566894561i</v>
      </c>
      <c r="AK425" s="31">
        <f t="shared" si="254"/>
        <v>2.0271625362040511</v>
      </c>
      <c r="AL425" s="31">
        <f t="shared" si="255"/>
        <v>1.0549165109716914</v>
      </c>
      <c r="AM425" s="31" t="str">
        <f t="shared" si="240"/>
        <v>1+857.504626186667i</v>
      </c>
      <c r="AN425" s="31">
        <f t="shared" si="256"/>
        <v>857.50520927370201</v>
      </c>
      <c r="AO425" s="31">
        <f t="shared" si="257"/>
        <v>1.5696301528570062</v>
      </c>
      <c r="AP425" s="58" t="str">
        <f t="shared" si="258"/>
        <v>-0.0119344299117141+0.021101836078707i</v>
      </c>
      <c r="AQ425" s="49">
        <f t="shared" si="259"/>
        <v>-32.308309317065259</v>
      </c>
      <c r="AR425" s="61">
        <f t="shared" si="260"/>
        <v>119.49091933783666</v>
      </c>
      <c r="AS425" s="58" t="str">
        <f t="shared" si="261"/>
        <v>-0.00506546469886818-0.00306250347962756i</v>
      </c>
      <c r="AT425" s="64">
        <f t="shared" si="262"/>
        <v>-44.554624247976832</v>
      </c>
      <c r="AU425" s="61">
        <f t="shared" si="263"/>
        <v>-148.84347562816995</v>
      </c>
    </row>
    <row r="426" spans="14:47" x14ac:dyDescent="0.4">
      <c r="N426" s="10">
        <v>8</v>
      </c>
      <c r="O426" s="50">
        <f t="shared" si="264"/>
        <v>120226.44346174144</v>
      </c>
      <c r="P426" s="48" t="str">
        <f t="shared" si="232"/>
        <v>5120.19230769231</v>
      </c>
      <c r="Q426" s="17" t="str">
        <f t="shared" si="233"/>
        <v>1+3530.06578099356i</v>
      </c>
      <c r="R426" s="17">
        <f t="shared" si="241"/>
        <v>3530.0659226339772</v>
      </c>
      <c r="S426" s="17">
        <f t="shared" si="242"/>
        <v>1.5705130459623877</v>
      </c>
      <c r="T426" s="17" t="str">
        <f t="shared" si="234"/>
        <v>1+0.00754649618070178i</v>
      </c>
      <c r="U426" s="17">
        <f t="shared" si="243"/>
        <v>1.000028474396907</v>
      </c>
      <c r="V426" s="17">
        <f t="shared" si="244"/>
        <v>7.5463529289387446E-3</v>
      </c>
      <c r="W426" s="31" t="str">
        <f t="shared" si="235"/>
        <v>1-12.237561374111i</v>
      </c>
      <c r="X426" s="17">
        <f t="shared" si="245"/>
        <v>12.278351207924194</v>
      </c>
      <c r="Y426" s="17">
        <f t="shared" si="246"/>
        <v>-1.4892618584256319</v>
      </c>
      <c r="Z426" s="31" t="str">
        <f t="shared" si="236"/>
        <v>-4.78175908298373+74.5080454995234i</v>
      </c>
      <c r="AA426" s="17">
        <f t="shared" si="247"/>
        <v>74.661329107421778</v>
      </c>
      <c r="AB426" s="17">
        <f t="shared" si="248"/>
        <v>1.6348861873732607</v>
      </c>
      <c r="AC426" s="66" t="str">
        <f t="shared" si="249"/>
        <v>-0.00602826106349516+0.238463235550359i</v>
      </c>
      <c r="AD426" s="64">
        <f t="shared" si="250"/>
        <v>-12.448796840382084</v>
      </c>
      <c r="AE426" s="61">
        <f t="shared" si="251"/>
        <v>91.44810737134371</v>
      </c>
      <c r="AF426" s="31" t="str">
        <f t="shared" si="237"/>
        <v>-1.39902068552014E-06</v>
      </c>
      <c r="AG426" s="31" t="str">
        <f t="shared" si="238"/>
        <v>0.0249797333036483i</v>
      </c>
      <c r="AH426" s="31">
        <f t="shared" si="252"/>
        <v>2.4979733303648301E-2</v>
      </c>
      <c r="AI426" s="31">
        <f t="shared" si="253"/>
        <v>1.5707963267948966</v>
      </c>
      <c r="AJ426" s="31" t="str">
        <f t="shared" si="239"/>
        <v>1+1.80441926600066i</v>
      </c>
      <c r="AK426" s="31">
        <f t="shared" si="254"/>
        <v>2.0629902780949698</v>
      </c>
      <c r="AL426" s="31">
        <f t="shared" si="255"/>
        <v>1.0647381499814805</v>
      </c>
      <c r="AM426" s="31" t="str">
        <f t="shared" si="240"/>
        <v>1+877.478474825144i</v>
      </c>
      <c r="AN426" s="31">
        <f t="shared" si="256"/>
        <v>877.47904463950624</v>
      </c>
      <c r="AO426" s="31">
        <f t="shared" si="257"/>
        <v>1.5696566981934299</v>
      </c>
      <c r="AP426" s="58" t="str">
        <f t="shared" si="258"/>
        <v>-0.0115235013892232+0.0208492341483708i</v>
      </c>
      <c r="AQ426" s="49">
        <f t="shared" si="259"/>
        <v>-32.460481780748282</v>
      </c>
      <c r="AR426" s="61">
        <f t="shared" si="260"/>
        <v>118.92970181041734</v>
      </c>
      <c r="AS426" s="58" t="str">
        <f t="shared" si="261"/>
        <v>-0.00490230915902775-0.00287361605256354i</v>
      </c>
      <c r="AT426" s="64">
        <f t="shared" si="262"/>
        <v>-44.909278621130362</v>
      </c>
      <c r="AU426" s="61">
        <f t="shared" si="263"/>
        <v>-149.62219081823892</v>
      </c>
    </row>
    <row r="427" spans="14:47" x14ac:dyDescent="0.4">
      <c r="N427" s="10">
        <v>9</v>
      </c>
      <c r="O427" s="50">
        <f t="shared" si="264"/>
        <v>123026.87708123829</v>
      </c>
      <c r="P427" s="48" t="str">
        <f t="shared" si="232"/>
        <v>5120.19230769231</v>
      </c>
      <c r="Q427" s="17" t="str">
        <f t="shared" si="233"/>
        <v>1+3612.29157598079i</v>
      </c>
      <c r="R427" s="17">
        <f t="shared" si="241"/>
        <v>3612.2917143970781</v>
      </c>
      <c r="S427" s="17">
        <f t="shared" si="242"/>
        <v>1.5705194942210523</v>
      </c>
      <c r="T427" s="17" t="str">
        <f t="shared" si="234"/>
        <v>1+0.00772227665798561i</v>
      </c>
      <c r="U427" s="17">
        <f t="shared" si="243"/>
        <v>1.0000298163338843</v>
      </c>
      <c r="V427" s="17">
        <f t="shared" si="244"/>
        <v>7.7221231612031828E-3</v>
      </c>
      <c r="W427" s="31" t="str">
        <f t="shared" si="235"/>
        <v>1-12.5226107967334i</v>
      </c>
      <c r="X427" s="17">
        <f t="shared" si="245"/>
        <v>12.562475121028655</v>
      </c>
      <c r="Y427" s="17">
        <f t="shared" si="246"/>
        <v>-1.4911098719553828</v>
      </c>
      <c r="Z427" s="31" t="str">
        <f t="shared" si="236"/>
        <v>-5.05424499374485+76.2435608281978i</v>
      </c>
      <c r="AA427" s="17">
        <f t="shared" si="247"/>
        <v>76.4109021031678</v>
      </c>
      <c r="AB427" s="17">
        <f t="shared" si="248"/>
        <v>1.636990256187254</v>
      </c>
      <c r="AC427" s="66" t="str">
        <f t="shared" si="249"/>
        <v>-0.0050080563809623+0.232989307164295i</v>
      </c>
      <c r="AD427" s="64">
        <f t="shared" si="250"/>
        <v>-12.651274111328256</v>
      </c>
      <c r="AE427" s="61">
        <f t="shared" si="251"/>
        <v>91.231371167225106</v>
      </c>
      <c r="AF427" s="31" t="str">
        <f t="shared" si="237"/>
        <v>-1.39902068552014E-06</v>
      </c>
      <c r="AG427" s="31" t="str">
        <f t="shared" si="238"/>
        <v>0.0255615860386655i</v>
      </c>
      <c r="AH427" s="31">
        <f t="shared" si="252"/>
        <v>2.5561586038665499E-2</v>
      </c>
      <c r="AI427" s="31">
        <f t="shared" si="253"/>
        <v>1.5707963267948966</v>
      </c>
      <c r="AJ427" s="31" t="str">
        <f t="shared" si="239"/>
        <v>1+1.84644959003486i</v>
      </c>
      <c r="AK427" s="31">
        <f t="shared" si="254"/>
        <v>2.0998514443978893</v>
      </c>
      <c r="AL427" s="31">
        <f t="shared" si="255"/>
        <v>1.0744406532909727</v>
      </c>
      <c r="AM427" s="31" t="str">
        <f t="shared" si="240"/>
        <v>1+897.917574165774i</v>
      </c>
      <c r="AN427" s="31">
        <f t="shared" si="256"/>
        <v>897.91813100958609</v>
      </c>
      <c r="AO427" s="31">
        <f t="shared" si="257"/>
        <v>1.5696826392857779</v>
      </c>
      <c r="AP427" s="58" t="str">
        <f t="shared" si="258"/>
        <v>-0.011122481154459+0.0205918321402566i</v>
      </c>
      <c r="AQ427" s="49">
        <f t="shared" si="259"/>
        <v>-32.614309834055362</v>
      </c>
      <c r="AR427" s="61">
        <f t="shared" si="260"/>
        <v>118.37527563517938</v>
      </c>
      <c r="AS427" s="58" t="str">
        <f t="shared" si="261"/>
        <v>-0.00474197469088413-0.00269454423447105i</v>
      </c>
      <c r="AT427" s="64">
        <f t="shared" si="262"/>
        <v>-45.265583945383618</v>
      </c>
      <c r="AU427" s="61">
        <f t="shared" si="263"/>
        <v>-150.3933531975955</v>
      </c>
    </row>
    <row r="428" spans="14:47" x14ac:dyDescent="0.4">
      <c r="N428" s="10">
        <v>10</v>
      </c>
      <c r="O428" s="50">
        <f t="shared" si="264"/>
        <v>125892.54117941685</v>
      </c>
      <c r="P428" s="48" t="str">
        <f t="shared" si="232"/>
        <v>5120.19230769231</v>
      </c>
      <c r="Q428" s="17" t="str">
        <f t="shared" si="233"/>
        <v>1+3696.43265577595i</v>
      </c>
      <c r="R428" s="17">
        <f t="shared" si="241"/>
        <v>3696.4327910414981</v>
      </c>
      <c r="S428" s="17">
        <f t="shared" si="242"/>
        <v>1.5705257956994521</v>
      </c>
      <c r="T428" s="17" t="str">
        <f t="shared" si="234"/>
        <v>1+0.00790215158856992i</v>
      </c>
      <c r="U428" s="17">
        <f t="shared" si="243"/>
        <v>1.0000312215124729</v>
      </c>
      <c r="V428" s="17">
        <f t="shared" si="244"/>
        <v>7.9019871140815923E-3</v>
      </c>
      <c r="W428" s="31" t="str">
        <f t="shared" si="235"/>
        <v>1-12.8142998733566i</v>
      </c>
      <c r="X428" s="17">
        <f t="shared" si="245"/>
        <v>12.853259557182644</v>
      </c>
      <c r="Y428" s="17">
        <f t="shared" si="246"/>
        <v>-1.4929163467630981</v>
      </c>
      <c r="Z428" s="31" t="str">
        <f t="shared" si="236"/>
        <v>-5.33957276984448+78.0195015020263i</v>
      </c>
      <c r="AA428" s="17">
        <f t="shared" si="247"/>
        <v>78.202005421786652</v>
      </c>
      <c r="AB428" s="17">
        <f t="shared" si="248"/>
        <v>1.6391287226821547</v>
      </c>
      <c r="AC428" s="66" t="str">
        <f t="shared" si="249"/>
        <v>-0.00403418585956725+0.227637714648372i</v>
      </c>
      <c r="AD428" s="64">
        <f t="shared" si="250"/>
        <v>-12.85375189731765</v>
      </c>
      <c r="AE428" s="61">
        <f t="shared" si="251"/>
        <v>91.015287077427828</v>
      </c>
      <c r="AF428" s="31" t="str">
        <f t="shared" si="237"/>
        <v>-1.39902068552014E-06</v>
      </c>
      <c r="AG428" s="31" t="str">
        <f t="shared" si="238"/>
        <v>0.0261569918649479i</v>
      </c>
      <c r="AH428" s="31">
        <f t="shared" si="252"/>
        <v>2.6156991864947899E-2</v>
      </c>
      <c r="AI428" s="31">
        <f t="shared" si="253"/>
        <v>1.5707963267948966</v>
      </c>
      <c r="AJ428" s="31" t="str">
        <f t="shared" si="239"/>
        <v>1+1.88945892608234i</v>
      </c>
      <c r="AK428" s="31">
        <f t="shared" si="254"/>
        <v>2.1377687043626188</v>
      </c>
      <c r="AL428" s="31">
        <f t="shared" si="255"/>
        <v>1.0840218575003329</v>
      </c>
      <c r="AM428" s="31" t="str">
        <f t="shared" si="240"/>
        <v>1+918.832761289571i</v>
      </c>
      <c r="AN428" s="31">
        <f t="shared" si="256"/>
        <v>918.83330545807803</v>
      </c>
      <c r="AO428" s="31">
        <f t="shared" si="257"/>
        <v>1.5697079898882209</v>
      </c>
      <c r="AP428" s="58" t="str">
        <f t="shared" si="258"/>
        <v>-0.0107314249149715+0.0203300721294731i</v>
      </c>
      <c r="AQ428" s="49">
        <f t="shared" si="259"/>
        <v>-32.769752949472739</v>
      </c>
      <c r="AR428" s="61">
        <f t="shared" si="260"/>
        <v>117.82776555385817</v>
      </c>
      <c r="AS428" s="58" t="str">
        <f t="shared" si="261"/>
        <v>-0.00458459859554483-0.00252489233207341i</v>
      </c>
      <c r="AT428" s="64">
        <f t="shared" si="262"/>
        <v>-45.623504846790397</v>
      </c>
      <c r="AU428" s="61">
        <f t="shared" si="263"/>
        <v>-151.15694736871401</v>
      </c>
    </row>
    <row r="429" spans="14:47" x14ac:dyDescent="0.4">
      <c r="N429" s="10">
        <v>11</v>
      </c>
      <c r="O429" s="50">
        <f t="shared" si="264"/>
        <v>128824.95516931375</v>
      </c>
      <c r="P429" s="48" t="str">
        <f t="shared" si="232"/>
        <v>5120.19230769231</v>
      </c>
      <c r="Q429" s="17" t="str">
        <f t="shared" si="233"/>
        <v>1+3782.53363309327i</v>
      </c>
      <c r="R429" s="17">
        <f t="shared" si="241"/>
        <v>3782.5337652797989</v>
      </c>
      <c r="S429" s="17">
        <f t="shared" si="242"/>
        <v>1.5705319537387119</v>
      </c>
      <c r="T429" s="17" t="str">
        <f t="shared" si="234"/>
        <v>1+0.00808621634452384i</v>
      </c>
      <c r="U429" s="17">
        <f t="shared" si="243"/>
        <v>1.0000326929129719</v>
      </c>
      <c r="V429" s="17">
        <f t="shared" si="244"/>
        <v>8.0860401072455502E-3</v>
      </c>
      <c r="W429" s="31" t="str">
        <f t="shared" si="235"/>
        <v>1-13.11278326139i</v>
      </c>
      <c r="X429" s="17">
        <f t="shared" si="245"/>
        <v>13.150858711893674</v>
      </c>
      <c r="Y429" s="17">
        <f t="shared" si="246"/>
        <v>-1.4946821934780139</v>
      </c>
      <c r="Z429" s="31" t="str">
        <f t="shared" si="236"/>
        <v>-5.63834762975028+79.8368091482614i</v>
      </c>
      <c r="AA429" s="17">
        <f t="shared" si="247"/>
        <v>80.035661170317226</v>
      </c>
      <c r="AB429" s="17">
        <f t="shared" si="248"/>
        <v>1.6413026706521174</v>
      </c>
      <c r="AC429" s="66" t="str">
        <f t="shared" si="249"/>
        <v>-0.00310458552533467+0.222405705300292i</v>
      </c>
      <c r="AD429" s="64">
        <f t="shared" si="250"/>
        <v>-13.056235353090727</v>
      </c>
      <c r="AE429" s="61">
        <f t="shared" si="251"/>
        <v>90.799746099891607</v>
      </c>
      <c r="AF429" s="31" t="str">
        <f t="shared" si="237"/>
        <v>-1.39902068552014E-06</v>
      </c>
      <c r="AG429" s="31" t="str">
        <f t="shared" si="238"/>
        <v>0.026766266474546i</v>
      </c>
      <c r="AH429" s="31">
        <f t="shared" si="252"/>
        <v>2.6766266474546E-2</v>
      </c>
      <c r="AI429" s="31">
        <f t="shared" si="253"/>
        <v>1.5707963267948966</v>
      </c>
      <c r="AJ429" s="31" t="str">
        <f t="shared" si="239"/>
        <v>1+1.93347007826238i</v>
      </c>
      <c r="AK429" s="31">
        <f t="shared" si="254"/>
        <v>2.1767651558071055</v>
      </c>
      <c r="AL429" s="31">
        <f t="shared" si="255"/>
        <v>1.093479805483377</v>
      </c>
      <c r="AM429" s="31" t="str">
        <f t="shared" si="240"/>
        <v>1+940.235125705594i</v>
      </c>
      <c r="AN429" s="31">
        <f t="shared" si="256"/>
        <v>940.23565748732074</v>
      </c>
      <c r="AO429" s="31">
        <f t="shared" si="257"/>
        <v>1.5697327634418536</v>
      </c>
      <c r="AP429" s="58" t="str">
        <f t="shared" si="258"/>
        <v>-0.0103503650506978+0.0200643891795154i</v>
      </c>
      <c r="AQ429" s="49">
        <f t="shared" si="259"/>
        <v>-32.926770420195112</v>
      </c>
      <c r="AR429" s="61">
        <f t="shared" si="260"/>
        <v>117.28728447164214</v>
      </c>
      <c r="AS429" s="58" t="str">
        <f t="shared" si="261"/>
        <v>-0.00443030103337134-0.00236427185143734i</v>
      </c>
      <c r="AT429" s="64">
        <f t="shared" si="262"/>
        <v>-45.983005773285853</v>
      </c>
      <c r="AU429" s="61">
        <f t="shared" si="263"/>
        <v>-151.91296942846623</v>
      </c>
    </row>
    <row r="430" spans="14:47" x14ac:dyDescent="0.4">
      <c r="N430" s="10">
        <v>12</v>
      </c>
      <c r="O430" s="50">
        <f t="shared" si="264"/>
        <v>131825.67385564081</v>
      </c>
      <c r="P430" s="48" t="str">
        <f t="shared" si="232"/>
        <v>5120.19230769231</v>
      </c>
      <c r="Q430" s="17" t="str">
        <f t="shared" si="233"/>
        <v>1+3870.64015981059i</v>
      </c>
      <c r="R430" s="17">
        <f t="shared" si="241"/>
        <v>3870.6402889881856</v>
      </c>
      <c r="S430" s="17">
        <f t="shared" si="242"/>
        <v>1.5705379716039041</v>
      </c>
      <c r="T430" s="17" t="str">
        <f t="shared" si="234"/>
        <v>1+0.00827456851941732i</v>
      </c>
      <c r="U430" s="17">
        <f t="shared" si="243"/>
        <v>1.0000342336561197</v>
      </c>
      <c r="V430" s="17">
        <f t="shared" si="244"/>
        <v>8.2743796781204696E-3</v>
      </c>
      <c r="W430" s="31" t="str">
        <f t="shared" si="235"/>
        <v>1-13.4182192206767i</v>
      </c>
      <c r="X430" s="17">
        <f t="shared" si="245"/>
        <v>13.455430392749896</v>
      </c>
      <c r="Y430" s="17">
        <f t="shared" si="246"/>
        <v>-1.4964083043004996</v>
      </c>
      <c r="Z430" s="31" t="str">
        <f t="shared" si="236"/>
        <v>-5.95120331499752+81.6964473274717i</v>
      </c>
      <c r="AA430" s="17">
        <f t="shared" si="247"/>
        <v>81.91291916924213</v>
      </c>
      <c r="AB430" s="17">
        <f t="shared" si="248"/>
        <v>1.6435131992026162</v>
      </c>
      <c r="AC430" s="66" t="str">
        <f t="shared" si="249"/>
        <v>-0.00221728508084451+0.217290584506131i</v>
      </c>
      <c r="AD430" s="64">
        <f t="shared" si="250"/>
        <v>-13.258729644655972</v>
      </c>
      <c r="AE430" s="61">
        <f t="shared" si="251"/>
        <v>90.584639542603824</v>
      </c>
      <c r="AF430" s="31" t="str">
        <f t="shared" si="237"/>
        <v>-1.39902068552014E-06</v>
      </c>
      <c r="AG430" s="31" t="str">
        <f t="shared" si="238"/>
        <v>0.0273897329129221i</v>
      </c>
      <c r="AH430" s="31">
        <f t="shared" si="252"/>
        <v>2.7389732912922099E-2</v>
      </c>
      <c r="AI430" s="31">
        <f t="shared" si="253"/>
        <v>1.5707963267948966</v>
      </c>
      <c r="AJ430" s="31" t="str">
        <f t="shared" si="239"/>
        <v>1+1.97850638187041i</v>
      </c>
      <c r="AK430" s="31">
        <f t="shared" si="254"/>
        <v>2.2168643402567381</v>
      </c>
      <c r="AL430" s="31">
        <f t="shared" si="255"/>
        <v>1.1028127427914773</v>
      </c>
      <c r="AM430" s="31" t="str">
        <f t="shared" si="240"/>
        <v>1+962.136015230746i</v>
      </c>
      <c r="AN430" s="31">
        <f t="shared" si="256"/>
        <v>962.13653490764943</v>
      </c>
      <c r="AO430" s="31">
        <f t="shared" si="257"/>
        <v>1.5697569730818202</v>
      </c>
      <c r="AP430" s="58" t="str">
        <f t="shared" si="258"/>
        <v>-0.00997931166103318+0.0197952100967418i</v>
      </c>
      <c r="AQ430" s="49">
        <f t="shared" si="259"/>
        <v>-33.085321453144225</v>
      </c>
      <c r="AR430" s="61">
        <f t="shared" si="260"/>
        <v>116.75393366362138</v>
      </c>
      <c r="AS430" s="58" t="str">
        <f t="shared" si="261"/>
        <v>-0.00427918579347958-0.00221230208781444i</v>
      </c>
      <c r="AT430" s="64">
        <f t="shared" si="262"/>
        <v>-46.344051097800197</v>
      </c>
      <c r="AU430" s="61">
        <f t="shared" si="263"/>
        <v>-152.66142679377475</v>
      </c>
    </row>
    <row r="431" spans="14:47" x14ac:dyDescent="0.4">
      <c r="N431" s="10">
        <v>13</v>
      </c>
      <c r="O431" s="50">
        <f t="shared" si="264"/>
        <v>134896.28825916545</v>
      </c>
      <c r="P431" s="48" t="str">
        <f t="shared" si="232"/>
        <v>5120.19230769231</v>
      </c>
      <c r="Q431" s="17" t="str">
        <f t="shared" si="233"/>
        <v>1+3960.79895117464i</v>
      </c>
      <c r="R431" s="17">
        <f t="shared" si="241"/>
        <v>3960.7990774117957</v>
      </c>
      <c r="S431" s="17">
        <f t="shared" si="242"/>
        <v>1.5705438524857789</v>
      </c>
      <c r="T431" s="17" t="str">
        <f t="shared" si="234"/>
        <v>1+0.00846730798006668i</v>
      </c>
      <c r="U431" s="17">
        <f t="shared" si="243"/>
        <v>1.0000358470097106</v>
      </c>
      <c r="V431" s="17">
        <f t="shared" si="244"/>
        <v>8.4671056333632169E-3</v>
      </c>
      <c r="W431" s="31" t="str">
        <f t="shared" si="235"/>
        <v>1-13.7307696974054i</v>
      </c>
      <c r="X431" s="17">
        <f t="shared" si="245"/>
        <v>13.767136103169257</v>
      </c>
      <c r="Y431" s="17">
        <f t="shared" si="246"/>
        <v>-1.4980955532713331</v>
      </c>
      <c r="Z431" s="31" t="str">
        <f t="shared" si="236"/>
        <v>-6.27880343443995+83.5994020444355i</v>
      </c>
      <c r="AA431" s="17">
        <f t="shared" si="247"/>
        <v>83.834857874010254</v>
      </c>
      <c r="AB431" s="17">
        <f t="shared" si="248"/>
        <v>1.6457614230866706</v>
      </c>
      <c r="AC431" s="66" t="str">
        <f t="shared" si="249"/>
        <v>-0.00137040373889298+0.212289714689691i</v>
      </c>
      <c r="AD431" s="64">
        <f t="shared" si="250"/>
        <v>-13.461239959401954</v>
      </c>
      <c r="AE431" s="61">
        <f t="shared" si="251"/>
        <v>90.369858991757241</v>
      </c>
      <c r="AF431" s="31" t="str">
        <f t="shared" si="237"/>
        <v>-1.39902068552014E-06</v>
      </c>
      <c r="AG431" s="31" t="str">
        <f t="shared" si="238"/>
        <v>0.0280277217502347i</v>
      </c>
      <c r="AH431" s="31">
        <f t="shared" si="252"/>
        <v>2.8027721750234699E-2</v>
      </c>
      <c r="AI431" s="31">
        <f t="shared" si="253"/>
        <v>1.5707963267948966</v>
      </c>
      <c r="AJ431" s="31" t="str">
        <f t="shared" si="239"/>
        <v>1+2.02459171575074i</v>
      </c>
      <c r="AK431" s="31">
        <f t="shared" si="254"/>
        <v>2.2580902584897986</v>
      </c>
      <c r="AL431" s="31">
        <f t="shared" si="255"/>
        <v>1.112019113500518</v>
      </c>
      <c r="AM431" s="31" t="str">
        <f t="shared" si="240"/>
        <v>1+984.547042006551i</v>
      </c>
      <c r="AN431" s="31">
        <f t="shared" si="256"/>
        <v>984.54754985417003</v>
      </c>
      <c r="AO431" s="31">
        <f t="shared" si="257"/>
        <v>1.5697806316442788</v>
      </c>
      <c r="AP431" s="58" t="str">
        <f t="shared" si="258"/>
        <v>-0.00961825366878955+0.0195229523027344i</v>
      </c>
      <c r="AQ431" s="49">
        <f t="shared" si="259"/>
        <v>-33.245365257597015</v>
      </c>
      <c r="AR431" s="61">
        <f t="shared" si="260"/>
        <v>116.22780301313868</v>
      </c>
      <c r="AS431" s="58" t="str">
        <f t="shared" si="261"/>
        <v>-0.0041313410834586-0.0020686106539903i</v>
      </c>
      <c r="AT431" s="64">
        <f t="shared" si="262"/>
        <v>-46.706605216998973</v>
      </c>
      <c r="AU431" s="61">
        <f t="shared" si="263"/>
        <v>-153.40233799510409</v>
      </c>
    </row>
    <row r="432" spans="14:47" x14ac:dyDescent="0.4">
      <c r="N432" s="10">
        <v>14</v>
      </c>
      <c r="O432" s="50">
        <f t="shared" si="264"/>
        <v>138038.42646028858</v>
      </c>
      <c r="P432" s="48" t="str">
        <f t="shared" si="232"/>
        <v>5120.19230769231</v>
      </c>
      <c r="Q432" s="17" t="str">
        <f t="shared" si="233"/>
        <v>1+4053.05781056997i</v>
      </c>
      <c r="R432" s="17">
        <f t="shared" si="241"/>
        <v>4053.0579339336173</v>
      </c>
      <c r="S432" s="17">
        <f t="shared" si="242"/>
        <v>1.5705495995024557</v>
      </c>
      <c r="T432" s="17" t="str">
        <f t="shared" si="234"/>
        <v>1+0.00866453691948514i</v>
      </c>
      <c r="U432" s="17">
        <f t="shared" si="243"/>
        <v>1.0000375363955241</v>
      </c>
      <c r="V432" s="17">
        <f t="shared" si="244"/>
        <v>8.6643201015255654E-3</v>
      </c>
      <c r="W432" s="31" t="str">
        <f t="shared" si="235"/>
        <v>1-14.0506004099759i</v>
      </c>
      <c r="X432" s="17">
        <f t="shared" si="245"/>
        <v>14.086141128102293</v>
      </c>
      <c r="Y432" s="17">
        <f t="shared" si="246"/>
        <v>-1.4997447965445179</v>
      </c>
      <c r="Z432" s="31" t="str">
        <f t="shared" si="236"/>
        <v>-6.62184287185301+85.5466822709323i</v>
      </c>
      <c r="AA432" s="17">
        <f t="shared" si="247"/>
        <v>85.802585337408999</v>
      </c>
      <c r="AB432" s="17">
        <f t="shared" si="248"/>
        <v>1.6480484730325662</v>
      </c>
      <c r="AC432" s="66" t="str">
        <f t="shared" si="249"/>
        <v>-0.000562146244225542+0.207400514268472i</v>
      </c>
      <c r="AD432" s="64">
        <f t="shared" si="250"/>
        <v>-13.663771516242404</v>
      </c>
      <c r="AE432" s="61">
        <f t="shared" si="251"/>
        <v>90.155296280262206</v>
      </c>
      <c r="AF432" s="31" t="str">
        <f t="shared" si="237"/>
        <v>-1.39902068552014E-06</v>
      </c>
      <c r="AG432" s="31" t="str">
        <f t="shared" si="238"/>
        <v>0.0286805712566101i</v>
      </c>
      <c r="AH432" s="31">
        <f t="shared" si="252"/>
        <v>2.86805712566101E-2</v>
      </c>
      <c r="AI432" s="31">
        <f t="shared" si="253"/>
        <v>1.5707963267948966</v>
      </c>
      <c r="AJ432" s="31" t="str">
        <f t="shared" si="239"/>
        <v>1+2.0717505149574i</v>
      </c>
      <c r="AK432" s="31">
        <f t="shared" si="254"/>
        <v>2.3004673864730734</v>
      </c>
      <c r="AL432" s="31">
        <f t="shared" si="255"/>
        <v>1.121097555556295</v>
      </c>
      <c r="AM432" s="31" t="str">
        <f t="shared" si="240"/>
        <v>1+1007.48008865605i</v>
      </c>
      <c r="AN432" s="31">
        <f t="shared" si="256"/>
        <v>1007.4805849436516</v>
      </c>
      <c r="AO432" s="31">
        <f t="shared" si="257"/>
        <v>1.5698037516732064</v>
      </c>
      <c r="AP432" s="58" t="str">
        <f t="shared" si="258"/>
        <v>-0.0092671599688684+0.0192480228247241i</v>
      </c>
      <c r="AQ432" s="49">
        <f t="shared" si="259"/>
        <v>-33.406861129216423</v>
      </c>
      <c r="AR432" s="61">
        <f t="shared" si="260"/>
        <v>115.70897127886838</v>
      </c>
      <c r="AS432" s="58" t="str">
        <f t="shared" si="261"/>
        <v>-0.00398684033332793-0.00193283394709119i</v>
      </c>
      <c r="AT432" s="64">
        <f t="shared" si="262"/>
        <v>-47.070632645458829</v>
      </c>
      <c r="AU432" s="61">
        <f t="shared" si="263"/>
        <v>-154.13573244086942</v>
      </c>
    </row>
    <row r="433" spans="14:47" x14ac:dyDescent="0.4">
      <c r="N433" s="10">
        <v>15</v>
      </c>
      <c r="O433" s="50">
        <f t="shared" si="264"/>
        <v>141253.75446227577</v>
      </c>
      <c r="P433" s="48" t="str">
        <f t="shared" si="232"/>
        <v>5120.19230769231</v>
      </c>
      <c r="Q433" s="17" t="str">
        <f t="shared" si="233"/>
        <v>1+4147.46565486504i</v>
      </c>
      <c r="R433" s="17">
        <f t="shared" si="241"/>
        <v>4147.4657754205882</v>
      </c>
      <c r="S433" s="17">
        <f t="shared" si="242"/>
        <v>1.5705552157010776</v>
      </c>
      <c r="T433" s="17" t="str">
        <f t="shared" si="234"/>
        <v>1+0.00886635991106704i</v>
      </c>
      <c r="U433" s="17">
        <f t="shared" si="243"/>
        <v>1.000039305396579</v>
      </c>
      <c r="V433" s="17">
        <f t="shared" si="244"/>
        <v>8.8661275869308005E-3</v>
      </c>
      <c r="W433" s="31" t="str">
        <f t="shared" si="235"/>
        <v>1-14.3778809368654i</v>
      </c>
      <c r="X433" s="17">
        <f t="shared" si="245"/>
        <v>14.412614621735971</v>
      </c>
      <c r="Y433" s="17">
        <f t="shared" si="246"/>
        <v>-1.5013568726629598</v>
      </c>
      <c r="Z433" s="31" t="str">
        <f t="shared" si="236"/>
        <v>-6.98104925987557+87.5393204807134i</v>
      </c>
      <c r="AA433" s="17">
        <f t="shared" si="247"/>
        <v>87.81724021508451</v>
      </c>
      <c r="AB433" s="17">
        <f t="shared" si="248"/>
        <v>1.6503754960621242</v>
      </c>
      <c r="AC433" s="66" t="str">
        <f t="shared" si="249"/>
        <v>0.000209200925002453+0.202620456617406i</v>
      </c>
      <c r="AD433" s="64">
        <f t="shared" si="250"/>
        <v>-13.866329575808123</v>
      </c>
      <c r="AE433" s="61">
        <f t="shared" si="251"/>
        <v>89.940843456708166</v>
      </c>
      <c r="AF433" s="31" t="str">
        <f t="shared" si="237"/>
        <v>-1.39902068552014E-06</v>
      </c>
      <c r="AG433" s="31" t="str">
        <f t="shared" si="238"/>
        <v>0.0293486275814979i</v>
      </c>
      <c r="AH433" s="31">
        <f t="shared" si="252"/>
        <v>2.9348627581497901E-2</v>
      </c>
      <c r="AI433" s="31">
        <f t="shared" si="253"/>
        <v>1.5707963267948966</v>
      </c>
      <c r="AJ433" s="31" t="str">
        <f t="shared" si="239"/>
        <v>1+2.12000778370996i</v>
      </c>
      <c r="AK433" s="31">
        <f t="shared" si="254"/>
        <v>2.3440206916729243</v>
      </c>
      <c r="AL433" s="31">
        <f t="shared" si="255"/>
        <v>1.1300468956736325</v>
      </c>
      <c r="AM433" s="31" t="str">
        <f t="shared" si="240"/>
        <v>1+1030.94731458413i</v>
      </c>
      <c r="AN433" s="31">
        <f t="shared" si="256"/>
        <v>1030.9477995748521</v>
      </c>
      <c r="AO433" s="31">
        <f t="shared" si="257"/>
        <v>1.5698263454270494</v>
      </c>
      <c r="AP433" s="58" t="str">
        <f t="shared" si="258"/>
        <v>-0.00892598061001219+0.0189708174030896i</v>
      </c>
      <c r="AQ433" s="49">
        <f t="shared" si="259"/>
        <v>-33.569768529326616</v>
      </c>
      <c r="AR433" s="61">
        <f t="shared" si="260"/>
        <v>115.19750638745636</v>
      </c>
      <c r="AS433" s="58" t="str">
        <f t="shared" si="261"/>
        <v>-0.00384574300801962-0.00180461755441i</v>
      </c>
      <c r="AT433" s="64">
        <f t="shared" si="262"/>
        <v>-47.436098105134732</v>
      </c>
      <c r="AU433" s="61">
        <f t="shared" si="263"/>
        <v>-154.86165015583555</v>
      </c>
    </row>
    <row r="434" spans="14:47" x14ac:dyDescent="0.4">
      <c r="N434" s="10">
        <v>16</v>
      </c>
      <c r="O434" s="50">
        <f t="shared" si="264"/>
        <v>144543.97707459307</v>
      </c>
      <c r="P434" s="48" t="str">
        <f t="shared" si="232"/>
        <v>5120.19230769231</v>
      </c>
      <c r="Q434" s="17" t="str">
        <f t="shared" si="233"/>
        <v>1+4244.0725403485i</v>
      </c>
      <c r="R434" s="17">
        <f t="shared" si="241"/>
        <v>4244.0726581598683</v>
      </c>
      <c r="S434" s="17">
        <f t="shared" si="242"/>
        <v>1.5705607040594256</v>
      </c>
      <c r="T434" s="17" t="str">
        <f t="shared" si="234"/>
        <v>1+0.00907288396403391i</v>
      </c>
      <c r="U434" s="17">
        <f t="shared" si="243"/>
        <v>1.0000411577647317</v>
      </c>
      <c r="V434" s="17">
        <f t="shared" si="244"/>
        <v>9.072635024790195E-3</v>
      </c>
      <c r="W434" s="31" t="str">
        <f t="shared" si="235"/>
        <v>1-14.7127848065415i</v>
      </c>
      <c r="X434" s="17">
        <f t="shared" si="245"/>
        <v>14.746729697244687</v>
      </c>
      <c r="Y434" s="17">
        <f t="shared" si="246"/>
        <v>-1.5029326028363668</v>
      </c>
      <c r="Z434" s="31" t="str">
        <f t="shared" si="236"/>
        <v>-7.35718452341621+89.5783731969331i</v>
      </c>
      <c r="AA434" s="17">
        <f t="shared" si="247"/>
        <v>89.879992816647572</v>
      </c>
      <c r="AB434" s="17">
        <f t="shared" si="248"/>
        <v>1.6527436557984856</v>
      </c>
      <c r="AC434" s="66" t="str">
        <f t="shared" si="249"/>
        <v>0.000945273184009663+0.197947069041381i</v>
      </c>
      <c r="AD434" s="64">
        <f t="shared" si="250"/>
        <v>-14.068919450699857</v>
      </c>
      <c r="AE434" s="61">
        <f t="shared" si="251"/>
        <v>89.72639275487181</v>
      </c>
      <c r="AF434" s="31" t="str">
        <f t="shared" si="237"/>
        <v>-1.39902068552014E-06</v>
      </c>
      <c r="AG434" s="31" t="str">
        <f t="shared" si="238"/>
        <v>0.0300322449372045i</v>
      </c>
      <c r="AH434" s="31">
        <f t="shared" si="252"/>
        <v>3.0032244937204501E-2</v>
      </c>
      <c r="AI434" s="31">
        <f t="shared" si="253"/>
        <v>1.5707963267948966</v>
      </c>
      <c r="AJ434" s="31" t="str">
        <f t="shared" si="239"/>
        <v>1+2.16938910865105i</v>
      </c>
      <c r="AK434" s="31">
        <f t="shared" si="254"/>
        <v>2.3887756497280774</v>
      </c>
      <c r="AL434" s="31">
        <f t="shared" si="255"/>
        <v>1.1388661438437082</v>
      </c>
      <c r="AM434" s="31" t="str">
        <f t="shared" si="240"/>
        <v>1+1054.9611624246i</v>
      </c>
      <c r="AN434" s="31">
        <f t="shared" si="256"/>
        <v>1054.9616363755904</v>
      </c>
      <c r="AO434" s="31">
        <f t="shared" si="257"/>
        <v>1.5698484248852229</v>
      </c>
      <c r="AP434" s="58" t="str">
        <f t="shared" si="258"/>
        <v>-0.00859464799863392+0.0186917197138888i</v>
      </c>
      <c r="AQ434" s="49">
        <f t="shared" si="259"/>
        <v>-33.734047159320411</v>
      </c>
      <c r="AR434" s="61">
        <f t="shared" si="260"/>
        <v>114.69346574859981</v>
      </c>
      <c r="AS434" s="58" t="str">
        <f t="shared" si="261"/>
        <v>-0.0037080954229864-0.00168361659936339i</v>
      </c>
      <c r="AT434" s="64">
        <f t="shared" si="262"/>
        <v>-47.80296661002027</v>
      </c>
      <c r="AU434" s="61">
        <f t="shared" si="263"/>
        <v>-155.58014149652846</v>
      </c>
    </row>
    <row r="435" spans="14:47" x14ac:dyDescent="0.4">
      <c r="N435" s="10">
        <v>17</v>
      </c>
      <c r="O435" s="50">
        <f t="shared" si="264"/>
        <v>147910.83881682079</v>
      </c>
      <c r="P435" s="48" t="str">
        <f t="shared" si="232"/>
        <v>5120.19230769231</v>
      </c>
      <c r="Q435" s="17" t="str">
        <f t="shared" si="233"/>
        <v>1+4342.92968926979i</v>
      </c>
      <c r="R435" s="17">
        <f t="shared" si="241"/>
        <v>4342.929804399444</v>
      </c>
      <c r="S435" s="17">
        <f t="shared" si="242"/>
        <v>1.5705660674874993</v>
      </c>
      <c r="T435" s="17" t="str">
        <f t="shared" si="234"/>
        <v>1+0.0092842185801723i</v>
      </c>
      <c r="U435" s="17">
        <f t="shared" si="243"/>
        <v>1.0000430974286281</v>
      </c>
      <c r="V435" s="17">
        <f t="shared" si="244"/>
        <v>9.2839518375876801E-3</v>
      </c>
      <c r="W435" s="31" t="str">
        <f t="shared" si="235"/>
        <v>1-15.0554895894686i</v>
      </c>
      <c r="X435" s="17">
        <f t="shared" si="245"/>
        <v>15.088663518635352</v>
      </c>
      <c r="Y435" s="17">
        <f t="shared" si="246"/>
        <v>-1.5044727912207738</v>
      </c>
      <c r="Z435" s="31" t="str">
        <f t="shared" si="236"/>
        <v>-7.75104649579822+91.6649215523315i</v>
      </c>
      <c r="AA435" s="17">
        <f t="shared" si="247"/>
        <v>91.992046204957944</v>
      </c>
      <c r="AB435" s="17">
        <f t="shared" si="248"/>
        <v>1.6551541327623089</v>
      </c>
      <c r="AC435" s="66" t="str">
        <f t="shared" si="249"/>
        <v>0.00164763130404055+0.193377931757444i</v>
      </c>
      <c r="AD435" s="64">
        <f t="shared" si="250"/>
        <v>-14.271546515818299</v>
      </c>
      <c r="AE435" s="61">
        <f t="shared" si="251"/>
        <v>89.511836563870759</v>
      </c>
      <c r="AF435" s="31" t="str">
        <f t="shared" si="237"/>
        <v>-1.39902068552014E-06</v>
      </c>
      <c r="AG435" s="31" t="str">
        <f t="shared" si="238"/>
        <v>0.0307317857867005i</v>
      </c>
      <c r="AH435" s="31">
        <f t="shared" si="252"/>
        <v>3.0731785786700501E-2</v>
      </c>
      <c r="AI435" s="31">
        <f t="shared" si="253"/>
        <v>1.5707963267948966</v>
      </c>
      <c r="AJ435" s="31" t="str">
        <f t="shared" si="239"/>
        <v>1+2.21992067241281i</v>
      </c>
      <c r="AK435" s="31">
        <f t="shared" si="254"/>
        <v>2.4347582614719152</v>
      </c>
      <c r="AL435" s="31">
        <f t="shared" si="255"/>
        <v>1.1475544875029668</v>
      </c>
      <c r="AM435" s="31" t="str">
        <f t="shared" si="240"/>
        <v>1+1079.53436463745i</v>
      </c>
      <c r="AN435" s="31">
        <f t="shared" si="256"/>
        <v>1079.5348278000033</v>
      </c>
      <c r="AO435" s="31">
        <f t="shared" si="257"/>
        <v>1.5698700017544613</v>
      </c>
      <c r="AP435" s="58" t="str">
        <f t="shared" si="258"/>
        <v>-0.00827307811443401+0.0184111007034525i</v>
      </c>
      <c r="AQ435" s="49">
        <f t="shared" si="259"/>
        <v>-33.899657030129831</v>
      </c>
      <c r="AR435" s="61">
        <f t="shared" si="260"/>
        <v>114.1968965895076</v>
      </c>
      <c r="AS435" s="58" t="str">
        <f t="shared" si="261"/>
        <v>-0.00357393155789378-0.00156949602917617i</v>
      </c>
      <c r="AT435" s="64">
        <f t="shared" si="262"/>
        <v>-48.171203545948131</v>
      </c>
      <c r="AU435" s="61">
        <f t="shared" si="263"/>
        <v>-156.29126684662165</v>
      </c>
    </row>
    <row r="436" spans="14:47" x14ac:dyDescent="0.4">
      <c r="N436" s="10">
        <v>18</v>
      </c>
      <c r="O436" s="50">
        <f t="shared" si="264"/>
        <v>151356.12484362084</v>
      </c>
      <c r="P436" s="48" t="str">
        <f t="shared" si="232"/>
        <v>5120.19230769231</v>
      </c>
      <c r="Q436" s="17" t="str">
        <f t="shared" si="233"/>
        <v>1+4444.08951699781i</v>
      </c>
      <c r="R436" s="17">
        <f t="shared" si="241"/>
        <v>4444.0896295067942</v>
      </c>
      <c r="S436" s="17">
        <f t="shared" si="242"/>
        <v>1.5705713088290574</v>
      </c>
      <c r="T436" s="17" t="str">
        <f t="shared" si="234"/>
        <v>1+0.0095004758118931i</v>
      </c>
      <c r="U436" s="17">
        <f t="shared" si="243"/>
        <v>1.0000451285020353</v>
      </c>
      <c r="V436" s="17">
        <f t="shared" si="244"/>
        <v>9.5001899927607547E-3</v>
      </c>
      <c r="W436" s="31" t="str">
        <f t="shared" si="235"/>
        <v>1-15.4061769922591i</v>
      </c>
      <c r="X436" s="17">
        <f t="shared" si="245"/>
        <v>15.438597394738087</v>
      </c>
      <c r="Y436" s="17">
        <f t="shared" si="246"/>
        <v>-1.5059782251991696</v>
      </c>
      <c r="Z436" s="31" t="str">
        <f t="shared" si="236"/>
        <v>-8.16347061107111+93.800071862466i</v>
      </c>
      <c r="AA436" s="17">
        <f t="shared" si="247"/>
        <v>94.154637346344273</v>
      </c>
      <c r="AB436" s="17">
        <f t="shared" si="248"/>
        <v>1.6576081246551848</v>
      </c>
      <c r="AC436" s="66" t="str">
        <f t="shared" si="249"/>
        <v>0.00231776471817442+0.18891067688758i</v>
      </c>
      <c r="AD436" s="64">
        <f t="shared" si="250"/>
        <v>-14.474216218783093</v>
      </c>
      <c r="AE436" s="61">
        <f t="shared" si="251"/>
        <v>89.297067399062826</v>
      </c>
      <c r="AF436" s="31" t="str">
        <f t="shared" si="237"/>
        <v>-1.39902068552014E-06</v>
      </c>
      <c r="AG436" s="31" t="str">
        <f t="shared" si="238"/>
        <v>0.0314476210358039i</v>
      </c>
      <c r="AH436" s="31">
        <f t="shared" si="252"/>
        <v>3.1447621035803897E-2</v>
      </c>
      <c r="AI436" s="31">
        <f t="shared" si="253"/>
        <v>1.5707963267948966</v>
      </c>
      <c r="AJ436" s="31" t="str">
        <f t="shared" si="239"/>
        <v>1+2.27162926749921i</v>
      </c>
      <c r="AK436" s="31">
        <f t="shared" si="254"/>
        <v>2.4819950702930487</v>
      </c>
      <c r="AL436" s="31">
        <f t="shared" si="255"/>
        <v>1.1561112854153257</v>
      </c>
      <c r="AM436" s="31" t="str">
        <f t="shared" si="240"/>
        <v>1+1104.67995025976i</v>
      </c>
      <c r="AN436" s="31">
        <f t="shared" si="256"/>
        <v>1104.6804028794509</v>
      </c>
      <c r="AO436" s="31">
        <f t="shared" si="257"/>
        <v>1.5698910874750265</v>
      </c>
      <c r="AP436" s="58" t="str">
        <f t="shared" si="258"/>
        <v>-0.00796117172828357+0.0181293180312632i</v>
      </c>
      <c r="AQ436" s="49">
        <f t="shared" si="259"/>
        <v>-34.066558526731598</v>
      </c>
      <c r="AR436" s="61">
        <f t="shared" si="260"/>
        <v>113.70783630577948</v>
      </c>
      <c r="AS436" s="58" t="str">
        <f t="shared" si="261"/>
        <v>-0.00344327386374328-0.00146193084631089i</v>
      </c>
      <c r="AT436" s="64">
        <f t="shared" si="262"/>
        <v>-48.540774745514696</v>
      </c>
      <c r="AU436" s="61">
        <f t="shared" si="263"/>
        <v>-156.99509629515768</v>
      </c>
    </row>
    <row r="437" spans="14:47" x14ac:dyDescent="0.4">
      <c r="N437" s="10">
        <v>19</v>
      </c>
      <c r="O437" s="50">
        <f t="shared" si="264"/>
        <v>154881.66189124843</v>
      </c>
      <c r="P437" s="48" t="str">
        <f t="shared" si="232"/>
        <v>5120.19230769231</v>
      </c>
      <c r="Q437" s="17" t="str">
        <f t="shared" si="233"/>
        <v>1+4547.60565981223i</v>
      </c>
      <c r="R437" s="17">
        <f t="shared" si="241"/>
        <v>4547.6057697601973</v>
      </c>
      <c r="S437" s="17">
        <f t="shared" si="242"/>
        <v>1.5705764308631278</v>
      </c>
      <c r="T437" s="17" t="str">
        <f t="shared" si="234"/>
        <v>1+0.00972177032164303i</v>
      </c>
      <c r="U437" s="17">
        <f t="shared" si="243"/>
        <v>1.0000472552925621</v>
      </c>
      <c r="V437" s="17">
        <f t="shared" si="244"/>
        <v>9.721464061706514E-3</v>
      </c>
      <c r="W437" s="31" t="str">
        <f t="shared" si="235"/>
        <v>1-15.7650329540157i</v>
      </c>
      <c r="X437" s="17">
        <f t="shared" si="245"/>
        <v>15.796716875389045</v>
      </c>
      <c r="Y437" s="17">
        <f t="shared" si="246"/>
        <v>-1.5074496756627049</v>
      </c>
      <c r="Z437" s="31" t="str">
        <f t="shared" si="236"/>
        <v>-8.59533167607802+95.9849562122928i</v>
      </c>
      <c r="AA437" s="17">
        <f t="shared" si="247"/>
        <v>96.369038314686705</v>
      </c>
      <c r="AB437" s="17">
        <f t="shared" si="248"/>
        <v>1.6601068466289901</v>
      </c>
      <c r="AC437" s="66" t="str">
        <f t="shared" si="249"/>
        <v>0.00295709467725502+0.184542987462781i</v>
      </c>
      <c r="AD437" s="64">
        <f t="shared" si="250"/>
        <v>-14.676934090457266</v>
      </c>
      <c r="AE437" s="61">
        <f t="shared" si="251"/>
        <v>89.081977873795552</v>
      </c>
      <c r="AF437" s="31" t="str">
        <f t="shared" si="237"/>
        <v>-1.39902068552014E-06</v>
      </c>
      <c r="AG437" s="31" t="str">
        <f t="shared" si="238"/>
        <v>0.032180130229839i</v>
      </c>
      <c r="AH437" s="31">
        <f t="shared" si="252"/>
        <v>3.2180130229839003E-2</v>
      </c>
      <c r="AI437" s="31">
        <f t="shared" si="253"/>
        <v>1.5707963267948966</v>
      </c>
      <c r="AJ437" s="31" t="str">
        <f t="shared" si="239"/>
        <v>1+2.32454231049181i</v>
      </c>
      <c r="AK437" s="31">
        <f t="shared" si="254"/>
        <v>2.5305131798247174</v>
      </c>
      <c r="AL437" s="31">
        <f t="shared" si="255"/>
        <v>1.1645360613175284</v>
      </c>
      <c r="AM437" s="31" t="str">
        <f t="shared" si="240"/>
        <v>1+1130.41125181387i</v>
      </c>
      <c r="AN437" s="31">
        <f t="shared" si="256"/>
        <v>1130.4116941306829</v>
      </c>
      <c r="AO437" s="31">
        <f t="shared" si="257"/>
        <v>1.5699116932267714</v>
      </c>
      <c r="AP437" s="58" t="str">
        <f t="shared" si="258"/>
        <v>-0.00765881561366073+0.0178467156166603i</v>
      </c>
      <c r="AQ437" s="49">
        <f t="shared" si="259"/>
        <v>-34.234712467696376</v>
      </c>
      <c r="AR437" s="61">
        <f t="shared" si="260"/>
        <v>113.22631282584835</v>
      </c>
      <c r="AS437" s="58" t="str">
        <f t="shared" si="261"/>
        <v>-0.00331613405918239-0.00136060628601503i</v>
      </c>
      <c r="AT437" s="64">
        <f t="shared" si="262"/>
        <v>-48.911646558153649</v>
      </c>
      <c r="AU437" s="61">
        <f t="shared" si="263"/>
        <v>-157.69170930035611</v>
      </c>
    </row>
    <row r="438" spans="14:47" x14ac:dyDescent="0.4">
      <c r="N438" s="10">
        <v>20</v>
      </c>
      <c r="O438" s="50">
        <f t="shared" si="264"/>
        <v>158489.31924611164</v>
      </c>
      <c r="P438" s="48" t="str">
        <f t="shared" si="232"/>
        <v>5120.19230769231</v>
      </c>
      <c r="Q438" s="17" t="str">
        <f t="shared" si="233"/>
        <v>1+4653.53300334214i</v>
      </c>
      <c r="R438" s="17">
        <f t="shared" si="241"/>
        <v>4653.5331107873844</v>
      </c>
      <c r="S438" s="17">
        <f t="shared" si="242"/>
        <v>1.5705814363054793</v>
      </c>
      <c r="T438" s="17" t="str">
        <f t="shared" si="234"/>
        <v>1+0.00994821944270032i</v>
      </c>
      <c r="U438" s="17">
        <f t="shared" si="243"/>
        <v>1.0000494823107906</v>
      </c>
      <c r="V438" s="17">
        <f t="shared" si="244"/>
        <v>9.9478912801428867E-3</v>
      </c>
      <c r="W438" s="31" t="str">
        <f t="shared" si="235"/>
        <v>1-16.1322477449194i</v>
      </c>
      <c r="X438" s="17">
        <f t="shared" si="245"/>
        <v>16.163211849860073</v>
      </c>
      <c r="Y438" s="17">
        <f t="shared" si="246"/>
        <v>-1.508887897292045</v>
      </c>
      <c r="Z438" s="31" t="str">
        <f t="shared" si="236"/>
        <v>-9.0475457260384+98.2207330564141i</v>
      </c>
      <c r="AA438" s="17">
        <f t="shared" si="247"/>
        <v>98.636557552482103</v>
      </c>
      <c r="AB438" s="17">
        <f t="shared" si="248"/>
        <v>1.6626515315398025</v>
      </c>
      <c r="AC438" s="66" t="str">
        <f t="shared" si="249"/>
        <v>0.00356697726260548+0.180272596439119i</v>
      </c>
      <c r="AD438" s="64">
        <f t="shared" si="250"/>
        <v>-14.879705755589933</v>
      </c>
      <c r="AE438" s="61">
        <f t="shared" si="251"/>
        <v>88.8664606721117</v>
      </c>
      <c r="AF438" s="31" t="str">
        <f t="shared" si="237"/>
        <v>-1.39902068552014E-06</v>
      </c>
      <c r="AG438" s="31" t="str">
        <f t="shared" si="238"/>
        <v>0.0329297017548763i</v>
      </c>
      <c r="AH438" s="31">
        <f t="shared" si="252"/>
        <v>3.2929701754876299E-2</v>
      </c>
      <c r="AI438" s="31">
        <f t="shared" si="253"/>
        <v>1.5707963267948966</v>
      </c>
      <c r="AJ438" s="31" t="str">
        <f t="shared" si="239"/>
        <v>1+2.37868785658638i</v>
      </c>
      <c r="AK438" s="31">
        <f t="shared" si="254"/>
        <v>2.5803402719547481</v>
      </c>
      <c r="AL438" s="31">
        <f t="shared" si="255"/>
        <v>1.1728284973752083</v>
      </c>
      <c r="AM438" s="31" t="str">
        <f t="shared" si="240"/>
        <v>1+1156.74191237645i</v>
      </c>
      <c r="AN438" s="31">
        <f t="shared" si="256"/>
        <v>1156.742344624907</v>
      </c>
      <c r="AO438" s="31">
        <f t="shared" si="257"/>
        <v>1.569931829935068</v>
      </c>
      <c r="AP438" s="58" t="str">
        <f t="shared" si="258"/>
        <v>-0.00736588374375986+0.0175636232843506i</v>
      </c>
      <c r="AQ438" s="49">
        <f t="shared" si="259"/>
        <v>-34.404080159824538</v>
      </c>
      <c r="AR438" s="61">
        <f t="shared" si="260"/>
        <v>112.75234498626</v>
      </c>
      <c r="AS438" s="58" t="str">
        <f t="shared" si="261"/>
        <v>-0.00319251391218144-0.00126521794265204i</v>
      </c>
      <c r="AT438" s="64">
        <f t="shared" si="262"/>
        <v>-49.283785915414462</v>
      </c>
      <c r="AU438" s="61">
        <f t="shared" si="263"/>
        <v>-158.38119434162834</v>
      </c>
    </row>
    <row r="439" spans="14:47" x14ac:dyDescent="0.4">
      <c r="N439" s="10">
        <v>21</v>
      </c>
      <c r="O439" s="50">
        <f t="shared" si="264"/>
        <v>162181.00973589328</v>
      </c>
      <c r="P439" s="48" t="str">
        <f t="shared" si="232"/>
        <v>5120.19230769231</v>
      </c>
      <c r="Q439" s="17" t="str">
        <f t="shared" si="233"/>
        <v>1+4761.92771166721i</v>
      </c>
      <c r="R439" s="17">
        <f t="shared" si="241"/>
        <v>4761.9278166667027</v>
      </c>
      <c r="S439" s="17">
        <f t="shared" si="242"/>
        <v>1.5705863278100631</v>
      </c>
      <c r="T439" s="17" t="str">
        <f t="shared" si="234"/>
        <v>1+0.0101799432413863i</v>
      </c>
      <c r="U439" s="17">
        <f t="shared" si="243"/>
        <v>1.0000518142798391</v>
      </c>
      <c r="V439" s="17">
        <f t="shared" si="244"/>
        <v>1.0179591609854714E-2</v>
      </c>
      <c r="W439" s="31" t="str">
        <f t="shared" si="235"/>
        <v>1-16.508016067113i</v>
      </c>
      <c r="X439" s="17">
        <f t="shared" si="245"/>
        <v>16.538276647585171</v>
      </c>
      <c r="Y439" s="17">
        <f t="shared" si="246"/>
        <v>-1.5102936288384301</v>
      </c>
      <c r="Z439" s="31" t="str">
        <f t="shared" si="236"/>
        <v>-9.5210719675815+100.508587833307i</v>
      </c>
      <c r="AA439" s="17">
        <f t="shared" si="247"/>
        <v>100.95854119220155</v>
      </c>
      <c r="AB439" s="17">
        <f t="shared" si="248"/>
        <v>1.6652434301849082</v>
      </c>
      <c r="AC439" s="66" t="str">
        <f t="shared" si="249"/>
        <v>0.00414870626189328+0.17609728572643i</v>
      </c>
      <c r="AD439" s="64">
        <f t="shared" si="250"/>
        <v>-15.082536943592018</v>
      </c>
      <c r="AE439" s="61">
        <f t="shared" si="251"/>
        <v>88.65040852252136</v>
      </c>
      <c r="AF439" s="31" t="str">
        <f t="shared" si="237"/>
        <v>-1.39902068552014E-06</v>
      </c>
      <c r="AG439" s="31" t="str">
        <f t="shared" si="238"/>
        <v>0.0336967330436601i</v>
      </c>
      <c r="AH439" s="31">
        <f t="shared" si="252"/>
        <v>3.3696733043660103E-2</v>
      </c>
      <c r="AI439" s="31">
        <f t="shared" si="253"/>
        <v>1.5707963267948966</v>
      </c>
      <c r="AJ439" s="31" t="str">
        <f t="shared" si="239"/>
        <v>1+2.43409461446816i</v>
      </c>
      <c r="AK439" s="31">
        <f t="shared" si="254"/>
        <v>2.6315046251494412</v>
      </c>
      <c r="AL439" s="31">
        <f t="shared" si="255"/>
        <v>1.1809884274947917</v>
      </c>
      <c r="AM439" s="31" t="str">
        <f t="shared" si="240"/>
        <v>1+1183.68589281225i</v>
      </c>
      <c r="AN439" s="31">
        <f t="shared" si="256"/>
        <v>1183.6863152215342</v>
      </c>
      <c r="AO439" s="31">
        <f t="shared" si="257"/>
        <v>1.5699515082766002</v>
      </c>
      <c r="AP439" s="58" t="str">
        <f t="shared" si="258"/>
        <v>-0.0070822384672353+0.0172803565032567i</v>
      </c>
      <c r="AQ439" s="49">
        <f t="shared" si="259"/>
        <v>-34.574623447940887</v>
      </c>
      <c r="AR439" s="61">
        <f t="shared" si="260"/>
        <v>112.28594291520373</v>
      </c>
      <c r="AS439" s="58" t="str">
        <f t="shared" si="261"/>
        <v>-0.00307240600368581-0.00117547184771464i</v>
      </c>
      <c r="AT439" s="64">
        <f t="shared" si="262"/>
        <v>-49.657160391532912</v>
      </c>
      <c r="AU439" s="61">
        <f t="shared" si="263"/>
        <v>-159.06364856227489</v>
      </c>
    </row>
    <row r="440" spans="14:47" x14ac:dyDescent="0.4">
      <c r="N440" s="10">
        <v>22</v>
      </c>
      <c r="O440" s="50">
        <f t="shared" si="264"/>
        <v>165958.69074375604</v>
      </c>
      <c r="P440" s="48" t="str">
        <f t="shared" si="232"/>
        <v>5120.19230769231</v>
      </c>
      <c r="Q440" s="17" t="str">
        <f t="shared" si="233"/>
        <v>1+4872.8472570966i</v>
      </c>
      <c r="R440" s="17">
        <f t="shared" si="241"/>
        <v>4872.8473597060129</v>
      </c>
      <c r="S440" s="17">
        <f t="shared" si="242"/>
        <v>1.5705911079704187</v>
      </c>
      <c r="T440" s="17" t="str">
        <f t="shared" si="234"/>
        <v>1+0.0104170645807265i</v>
      </c>
      <c r="U440" s="17">
        <f t="shared" si="243"/>
        <v>1.0000542561453749</v>
      </c>
      <c r="V440" s="17">
        <f t="shared" si="244"/>
        <v>1.0416687801856091E-2</v>
      </c>
      <c r="W440" s="31" t="str">
        <f t="shared" si="235"/>
        <v>1-16.8925371579349i</v>
      </c>
      <c r="X440" s="17">
        <f t="shared" si="245"/>
        <v>16.92211014123863</v>
      </c>
      <c r="Y440" s="17">
        <f t="shared" si="246"/>
        <v>-1.5116675934040689</v>
      </c>
      <c r="Z440" s="31" t="str">
        <f t="shared" si="236"/>
        <v>-10.0169148133527+102.849733593858i</v>
      </c>
      <c r="AA440" s="17">
        <f t="shared" si="247"/>
        <v>103.33637444145951</v>
      </c>
      <c r="AB440" s="17">
        <f t="shared" si="248"/>
        <v>1.6678838115213224</v>
      </c>
      <c r="AC440" s="66" t="str">
        <f t="shared" si="249"/>
        <v>0.00470351591423666+0.172014885230189i</v>
      </c>
      <c r="AD440" s="64">
        <f t="shared" si="250"/>
        <v>-15.28543349945766</v>
      </c>
      <c r="AE440" s="61">
        <f t="shared" si="251"/>
        <v>88.433714172954637</v>
      </c>
      <c r="AF440" s="31" t="str">
        <f t="shared" si="237"/>
        <v>-1.39902068552014E-06</v>
      </c>
      <c r="AG440" s="31" t="str">
        <f t="shared" si="238"/>
        <v>0.0344816307863327i</v>
      </c>
      <c r="AH440" s="31">
        <f t="shared" si="252"/>
        <v>3.44816307863327E-2</v>
      </c>
      <c r="AI440" s="31">
        <f t="shared" si="253"/>
        <v>1.5707963267948966</v>
      </c>
      <c r="AJ440" s="31" t="str">
        <f t="shared" si="239"/>
        <v>1+2.4907919615336i</v>
      </c>
      <c r="AK440" s="31">
        <f t="shared" si="254"/>
        <v>2.6840351330860774</v>
      </c>
      <c r="AL440" s="31">
        <f t="shared" si="255"/>
        <v>1.1890158305337015</v>
      </c>
      <c r="AM440" s="31" t="str">
        <f t="shared" si="240"/>
        <v>1+1211.25747917637i</v>
      </c>
      <c r="AN440" s="31">
        <f t="shared" si="256"/>
        <v>1211.2578919704483</v>
      </c>
      <c r="AO440" s="31">
        <f t="shared" si="257"/>
        <v>1.5699707386850248</v>
      </c>
      <c r="AP440" s="58" t="str">
        <f t="shared" si="258"/>
        <v>-0.006807731656379+0.0169972162128934i</v>
      </c>
      <c r="AQ440" s="49">
        <f t="shared" si="259"/>
        <v>-34.746304759949417</v>
      </c>
      <c r="AR440" s="61">
        <f t="shared" si="260"/>
        <v>111.82710842186474</v>
      </c>
      <c r="AS440" s="58" t="str">
        <f t="shared" si="261"/>
        <v>-0.0029557944702792-0.00109108450259489i</v>
      </c>
      <c r="AT440" s="64">
        <f t="shared" si="262"/>
        <v>-50.031738259407071</v>
      </c>
      <c r="AU440" s="61">
        <f t="shared" si="263"/>
        <v>-159.7391774051807</v>
      </c>
    </row>
    <row r="441" spans="14:47" x14ac:dyDescent="0.4">
      <c r="N441" s="10">
        <v>23</v>
      </c>
      <c r="O441" s="50">
        <f t="shared" si="264"/>
        <v>169824.36524617471</v>
      </c>
      <c r="P441" s="48" t="str">
        <f t="shared" si="232"/>
        <v>5120.19230769231</v>
      </c>
      <c r="Q441" s="17" t="str">
        <f t="shared" si="233"/>
        <v>1+4986.35045064143i</v>
      </c>
      <c r="R441" s="17">
        <f t="shared" si="241"/>
        <v>4986.3505509151682</v>
      </c>
      <c r="S441" s="17">
        <f t="shared" si="242"/>
        <v>1.5705957793210492</v>
      </c>
      <c r="T441" s="17" t="str">
        <f t="shared" si="234"/>
        <v>1+0.0106597091855935i</v>
      </c>
      <c r="U441" s="17">
        <f t="shared" si="243"/>
        <v>1.0000568130860974</v>
      </c>
      <c r="V441" s="17">
        <f t="shared" si="244"/>
        <v>1.0659305460998768E-2</v>
      </c>
      <c r="W441" s="31" t="str">
        <f t="shared" si="235"/>
        <v>1-17.2860148955569i</v>
      </c>
      <c r="X441" s="17">
        <f t="shared" si="245"/>
        <v>17.314915852218714</v>
      </c>
      <c r="Y441" s="17">
        <f t="shared" si="246"/>
        <v>-1.5130104987215074</v>
      </c>
      <c r="Z441" s="31" t="str">
        <f t="shared" si="236"/>
        <v>-10.5361260125064+105.245411644537i</v>
      </c>
      <c r="AA441" s="17">
        <f t="shared" si="247"/>
        <v>105.77148303573821</v>
      </c>
      <c r="AB441" s="17">
        <f t="shared" si="248"/>
        <v>1.6705739628641207</v>
      </c>
      <c r="AC441" s="66" t="str">
        <f t="shared" si="249"/>
        <v>0.00523258353037041+0.168023271907062i</v>
      </c>
      <c r="AD441" s="64">
        <f t="shared" si="250"/>
        <v>-15.488401394845647</v>
      </c>
      <c r="AE441" s="61">
        <f t="shared" si="251"/>
        <v>88.216270367014403</v>
      </c>
      <c r="AF441" s="31" t="str">
        <f t="shared" si="237"/>
        <v>-1.39902068552014E-06</v>
      </c>
      <c r="AG441" s="31" t="str">
        <f t="shared" si="238"/>
        <v>0.0352848111460666i</v>
      </c>
      <c r="AH441" s="31">
        <f t="shared" si="252"/>
        <v>3.5284811146066603E-2</v>
      </c>
      <c r="AI441" s="31">
        <f t="shared" si="253"/>
        <v>1.5707963267948966</v>
      </c>
      <c r="AJ441" s="31" t="str">
        <f t="shared" si="239"/>
        <v>1+2.54880995946655i</v>
      </c>
      <c r="AK441" s="31">
        <f t="shared" si="254"/>
        <v>2.7379613235902145</v>
      </c>
      <c r="AL441" s="31">
        <f t="shared" si="255"/>
        <v>1.1969108234485257</v>
      </c>
      <c r="AM441" s="31" t="str">
        <f t="shared" si="240"/>
        <v>1+1239.47129028882i</v>
      </c>
      <c r="AN441" s="31">
        <f t="shared" si="256"/>
        <v>1239.4716936865611</v>
      </c>
      <c r="AO441" s="31">
        <f t="shared" si="257"/>
        <v>1.5699895313565013</v>
      </c>
      <c r="AP441" s="58" t="str">
        <f t="shared" si="258"/>
        <v>-0.00654220582235288+0.0167144887312295i</v>
      </c>
      <c r="AQ441" s="49">
        <f t="shared" si="259"/>
        <v>-34.919087147270844</v>
      </c>
      <c r="AR441" s="61">
        <f t="shared" si="260"/>
        <v>111.37583538932098</v>
      </c>
      <c r="AS441" s="58" t="str">
        <f t="shared" si="261"/>
        <v>-0.00284265572331324-0.00101178286930757i</v>
      </c>
      <c r="AT441" s="64">
        <f t="shared" si="262"/>
        <v>-50.407488542116482</v>
      </c>
      <c r="AU441" s="61">
        <f t="shared" si="263"/>
        <v>-160.40789424366463</v>
      </c>
    </row>
    <row r="442" spans="14:47" x14ac:dyDescent="0.4">
      <c r="N442" s="10">
        <v>24</v>
      </c>
      <c r="O442" s="50">
        <f t="shared" si="264"/>
        <v>173780.0828749378</v>
      </c>
      <c r="P442" s="48" t="str">
        <f t="shared" si="232"/>
        <v>5120.19230769231</v>
      </c>
      <c r="Q442" s="17" t="str">
        <f t="shared" si="233"/>
        <v>1+5102.49747319737i</v>
      </c>
      <c r="R442" s="17">
        <f t="shared" si="241"/>
        <v>5102.4975711885982</v>
      </c>
      <c r="S442" s="17">
        <f t="shared" si="242"/>
        <v>1.5706003443387662</v>
      </c>
      <c r="T442" s="17" t="str">
        <f t="shared" si="234"/>
        <v>1+0.0109080057093686i</v>
      </c>
      <c r="U442" s="17">
        <f t="shared" si="243"/>
        <v>1.0000594905247167</v>
      </c>
      <c r="V442" s="17">
        <f t="shared" si="244"/>
        <v>1.0907573112061197E-2</v>
      </c>
      <c r="W442" s="31" t="str">
        <f t="shared" si="235"/>
        <v>1-17.6886579070842i</v>
      </c>
      <c r="X442" s="17">
        <f t="shared" si="245"/>
        <v>17.716902058595132</v>
      </c>
      <c r="Y442" s="17">
        <f t="shared" si="246"/>
        <v>-1.5143230374316592</v>
      </c>
      <c r="Z442" s="31" t="str">
        <f t="shared" si="236"/>
        <v>-11.0798068816081+107.696892205558i</v>
      </c>
      <c r="AA442" s="17">
        <f t="shared" si="247"/>
        <v>108.26533476265296</v>
      </c>
      <c r="AB442" s="17">
        <f t="shared" si="248"/>
        <v>1.6733151900628038</v>
      </c>
      <c r="AC442" s="66" t="str">
        <f t="shared" si="249"/>
        <v>0.00573703199344397+0.164120368834596i</v>
      </c>
      <c r="AD442" s="64">
        <f t="shared" si="250"/>
        <v>-15.691446739333596</v>
      </c>
      <c r="AE442" s="61">
        <f t="shared" si="251"/>
        <v>87.997969821651068</v>
      </c>
      <c r="AF442" s="31" t="str">
        <f t="shared" si="237"/>
        <v>-1.39902068552014E-06</v>
      </c>
      <c r="AG442" s="31" t="str">
        <f t="shared" si="238"/>
        <v>0.0361066999797198i</v>
      </c>
      <c r="AH442" s="31">
        <f t="shared" si="252"/>
        <v>3.6106699979719797E-2</v>
      </c>
      <c r="AI442" s="31">
        <f t="shared" si="253"/>
        <v>1.5707963267948966</v>
      </c>
      <c r="AJ442" s="31" t="str">
        <f t="shared" si="239"/>
        <v>1+2.60817937017753i</v>
      </c>
      <c r="AK442" s="31">
        <f t="shared" si="254"/>
        <v>2.7933133778757546</v>
      </c>
      <c r="AL442" s="31">
        <f t="shared" si="255"/>
        <v>1.2046736544180099</v>
      </c>
      <c r="AM442" s="31" t="str">
        <f t="shared" si="240"/>
        <v>1+1268.34228548574i</v>
      </c>
      <c r="AN442" s="31">
        <f t="shared" si="256"/>
        <v>1268.3426797010302</v>
      </c>
      <c r="AO442" s="31">
        <f t="shared" si="257"/>
        <v>1.5700078962551001</v>
      </c>
      <c r="AP442" s="58" t="str">
        <f t="shared" si="258"/>
        <v>-0.00628549519289379+0.0164324457378448i</v>
      </c>
      <c r="AQ442" s="49">
        <f t="shared" si="259"/>
        <v>-35.092934320807352</v>
      </c>
      <c r="AR442" s="61">
        <f t="shared" si="260"/>
        <v>110.93211016887696</v>
      </c>
      <c r="AS442" s="58" t="str">
        <f t="shared" si="261"/>
        <v>-0.00273295914236584-0.000937304322437261i</v>
      </c>
      <c r="AT442" s="64">
        <f t="shared" si="262"/>
        <v>-50.784381060140959</v>
      </c>
      <c r="AU442" s="61">
        <f t="shared" si="263"/>
        <v>-161.06992000947193</v>
      </c>
    </row>
    <row r="443" spans="14:47" x14ac:dyDescent="0.4">
      <c r="N443" s="10">
        <v>25</v>
      </c>
      <c r="O443" s="50">
        <f t="shared" si="264"/>
        <v>177827.94100389251</v>
      </c>
      <c r="P443" s="48" t="str">
        <f t="shared" si="232"/>
        <v>5120.19230769231</v>
      </c>
      <c r="Q443" s="17" t="str">
        <f t="shared" si="233"/>
        <v>1+5221.34990745314i</v>
      </c>
      <c r="R443" s="17">
        <f t="shared" si="241"/>
        <v>5221.3500032138163</v>
      </c>
      <c r="S443" s="17">
        <f t="shared" si="242"/>
        <v>1.5706048054440012</v>
      </c>
      <c r="T443" s="17" t="str">
        <f t="shared" si="234"/>
        <v>1+0.0111620858021554i</v>
      </c>
      <c r="U443" s="17">
        <f t="shared" si="243"/>
        <v>1.0000622941394475</v>
      </c>
      <c r="V443" s="17">
        <f t="shared" si="244"/>
        <v>1.1161622267348551E-2</v>
      </c>
      <c r="W443" s="31" t="str">
        <f t="shared" si="235"/>
        <v>1-18.1006796791709i</v>
      </c>
      <c r="X443" s="17">
        <f t="shared" si="245"/>
        <v>18.128281905573687</v>
      </c>
      <c r="Y443" s="17">
        <f t="shared" si="246"/>
        <v>-1.5156058873601941</v>
      </c>
      <c r="Z443" s="31" t="str">
        <f t="shared" si="236"/>
        <v>-11.6491106406737+110.205475084364i</v>
      </c>
      <c r="AA443" s="17">
        <f t="shared" si="247"/>
        <v>110.81944106197717</v>
      </c>
      <c r="AB443" s="17">
        <f t="shared" si="248"/>
        <v>1.6761088176537384</v>
      </c>
      <c r="AC443" s="66" t="str">
        <f t="shared" si="249"/>
        <v>0.00621793214577029+0.160304144295445i</v>
      </c>
      <c r="AD443" s="64">
        <f t="shared" si="250"/>
        <v>-15.894575791858101</v>
      </c>
      <c r="AE443" s="61">
        <f t="shared" si="251"/>
        <v>87.778705206390427</v>
      </c>
      <c r="AF443" s="31" t="str">
        <f t="shared" si="237"/>
        <v>-1.39902068552014E-06</v>
      </c>
      <c r="AG443" s="31" t="str">
        <f t="shared" si="238"/>
        <v>0.0369477330636309i</v>
      </c>
      <c r="AH443" s="31">
        <f t="shared" si="252"/>
        <v>3.6947733063630903E-2</v>
      </c>
      <c r="AI443" s="31">
        <f t="shared" si="253"/>
        <v>1.5707963267948966</v>
      </c>
      <c r="AJ443" s="31" t="str">
        <f t="shared" si="239"/>
        <v>1+2.66893167211391i</v>
      </c>
      <c r="AK443" s="31">
        <f t="shared" si="254"/>
        <v>2.8501221500863347</v>
      </c>
      <c r="AL443" s="31">
        <f t="shared" si="255"/>
        <v>1.2123046959746684</v>
      </c>
      <c r="AM443" s="31" t="str">
        <f t="shared" si="240"/>
        <v>1+1297.88577255092i</v>
      </c>
      <c r="AN443" s="31">
        <f t="shared" si="256"/>
        <v>1297.8861577927773</v>
      </c>
      <c r="AO443" s="31">
        <f t="shared" si="257"/>
        <v>1.5700258431180836</v>
      </c>
      <c r="AP443" s="58" t="str">
        <f t="shared" si="258"/>
        <v>-0.00603742674867257+0.0161513443261317i</v>
      </c>
      <c r="AQ443" s="49">
        <f t="shared" si="259"/>
        <v>-35.267810682595531</v>
      </c>
      <c r="AR443" s="61">
        <f t="shared" si="260"/>
        <v>110.49591197389589</v>
      </c>
      <c r="AS443" s="58" t="str">
        <f t="shared" si="261"/>
        <v>-0.00262666774127994-0.000867396565609528i</v>
      </c>
      <c r="AT443" s="64">
        <f t="shared" si="262"/>
        <v>-51.162386474453626</v>
      </c>
      <c r="AU443" s="61">
        <f t="shared" si="263"/>
        <v>-161.72538281971373</v>
      </c>
    </row>
    <row r="444" spans="14:47" x14ac:dyDescent="0.4">
      <c r="N444" s="10">
        <v>26</v>
      </c>
      <c r="O444" s="50">
        <f t="shared" si="264"/>
        <v>181970.08586099857</v>
      </c>
      <c r="P444" s="48" t="str">
        <f t="shared" si="232"/>
        <v>5120.19230769231</v>
      </c>
      <c r="Q444" s="17" t="str">
        <f t="shared" si="233"/>
        <v>1+5342.97077054253i</v>
      </c>
      <c r="R444" s="17">
        <f t="shared" si="241"/>
        <v>5342.9708641234265</v>
      </c>
      <c r="S444" s="17">
        <f t="shared" si="242"/>
        <v>1.5706091650020908</v>
      </c>
      <c r="T444" s="17" t="str">
        <f t="shared" si="234"/>
        <v>1+0.011422084180582i</v>
      </c>
      <c r="U444" s="17">
        <f t="shared" si="243"/>
        <v>1.0000652298760457</v>
      </c>
      <c r="V444" s="17">
        <f t="shared" si="244"/>
        <v>1.1421587495837505E-2</v>
      </c>
      <c r="W444" s="31" t="str">
        <f t="shared" si="235"/>
        <v>1-18.5222986712141i</v>
      </c>
      <c r="X444" s="17">
        <f t="shared" si="245"/>
        <v>18.549273518541352</v>
      </c>
      <c r="Y444" s="17">
        <f t="shared" si="246"/>
        <v>-1.5168597117920302</v>
      </c>
      <c r="Z444" s="31" t="str">
        <f t="shared" si="236"/>
        <v>-12.2452448593036+112.7724903648i</v>
      </c>
      <c r="AA444" s="17">
        <f t="shared" si="247"/>
        <v>113.43535870593089</v>
      </c>
      <c r="AB444" s="17">
        <f t="shared" si="248"/>
        <v>1.6789561889866438</v>
      </c>
      <c r="AC444" s="66" t="str">
        <f t="shared" si="249"/>
        <v>0.00667630506662464+0.156572610876513i</v>
      </c>
      <c r="AD444" s="64">
        <f t="shared" si="250"/>
        <v>-16.097794972352261</v>
      </c>
      <c r="AE444" s="61">
        <f t="shared" si="251"/>
        <v>87.558369124247278</v>
      </c>
      <c r="AF444" s="31" t="str">
        <f t="shared" si="237"/>
        <v>-1.39902068552014E-06</v>
      </c>
      <c r="AG444" s="31" t="str">
        <f t="shared" si="238"/>
        <v>0.0378083563246734i</v>
      </c>
      <c r="AH444" s="31">
        <f t="shared" si="252"/>
        <v>3.7808356324673401E-2</v>
      </c>
      <c r="AI444" s="31">
        <f t="shared" si="253"/>
        <v>1.5707963267948966</v>
      </c>
      <c r="AJ444" s="31" t="str">
        <f t="shared" si="239"/>
        <v>1+2.7310990769503i</v>
      </c>
      <c r="AK444" s="31">
        <f t="shared" si="254"/>
        <v>2.9084191871390854</v>
      </c>
      <c r="AL444" s="31">
        <f t="shared" si="255"/>
        <v>1.2198044381760527</v>
      </c>
      <c r="AM444" s="31" t="str">
        <f t="shared" si="240"/>
        <v>1+1328.11741583224i</v>
      </c>
      <c r="AN444" s="31">
        <f t="shared" si="256"/>
        <v>1328.1177923049249</v>
      </c>
      <c r="AO444" s="31">
        <f t="shared" si="257"/>
        <v>1.5700433814610701</v>
      </c>
      <c r="AP444" s="58" t="str">
        <f t="shared" si="258"/>
        <v>-0.0057978212152102+0.0158714271183069i</v>
      </c>
      <c r="AQ444" s="49">
        <f t="shared" si="259"/>
        <v>-35.443681353322908</v>
      </c>
      <c r="AR444" s="61">
        <f t="shared" si="260"/>
        <v>110.06721327135321</v>
      </c>
      <c r="AS444" s="58" t="str">
        <f t="shared" si="261"/>
        <v>-0.00252373880540409-0.000801817515776182i</v>
      </c>
      <c r="AT444" s="64">
        <f t="shared" si="262"/>
        <v>-51.541476325675184</v>
      </c>
      <c r="AU444" s="61">
        <f t="shared" si="263"/>
        <v>-162.3744176043995</v>
      </c>
    </row>
    <row r="445" spans="14:47" x14ac:dyDescent="0.4">
      <c r="N445" s="10">
        <v>27</v>
      </c>
      <c r="O445" s="50">
        <f t="shared" si="264"/>
        <v>186208.71366628664</v>
      </c>
      <c r="P445" s="48" t="str">
        <f t="shared" si="232"/>
        <v>5120.19230769231</v>
      </c>
      <c r="Q445" s="17" t="str">
        <f t="shared" si="233"/>
        <v>1+5467.42454745707i</v>
      </c>
      <c r="R445" s="17">
        <f t="shared" si="241"/>
        <v>5467.4246389078053</v>
      </c>
      <c r="S445" s="17">
        <f t="shared" si="242"/>
        <v>1.5706134253245299</v>
      </c>
      <c r="T445" s="17" t="str">
        <f t="shared" si="234"/>
        <v>1+0.0116881386992304i</v>
      </c>
      <c r="U445" s="17">
        <f t="shared" si="243"/>
        <v>1.0000683039604108</v>
      </c>
      <c r="V445" s="17">
        <f t="shared" si="244"/>
        <v>1.1687606493901227E-2</v>
      </c>
      <c r="W445" s="31" t="str">
        <f t="shared" si="235"/>
        <v>1-18.9537384311845i</v>
      </c>
      <c r="X445" s="17">
        <f t="shared" si="245"/>
        <v>18.980100118749643</v>
      </c>
      <c r="Y445" s="17">
        <f t="shared" si="246"/>
        <v>-1.518085159743688</v>
      </c>
      <c r="Z445" s="31" t="str">
        <f t="shared" si="236"/>
        <v>-12.8694740181012+115.399299112349i</v>
      </c>
      <c r="AA445" s="17">
        <f t="shared" si="247"/>
        <v>116.11469156452155</v>
      </c>
      <c r="AB445" s="17">
        <f t="shared" si="248"/>
        <v>1.68185866632293</v>
      </c>
      <c r="AC445" s="66" t="str">
        <f t="shared" si="249"/>
        <v>0.00711312424596242+0.152923824583307i</v>
      </c>
      <c r="AD445" s="64">
        <f t="shared" si="250"/>
        <v>-16.301110873594158</v>
      </c>
      <c r="AE445" s="61">
        <f t="shared" si="251"/>
        <v>87.336854094467</v>
      </c>
      <c r="AF445" s="31" t="str">
        <f t="shared" si="237"/>
        <v>-1.39902068552014E-06</v>
      </c>
      <c r="AG445" s="31" t="str">
        <f t="shared" si="238"/>
        <v>0.038689026076692i</v>
      </c>
      <c r="AH445" s="31">
        <f t="shared" si="252"/>
        <v>3.8689026076692001E-2</v>
      </c>
      <c r="AI445" s="31">
        <f t="shared" si="253"/>
        <v>1.5707963267948966</v>
      </c>
      <c r="AJ445" s="31" t="str">
        <f t="shared" si="239"/>
        <v>1+2.79471454666767i</v>
      </c>
      <c r="AK445" s="31">
        <f t="shared" si="254"/>
        <v>2.9682367488722798</v>
      </c>
      <c r="AL445" s="31">
        <f t="shared" si="255"/>
        <v>1.2271734818436684</v>
      </c>
      <c r="AM445" s="31" t="str">
        <f t="shared" si="240"/>
        <v>1+1359.05324454715i</v>
      </c>
      <c r="AN445" s="31">
        <f t="shared" si="256"/>
        <v>1359.0536124502723</v>
      </c>
      <c r="AO445" s="31">
        <f t="shared" si="257"/>
        <v>1.5700605205830782</v>
      </c>
      <c r="AP445" s="58" t="str">
        <f t="shared" si="258"/>
        <v>-0.00556649400793396+0.01559292243708i</v>
      </c>
      <c r="AQ445" s="49">
        <f t="shared" si="259"/>
        <v>-35.62051219589344</v>
      </c>
      <c r="AR445" s="61">
        <f t="shared" si="260"/>
        <v>109.64598016950688</v>
      </c>
      <c r="AS445" s="58" t="str">
        <f t="shared" si="261"/>
        <v>-0.00242412449900197-0.000740335158560717i</v>
      </c>
      <c r="AT445" s="64">
        <f t="shared" si="262"/>
        <v>-51.921623069487609</v>
      </c>
      <c r="AU445" s="61">
        <f t="shared" si="263"/>
        <v>-163.0171657360261</v>
      </c>
    </row>
    <row r="446" spans="14:47" x14ac:dyDescent="0.4">
      <c r="N446" s="10">
        <v>28</v>
      </c>
      <c r="O446" s="50">
        <f t="shared" si="264"/>
        <v>190546.07179632492</v>
      </c>
      <c r="P446" s="48" t="str">
        <f t="shared" si="232"/>
        <v>5120.19230769231</v>
      </c>
      <c r="Q446" s="17" t="str">
        <f t="shared" si="233"/>
        <v>1+5594.77722523663i</v>
      </c>
      <c r="R446" s="17">
        <f t="shared" si="241"/>
        <v>5594.7773146056934</v>
      </c>
      <c r="S446" s="17">
        <f t="shared" si="242"/>
        <v>1.570617588670197</v>
      </c>
      <c r="T446" s="17" t="str">
        <f t="shared" si="234"/>
        <v>1+0.0119603904237281i</v>
      </c>
      <c r="U446" s="17">
        <f t="shared" si="243"/>
        <v>1.0000715229117805</v>
      </c>
      <c r="V446" s="17">
        <f t="shared" si="244"/>
        <v>1.1959820157646236E-2</v>
      </c>
      <c r="W446" s="31" t="str">
        <f t="shared" si="235"/>
        <v>1-19.3952277141537i</v>
      </c>
      <c r="X446" s="17">
        <f t="shared" si="245"/>
        <v>19.420990141696581</v>
      </c>
      <c r="Y446" s="17">
        <f t="shared" si="246"/>
        <v>-1.5192828662332816</v>
      </c>
      <c r="Z446" s="31" t="str">
        <f t="shared" si="236"/>
        <v>-13.5231221908043+118.087294095778i</v>
      </c>
      <c r="AA446" s="17">
        <f t="shared" si="247"/>
        <v>118.85909246099008</v>
      </c>
      <c r="AB446" s="17">
        <f t="shared" si="248"/>
        <v>1.6848176309035487</v>
      </c>
      <c r="AC446" s="66" t="str">
        <f t="shared" si="249"/>
        <v>0.00752931765871889+0.149355883969818i</v>
      </c>
      <c r="AD446" s="64">
        <f t="shared" si="250"/>
        <v>-16.504530273276178</v>
      </c>
      <c r="AE446" s="61">
        <f t="shared" si="251"/>
        <v>87.114052537242713</v>
      </c>
      <c r="AF446" s="31" t="str">
        <f t="shared" si="237"/>
        <v>-1.39902068552014E-06</v>
      </c>
      <c r="AG446" s="31" t="str">
        <f t="shared" si="238"/>
        <v>0.0395902092624463i</v>
      </c>
      <c r="AH446" s="31">
        <f t="shared" si="252"/>
        <v>3.9590209262446302E-2</v>
      </c>
      <c r="AI446" s="31">
        <f t="shared" si="253"/>
        <v>1.5707963267948966</v>
      </c>
      <c r="AJ446" s="31" t="str">
        <f t="shared" si="239"/>
        <v>1+2.85981181103014i</v>
      </c>
      <c r="AK446" s="31">
        <f t="shared" si="254"/>
        <v>3.0296078284998358</v>
      </c>
      <c r="AL446" s="31">
        <f t="shared" si="255"/>
        <v>1.2344125318947037</v>
      </c>
      <c r="AM446" s="31" t="str">
        <f t="shared" si="240"/>
        <v>1+1390.70966128154i</v>
      </c>
      <c r="AN446" s="31">
        <f t="shared" si="256"/>
        <v>1390.7100208101672</v>
      </c>
      <c r="AO446" s="31">
        <f t="shared" si="257"/>
        <v>1.5700772695714567</v>
      </c>
      <c r="AP446" s="58" t="str">
        <f t="shared" si="258"/>
        <v>-0.00534325612858425+0.0153160445279582i</v>
      </c>
      <c r="AQ446" s="49">
        <f t="shared" si="259"/>
        <v>-35.798269835238791</v>
      </c>
      <c r="AR446" s="61">
        <f t="shared" si="260"/>
        <v>109.2321728002438</v>
      </c>
      <c r="AS446" s="58" t="str">
        <f t="shared" si="261"/>
        <v>-0.0023277724421183-0.000682727377835768i</v>
      </c>
      <c r="AT446" s="64">
        <f t="shared" si="262"/>
        <v>-52.302800108514958</v>
      </c>
      <c r="AU446" s="61">
        <f t="shared" si="263"/>
        <v>-163.65377466251348</v>
      </c>
    </row>
    <row r="447" spans="14:47" x14ac:dyDescent="0.4">
      <c r="N447" s="10">
        <v>29</v>
      </c>
      <c r="O447" s="50">
        <f t="shared" si="264"/>
        <v>194984.45997580473</v>
      </c>
      <c r="P447" s="48" t="str">
        <f t="shared" si="232"/>
        <v>5120.19230769231</v>
      </c>
      <c r="Q447" s="17" t="str">
        <f t="shared" si="233"/>
        <v>1+5725.09632795657i</v>
      </c>
      <c r="R447" s="17">
        <f t="shared" si="241"/>
        <v>5725.0964152913448</v>
      </c>
      <c r="S447" s="17">
        <f t="shared" si="242"/>
        <v>1.5706216572465526</v>
      </c>
      <c r="T447" s="17" t="str">
        <f t="shared" si="234"/>
        <v>1+0.0122389837055427i</v>
      </c>
      <c r="U447" s="17">
        <f t="shared" si="243"/>
        <v>1.0000748935565498</v>
      </c>
      <c r="V447" s="17">
        <f t="shared" si="244"/>
        <v>1.2238372656898299E-2</v>
      </c>
      <c r="W447" s="31" t="str">
        <f t="shared" si="235"/>
        <v>1-19.8470006035828i</v>
      </c>
      <c r="X447" s="17">
        <f t="shared" si="245"/>
        <v>19.872177358271941</v>
      </c>
      <c r="Y447" s="17">
        <f t="shared" si="246"/>
        <v>-1.5204534525479578</v>
      </c>
      <c r="Z447" s="31" t="str">
        <f t="shared" si="236"/>
        <v>-14.2075758528224+120.837900525605i</v>
      </c>
      <c r="AA447" s="17">
        <f t="shared" si="247"/>
        <v>121.67026512278878</v>
      </c>
      <c r="AB447" s="17">
        <f t="shared" si="248"/>
        <v>1.6878344829838894</v>
      </c>
      <c r="AC447" s="66" t="str">
        <f t="shared" si="249"/>
        <v>0.00792576974415297+0.145866929284171i</v>
      </c>
      <c r="AD447" s="64">
        <f t="shared" si="250"/>
        <v>-16.708060146306707</v>
      </c>
      <c r="AE447" s="61">
        <f t="shared" si="251"/>
        <v>86.889856760563362</v>
      </c>
      <c r="AF447" s="31" t="str">
        <f t="shared" si="237"/>
        <v>-1.39902068552014E-06</v>
      </c>
      <c r="AG447" s="31" t="str">
        <f t="shared" si="238"/>
        <v>0.0405123837011899i</v>
      </c>
      <c r="AH447" s="31">
        <f t="shared" si="252"/>
        <v>4.0512383701189897E-2</v>
      </c>
      <c r="AI447" s="31">
        <f t="shared" si="253"/>
        <v>1.5707963267948966</v>
      </c>
      <c r="AJ447" s="31" t="str">
        <f t="shared" si="239"/>
        <v>1+2.92642538546885i</v>
      </c>
      <c r="AK447" s="31">
        <f t="shared" si="254"/>
        <v>3.0925661733771364</v>
      </c>
      <c r="AL447" s="31">
        <f t="shared" si="255"/>
        <v>1.241522390788991</v>
      </c>
      <c r="AM447" s="31" t="str">
        <f t="shared" si="240"/>
        <v>1+1423.10345068653i</v>
      </c>
      <c r="AN447" s="31">
        <f t="shared" si="256"/>
        <v>1423.1038020312885</v>
      </c>
      <c r="AO447" s="31">
        <f t="shared" si="257"/>
        <v>1.5700936373067031</v>
      </c>
      <c r="AP447" s="58" t="str">
        <f t="shared" si="258"/>
        <v>-0.0051279150117624+0.0150409938263598i</v>
      </c>
      <c r="AQ447" s="49">
        <f t="shared" si="259"/>
        <v>-35.976921674574534</v>
      </c>
      <c r="AR447" s="61">
        <f t="shared" si="260"/>
        <v>108.8257456948175</v>
      </c>
      <c r="AS447" s="58" t="str">
        <f t="shared" si="261"/>
        <v>-0.00223462625648409-0.000628781762605031i</v>
      </c>
      <c r="AT447" s="64">
        <f t="shared" si="262"/>
        <v>-52.684981820881248</v>
      </c>
      <c r="AU447" s="61">
        <f t="shared" si="263"/>
        <v>-164.28439754461911</v>
      </c>
    </row>
    <row r="448" spans="14:47" x14ac:dyDescent="0.4">
      <c r="N448" s="10">
        <v>30</v>
      </c>
      <c r="O448" s="50">
        <f t="shared" si="264"/>
        <v>199526.23149688813</v>
      </c>
      <c r="P448" s="48" t="str">
        <f t="shared" si="232"/>
        <v>5120.19230769231</v>
      </c>
      <c r="Q448" s="17" t="str">
        <f t="shared" si="233"/>
        <v>1+5858.45095253025i</v>
      </c>
      <c r="R448" s="17">
        <f t="shared" si="241"/>
        <v>5858.4510378770428</v>
      </c>
      <c r="S448" s="17">
        <f t="shared" si="242"/>
        <v>1.5706256332108093</v>
      </c>
      <c r="T448" s="17" t="str">
        <f t="shared" si="234"/>
        <v>1+0.0125240662585202i</v>
      </c>
      <c r="U448" s="17">
        <f t="shared" si="243"/>
        <v>1.0000784230427371</v>
      </c>
      <c r="V448" s="17">
        <f t="shared" si="244"/>
        <v>1.2523411510874258E-2</v>
      </c>
      <c r="W448" s="31" t="str">
        <f t="shared" si="235"/>
        <v>1-20.3092966354382i</v>
      </c>
      <c r="X448" s="17">
        <f t="shared" si="245"/>
        <v>20.333900998731682</v>
      </c>
      <c r="Y448" s="17">
        <f t="shared" si="246"/>
        <v>-1.5215975265086166</v>
      </c>
      <c r="Z448" s="31" t="str">
        <f t="shared" si="236"/>
        <v>-14.9242868221399+123.652576809771i</v>
      </c>
      <c r="AA448" s="17">
        <f t="shared" si="247"/>
        <v>124.54996623382047</v>
      </c>
      <c r="AB448" s="17">
        <f t="shared" si="248"/>
        <v>1.6909106418331239</v>
      </c>
      <c r="AC448" s="66" t="str">
        <f t="shared" si="249"/>
        <v>0.00830332329451229+0.142455141630253i</v>
      </c>
      <c r="AD448" s="64">
        <f t="shared" si="250"/>
        <v>-16.911707677355544</v>
      </c>
      <c r="AE448" s="61">
        <f t="shared" si="251"/>
        <v>86.664158949352512</v>
      </c>
      <c r="AF448" s="31" t="str">
        <f t="shared" si="237"/>
        <v>-1.39902068552014E-06</v>
      </c>
      <c r="AG448" s="31" t="str">
        <f t="shared" si="238"/>
        <v>0.0414560383420167i</v>
      </c>
      <c r="AH448" s="31">
        <f t="shared" si="252"/>
        <v>4.14560383420167E-2</v>
      </c>
      <c r="AI448" s="31">
        <f t="shared" si="253"/>
        <v>1.5707963267948966</v>
      </c>
      <c r="AJ448" s="31" t="str">
        <f t="shared" si="239"/>
        <v>1+2.99459058938279i</v>
      </c>
      <c r="AK448" s="31">
        <f t="shared" si="254"/>
        <v>3.157146306084019</v>
      </c>
      <c r="AL448" s="31">
        <f t="shared" si="255"/>
        <v>1.2485039521109436</v>
      </c>
      <c r="AM448" s="31" t="str">
        <f t="shared" si="240"/>
        <v>1+1456.25178837809i</v>
      </c>
      <c r="AN448" s="31">
        <f t="shared" si="256"/>
        <v>1456.2521317252672</v>
      </c>
      <c r="AO448" s="31">
        <f t="shared" si="257"/>
        <v>1.5701096324671728</v>
      </c>
      <c r="AP448" s="58" t="str">
        <f t="shared" si="258"/>
        <v>-0.00492027532093366+0.0147679572639289i</v>
      </c>
      <c r="AQ448" s="49">
        <f t="shared" si="259"/>
        <v>-36.15643590830706</v>
      </c>
      <c r="AR448" s="61">
        <f t="shared" si="260"/>
        <v>108.42664815184541</v>
      </c>
      <c r="AS448" s="58" t="str">
        <f t="shared" si="261"/>
        <v>-0.00214462608031024-0.0005782953941415i</v>
      </c>
      <c r="AT448" s="64">
        <f t="shared" si="262"/>
        <v>-53.068143585662597</v>
      </c>
      <c r="AU448" s="61">
        <f t="shared" si="263"/>
        <v>-164.90919289880208</v>
      </c>
    </row>
    <row r="449" spans="14:47" x14ac:dyDescent="0.4">
      <c r="N449" s="10">
        <v>31</v>
      </c>
      <c r="O449" s="50">
        <f t="shared" si="264"/>
        <v>204173.79446695308</v>
      </c>
      <c r="P449" s="48" t="str">
        <f t="shared" si="232"/>
        <v>5120.19230769231</v>
      </c>
      <c r="Q449" s="17" t="str">
        <f t="shared" si="233"/>
        <v>1+5994.9118053447i</v>
      </c>
      <c r="R449" s="17">
        <f t="shared" si="241"/>
        <v>5994.911888748763</v>
      </c>
      <c r="S449" s="17">
        <f t="shared" si="242"/>
        <v>1.570629518671075</v>
      </c>
      <c r="T449" s="17" t="str">
        <f t="shared" si="234"/>
        <v>1+0.0128157892372036i</v>
      </c>
      <c r="U449" s="17">
        <f t="shared" si="243"/>
        <v>1.000082118855133</v>
      </c>
      <c r="V449" s="17">
        <f t="shared" si="244"/>
        <v>1.281508766557221E-2</v>
      </c>
      <c r="W449" s="31" t="str">
        <f t="shared" si="235"/>
        <v>1-20.7823609251949i</v>
      </c>
      <c r="X449" s="17">
        <f t="shared" si="245"/>
        <v>20.806405879561897</v>
      </c>
      <c r="Y449" s="17">
        <f t="shared" si="246"/>
        <v>-1.5227156827317356</v>
      </c>
      <c r="Z449" s="31" t="str">
        <f t="shared" si="236"/>
        <v>-15.6747753388133+126.532815326896i</v>
      </c>
      <c r="AA449" s="17">
        <f t="shared" si="247"/>
        <v>127.50000759401013</v>
      </c>
      <c r="AB449" s="17">
        <f t="shared" si="248"/>
        <v>1.6940475456951531</v>
      </c>
      <c r="AC449" s="66" t="str">
        <f t="shared" si="249"/>
        <v>0.0086627812571014+0.139118742145566i</v>
      </c>
      <c r="AD449" s="64">
        <f t="shared" si="250"/>
        <v>-17.115480273649666</v>
      </c>
      <c r="AE449" s="61">
        <f t="shared" si="251"/>
        <v>86.436851157073008</v>
      </c>
      <c r="AF449" s="31" t="str">
        <f t="shared" si="237"/>
        <v>-1.39902068552014E-06</v>
      </c>
      <c r="AG449" s="31" t="str">
        <f t="shared" si="238"/>
        <v>0.0424216735231079i</v>
      </c>
      <c r="AH449" s="31">
        <f t="shared" si="252"/>
        <v>4.2421673523107897E-2</v>
      </c>
      <c r="AI449" s="31">
        <f t="shared" si="253"/>
        <v>1.5707963267948966</v>
      </c>
      <c r="AJ449" s="31" t="str">
        <f t="shared" si="239"/>
        <v>1+3.06434356486529i</v>
      </c>
      <c r="AK449" s="31">
        <f t="shared" si="254"/>
        <v>3.2233835458305786</v>
      </c>
      <c r="AL449" s="31">
        <f t="shared" si="255"/>
        <v>1.2553581943035006</v>
      </c>
      <c r="AM449" s="31" t="str">
        <f t="shared" si="240"/>
        <v>1+1490.17225004361i</v>
      </c>
      <c r="AN449" s="31">
        <f t="shared" si="256"/>
        <v>1490.1725855752529</v>
      </c>
      <c r="AO449" s="31">
        <f t="shared" si="257"/>
        <v>1.5701252635336782</v>
      </c>
      <c r="AP449" s="58" t="str">
        <f t="shared" si="258"/>
        <v>-0.00472013969367595+0.014497108608701i</v>
      </c>
      <c r="AQ449" s="49">
        <f t="shared" si="259"/>
        <v>-36.336781531798515</v>
      </c>
      <c r="AR449" s="61">
        <f t="shared" si="260"/>
        <v>108.03482459659142</v>
      </c>
      <c r="AS449" s="58" t="str">
        <f t="shared" si="261"/>
        <v>-0.00205770905205942-0.000531074616197937i</v>
      </c>
      <c r="AT449" s="64">
        <f t="shared" si="262"/>
        <v>-53.452261805448167</v>
      </c>
      <c r="AU449" s="61">
        <f t="shared" si="263"/>
        <v>-165.52832424633561</v>
      </c>
    </row>
    <row r="450" spans="14:47" x14ac:dyDescent="0.4">
      <c r="N450" s="10">
        <v>32</v>
      </c>
      <c r="O450" s="50">
        <f t="shared" si="264"/>
        <v>208929.61308540447</v>
      </c>
      <c r="P450" s="48" t="str">
        <f t="shared" si="232"/>
        <v>5120.19230769231</v>
      </c>
      <c r="Q450" s="17" t="str">
        <f t="shared" si="233"/>
        <v>1+6134.55123975043i</v>
      </c>
      <c r="R450" s="17">
        <f t="shared" si="241"/>
        <v>6134.5513212559836</v>
      </c>
      <c r="S450" s="17">
        <f t="shared" si="242"/>
        <v>1.5706333156874723</v>
      </c>
      <c r="T450" s="17" t="str">
        <f t="shared" si="234"/>
        <v>1+0.0131143073169776i</v>
      </c>
      <c r="U450" s="17">
        <f t="shared" si="243"/>
        <v>1.0000859888311626</v>
      </c>
      <c r="V450" s="17">
        <f t="shared" si="244"/>
        <v>1.3113555572921452E-2</v>
      </c>
      <c r="W450" s="31" t="str">
        <f t="shared" si="235"/>
        <v>1-21.2664442978015i</v>
      </c>
      <c r="X450" s="17">
        <f t="shared" si="245"/>
        <v>21.289942533306515</v>
      </c>
      <c r="Y450" s="17">
        <f t="shared" si="246"/>
        <v>-1.5238085028881834</v>
      </c>
      <c r="Z450" s="31" t="str">
        <f t="shared" si="236"/>
        <v>-16.4606332896068+129.480143217568i</v>
      </c>
      <c r="AA450" s="17">
        <f t="shared" si="247"/>
        <v>130.52225839272333</v>
      </c>
      <c r="AB450" s="17">
        <f t="shared" si="248"/>
        <v>1.6972466517082752</v>
      </c>
      <c r="AC450" s="66" t="str">
        <f t="shared" si="249"/>
        <v>0.00900490845368116+0.135855991195417i</v>
      </c>
      <c r="AD450" s="64">
        <f t="shared" si="250"/>
        <v>-17.319385578031795</v>
      </c>
      <c r="AE450" s="61">
        <f t="shared" si="251"/>
        <v>86.207825299971859</v>
      </c>
      <c r="AF450" s="31" t="str">
        <f t="shared" si="237"/>
        <v>-1.39902068552014E-06</v>
      </c>
      <c r="AG450" s="31" t="str">
        <f t="shared" si="238"/>
        <v>0.0434098012370184i</v>
      </c>
      <c r="AH450" s="31">
        <f t="shared" si="252"/>
        <v>4.3409801237018403E-2</v>
      </c>
      <c r="AI450" s="31">
        <f t="shared" si="253"/>
        <v>1.5707963267948966</v>
      </c>
      <c r="AJ450" s="31" t="str">
        <f t="shared" si="239"/>
        <v>1+3.13572129586729i</v>
      </c>
      <c r="AK450" s="31">
        <f t="shared" si="254"/>
        <v>3.2913140301945725</v>
      </c>
      <c r="AL450" s="31">
        <f t="shared" si="255"/>
        <v>1.2620861745688974</v>
      </c>
      <c r="AM450" s="31" t="str">
        <f t="shared" si="240"/>
        <v>1+1524.88282076088i</v>
      </c>
      <c r="AN450" s="31">
        <f t="shared" si="256"/>
        <v>1524.883148654892</v>
      </c>
      <c r="AO450" s="31">
        <f t="shared" si="257"/>
        <v>1.5701405387939875</v>
      </c>
      <c r="AP450" s="58" t="str">
        <f t="shared" si="258"/>
        <v>-0.00452730943638384+0.0142286088340572i</v>
      </c>
      <c r="AQ450" s="49">
        <f t="shared" si="259"/>
        <v>-36.517928348194722</v>
      </c>
      <c r="AR450" s="61">
        <f t="shared" si="260"/>
        <v>107.6502149306835</v>
      </c>
      <c r="AS450" s="58" t="str">
        <f t="shared" si="261"/>
        <v>-0.00197380976349883-0.000486934790954367i</v>
      </c>
      <c r="AT450" s="64">
        <f t="shared" si="262"/>
        <v>-53.837313926226514</v>
      </c>
      <c r="AU450" s="61">
        <f t="shared" si="263"/>
        <v>-166.14195976934462</v>
      </c>
    </row>
    <row r="451" spans="14:47" x14ac:dyDescent="0.4">
      <c r="N451" s="10">
        <v>33</v>
      </c>
      <c r="O451" s="50">
        <f t="shared" si="264"/>
        <v>213796.20895022334</v>
      </c>
      <c r="P451" s="48" t="str">
        <f t="shared" si="232"/>
        <v>5120.19230769231</v>
      </c>
      <c r="Q451" s="17" t="str">
        <f t="shared" si="233"/>
        <v>1+6277.44329442381i</v>
      </c>
      <c r="R451" s="17">
        <f t="shared" si="241"/>
        <v>6277.4433740740706</v>
      </c>
      <c r="S451" s="17">
        <f t="shared" si="242"/>
        <v>1.570637026273229</v>
      </c>
      <c r="T451" s="17" t="str">
        <f t="shared" si="234"/>
        <v>1+0.0134197787760793i</v>
      </c>
      <c r="U451" s="17">
        <f t="shared" si="243"/>
        <v>1.0000900411774927</v>
      </c>
      <c r="V451" s="17">
        <f t="shared" si="244"/>
        <v>1.3418973271727341E-2</v>
      </c>
      <c r="W451" s="31" t="str">
        <f t="shared" si="235"/>
        <v>1-21.7618034206692i</v>
      </c>
      <c r="X451" s="17">
        <f t="shared" si="245"/>
        <v>21.784767341421155</v>
      </c>
      <c r="Y451" s="17">
        <f t="shared" si="246"/>
        <v>-1.5248765559588793</v>
      </c>
      <c r="Z451" s="31" t="str">
        <f t="shared" si="236"/>
        <v>-17.2835275845951+132.496123194046i</v>
      </c>
      <c r="AA451" s="17">
        <f t="shared" si="247"/>
        <v>133.61864760286747</v>
      </c>
      <c r="AB451" s="17">
        <f t="shared" si="248"/>
        <v>1.7005094357803989</v>
      </c>
      <c r="AC451" s="66" t="str">
        <f t="shared" si="249"/>
        <v>0.009330433220949+0.132665187583653i</v>
      </c>
      <c r="AD451" s="64">
        <f t="shared" si="250"/>
        <v>-17.523431482286224</v>
      </c>
      <c r="AE451" s="61">
        <f t="shared" si="251"/>
        <v>85.976973154156653</v>
      </c>
      <c r="AF451" s="31" t="str">
        <f t="shared" si="237"/>
        <v>-1.39902068552014E-06</v>
      </c>
      <c r="AG451" s="31" t="str">
        <f t="shared" si="238"/>
        <v>0.0444209454021413i</v>
      </c>
      <c r="AH451" s="31">
        <f t="shared" si="252"/>
        <v>4.4420945402141303E-2</v>
      </c>
      <c r="AI451" s="31">
        <f t="shared" si="253"/>
        <v>1.5707963267948966</v>
      </c>
      <c r="AJ451" s="31" t="str">
        <f t="shared" si="239"/>
        <v>1+3.20876162780652i</v>
      </c>
      <c r="AK451" s="31">
        <f t="shared" si="254"/>
        <v>3.3609747371980569</v>
      </c>
      <c r="AL451" s="31">
        <f t="shared" si="255"/>
        <v>1.2686890229485335</v>
      </c>
      <c r="AM451" s="31" t="str">
        <f t="shared" si="240"/>
        <v>1+1560.40190453391i</v>
      </c>
      <c r="AN451" s="31">
        <f t="shared" si="256"/>
        <v>1560.402224964145</v>
      </c>
      <c r="AO451" s="31">
        <f t="shared" si="257"/>
        <v>1.5701554663472173</v>
      </c>
      <c r="AP451" s="58" t="str">
        <f t="shared" si="258"/>
        <v>-0.0043415851690096+0.0139626065116964i</v>
      </c>
      <c r="AQ451" s="49">
        <f t="shared" si="259"/>
        <v>-36.699846972523162</v>
      </c>
      <c r="AR451" s="61">
        <f t="shared" si="260"/>
        <v>107.27275487156417</v>
      </c>
      <c r="AS451" s="58" t="str">
        <f t="shared" si="261"/>
        <v>-0.00189286068252344-0.000445700043209294i</v>
      </c>
      <c r="AT451" s="64">
        <f t="shared" si="262"/>
        <v>-54.223278454809403</v>
      </c>
      <c r="AU451" s="61">
        <f t="shared" si="263"/>
        <v>-166.75027197427914</v>
      </c>
    </row>
    <row r="452" spans="14:47" x14ac:dyDescent="0.4">
      <c r="N452" s="10">
        <v>34</v>
      </c>
      <c r="O452" s="50">
        <f t="shared" si="264"/>
        <v>218776.16239495538</v>
      </c>
      <c r="P452" s="48" t="str">
        <f t="shared" si="232"/>
        <v>5120.19230769231</v>
      </c>
      <c r="Q452" s="17" t="str">
        <f t="shared" si="233"/>
        <v>1+6423.6637326237i</v>
      </c>
      <c r="R452" s="17">
        <f t="shared" si="241"/>
        <v>6423.6638104608992</v>
      </c>
      <c r="S452" s="17">
        <f t="shared" si="242"/>
        <v>1.5706406523957459</v>
      </c>
      <c r="T452" s="17" t="str">
        <f t="shared" si="234"/>
        <v>1+0.01373236557952i</v>
      </c>
      <c r="U452" s="17">
        <f t="shared" si="243"/>
        <v>1.0000942844874225</v>
      </c>
      <c r="V452" s="17">
        <f t="shared" si="244"/>
        <v>1.3731502470451094E-2</v>
      </c>
      <c r="W452" s="31" t="str">
        <f t="shared" si="235"/>
        <v>1-22.2687009397621i</v>
      </c>
      <c r="X452" s="17">
        <f t="shared" si="245"/>
        <v>22.291142670230286</v>
      </c>
      <c r="Y452" s="17">
        <f t="shared" si="246"/>
        <v>-1.5259203984872112</v>
      </c>
      <c r="Z452" s="31" t="str">
        <f t="shared" si="236"/>
        <v>-18.1452036929056+135.582354368835i</v>
      </c>
      <c r="AA452" s="17">
        <f t="shared" si="247"/>
        <v>136.79116650300702</v>
      </c>
      <c r="AB452" s="17">
        <f t="shared" si="248"/>
        <v>1.7038373924165662</v>
      </c>
      <c r="AC452" s="66" t="str">
        <f t="shared" si="249"/>
        <v>0.00964004897570752+0.12954466778004i</v>
      </c>
      <c r="AD452" s="64">
        <f t="shared" si="250"/>
        <v>-17.727626140740767</v>
      </c>
      <c r="AE452" s="61">
        <f t="shared" si="251"/>
        <v>85.744186355697238</v>
      </c>
      <c r="AF452" s="31" t="str">
        <f t="shared" si="237"/>
        <v>-1.39902068552014E-06</v>
      </c>
      <c r="AG452" s="31" t="str">
        <f t="shared" si="238"/>
        <v>0.0454556421404972i</v>
      </c>
      <c r="AH452" s="31">
        <f t="shared" si="252"/>
        <v>4.5455642140497202E-2</v>
      </c>
      <c r="AI452" s="31">
        <f t="shared" si="253"/>
        <v>1.5707963267948966</v>
      </c>
      <c r="AJ452" s="31" t="str">
        <f t="shared" si="239"/>
        <v>1+3.2835032876338i</v>
      </c>
      <c r="AK452" s="31">
        <f t="shared" si="254"/>
        <v>3.4324035077336075</v>
      </c>
      <c r="AL452" s="31">
        <f t="shared" si="255"/>
        <v>1.2751679365922399</v>
      </c>
      <c r="AM452" s="31" t="str">
        <f t="shared" si="240"/>
        <v>1+1596.74833405109i</v>
      </c>
      <c r="AN452" s="31">
        <f t="shared" si="256"/>
        <v>1596.7486471874438</v>
      </c>
      <c r="AO452" s="31">
        <f t="shared" si="257"/>
        <v>1.5701700541081272</v>
      </c>
      <c r="AP452" s="58" t="str">
        <f t="shared" si="258"/>
        <v>-0.00416276742074477+0.0136992382241751i</v>
      </c>
      <c r="AQ452" s="49">
        <f t="shared" si="259"/>
        <v>-36.882508833261355</v>
      </c>
      <c r="AR452" s="61">
        <f t="shared" si="260"/>
        <v>106.90237628108268</v>
      </c>
      <c r="AS452" s="58" t="str">
        <f t="shared" si="261"/>
        <v>-0.00181479254640085-0.000407202995155023i</v>
      </c>
      <c r="AT452" s="64">
        <f t="shared" si="262"/>
        <v>-54.610134974002108</v>
      </c>
      <c r="AU452" s="61">
        <f t="shared" si="263"/>
        <v>-167.35343736322008</v>
      </c>
    </row>
    <row r="453" spans="14:47" x14ac:dyDescent="0.4">
      <c r="N453" s="10">
        <v>35</v>
      </c>
      <c r="O453" s="50">
        <f t="shared" si="264"/>
        <v>223872.11385683404</v>
      </c>
      <c r="P453" s="48" t="str">
        <f t="shared" si="232"/>
        <v>5120.19230769231</v>
      </c>
      <c r="Q453" s="17" t="str">
        <f t="shared" si="233"/>
        <v>1+6573.29008236188i</v>
      </c>
      <c r="R453" s="17">
        <f t="shared" si="241"/>
        <v>6573.2901584272895</v>
      </c>
      <c r="S453" s="17">
        <f t="shared" si="242"/>
        <v>1.5706441959776414</v>
      </c>
      <c r="T453" s="17" t="str">
        <f t="shared" si="234"/>
        <v>1+0.0140522334649603i</v>
      </c>
      <c r="U453" s="17">
        <f t="shared" si="243"/>
        <v>1.0000987277590916</v>
      </c>
      <c r="V453" s="17">
        <f t="shared" si="244"/>
        <v>1.4051308631861286E-2</v>
      </c>
      <c r="W453" s="31" t="str">
        <f t="shared" si="235"/>
        <v>1-22.7874056188545i</v>
      </c>
      <c r="X453" s="17">
        <f t="shared" si="245"/>
        <v>22.809337010053614</v>
      </c>
      <c r="Y453" s="17">
        <f t="shared" si="246"/>
        <v>-1.5269405748281002</v>
      </c>
      <c r="Z453" s="31" t="str">
        <f t="shared" si="236"/>
        <v>-19.0474893450911+138.740473102555i</v>
      </c>
      <c r="AA453" s="17">
        <f t="shared" si="247"/>
        <v>140.04187133522652</v>
      </c>
      <c r="AB453" s="17">
        <f t="shared" si="248"/>
        <v>1.7072320344952516</v>
      </c>
      <c r="AC453" s="66" t="str">
        <f t="shared" si="249"/>
        <v>0.00993441570816788+0.126492805164415i</v>
      </c>
      <c r="AD453" s="64">
        <f t="shared" si="250"/>
        <v>-17.931977984149562</v>
      </c>
      <c r="AE453" s="61">
        <f t="shared" si="251"/>
        <v>85.509356403963139</v>
      </c>
      <c r="AF453" s="31" t="str">
        <f t="shared" si="237"/>
        <v>-1.39902068552014E-06</v>
      </c>
      <c r="AG453" s="31" t="str">
        <f t="shared" si="238"/>
        <v>0.0465144400619925i</v>
      </c>
      <c r="AH453" s="31">
        <f t="shared" si="252"/>
        <v>4.6514440061992499E-2</v>
      </c>
      <c r="AI453" s="31">
        <f t="shared" si="253"/>
        <v>1.5707963267948966</v>
      </c>
      <c r="AJ453" s="31" t="str">
        <f t="shared" si="239"/>
        <v>1+3.35998590436649i</v>
      </c>
      <c r="AK453" s="31">
        <f t="shared" si="254"/>
        <v>3.5056390683499488</v>
      </c>
      <c r="AL453" s="31">
        <f t="shared" si="255"/>
        <v>1.2815241742250865</v>
      </c>
      <c r="AM453" s="31" t="str">
        <f t="shared" si="240"/>
        <v>1+1633.94138067046i</v>
      </c>
      <c r="AN453" s="31">
        <f t="shared" si="256"/>
        <v>1633.9416866789613</v>
      </c>
      <c r="AO453" s="31">
        <f t="shared" si="257"/>
        <v>1.5701843098113162</v>
      </c>
      <c r="AP453" s="58" t="str">
        <f t="shared" si="258"/>
        <v>-0.00399065717782239+0.0134386289928778i</v>
      </c>
      <c r="AQ453" s="49">
        <f t="shared" si="259"/>
        <v>-37.065886171574313</v>
      </c>
      <c r="AR453" s="61">
        <f t="shared" si="260"/>
        <v>106.53900748276499</v>
      </c>
      <c r="AS453" s="58" t="str">
        <f t="shared" si="261"/>
        <v>-0.00173953472622622-0.000371284493909176i</v>
      </c>
      <c r="AT453" s="64">
        <f t="shared" si="262"/>
        <v>-54.997864155723882</v>
      </c>
      <c r="AU453" s="61">
        <f t="shared" si="263"/>
        <v>-167.95163611327186</v>
      </c>
    </row>
    <row r="454" spans="14:47" x14ac:dyDescent="0.4">
      <c r="N454" s="10">
        <v>36</v>
      </c>
      <c r="O454" s="50">
        <f t="shared" si="264"/>
        <v>229086.76527677779</v>
      </c>
      <c r="P454" s="48" t="str">
        <f t="shared" si="232"/>
        <v>5120.19230769231</v>
      </c>
      <c r="Q454" s="17" t="str">
        <f t="shared" si="233"/>
        <v>1+6726.40167750949i</v>
      </c>
      <c r="R454" s="17">
        <f t="shared" si="241"/>
        <v>6726.4017518434375</v>
      </c>
      <c r="S454" s="17">
        <f t="shared" si="242"/>
        <v>1.5706476588977687</v>
      </c>
      <c r="T454" s="17" t="str">
        <f t="shared" si="234"/>
        <v>1+0.0143795520305869i</v>
      </c>
      <c r="U454" s="17">
        <f t="shared" si="243"/>
        <v>1.0001033804145452</v>
      </c>
      <c r="V454" s="17">
        <f t="shared" si="244"/>
        <v>1.4378561059599606E-2</v>
      </c>
      <c r="W454" s="31" t="str">
        <f t="shared" si="235"/>
        <v>1-23.3181924820329i</v>
      </c>
      <c r="X454" s="17">
        <f t="shared" si="245"/>
        <v>23.339625117579235</v>
      </c>
      <c r="Y454" s="17">
        <f t="shared" si="246"/>
        <v>-1.5279376173936416</v>
      </c>
      <c r="Z454" s="31" t="str">
        <f t="shared" si="236"/>
        <v>-19.9922984099911+141.97215387156i</v>
      </c>
      <c r="AA454" s="17">
        <f t="shared" si="247"/>
        <v>143.37288610697647</v>
      </c>
      <c r="AB454" s="17">
        <f t="shared" si="248"/>
        <v>1.7106948929898136</v>
      </c>
      <c r="AC454" s="66" t="str">
        <f t="shared" si="249"/>
        <v>0.0102141614067108+0.123508009287711i</v>
      </c>
      <c r="AD454" s="64">
        <f t="shared" si="250"/>
        <v>-18.136495733860997</v>
      </c>
      <c r="AE454" s="61">
        <f t="shared" si="251"/>
        <v>85.272374668409967</v>
      </c>
      <c r="AF454" s="31" t="str">
        <f t="shared" si="237"/>
        <v>-1.39902068552014E-06</v>
      </c>
      <c r="AG454" s="31" t="str">
        <f t="shared" si="238"/>
        <v>0.0475979005553001i</v>
      </c>
      <c r="AH454" s="31">
        <f t="shared" si="252"/>
        <v>4.7597900555300103E-2</v>
      </c>
      <c r="AI454" s="31">
        <f t="shared" si="253"/>
        <v>1.5707963267948966</v>
      </c>
      <c r="AJ454" s="31" t="str">
        <f t="shared" si="239"/>
        <v>1+3.43825003010034i</v>
      </c>
      <c r="AK454" s="31">
        <f t="shared" si="254"/>
        <v>3.5807210544085937</v>
      </c>
      <c r="AL454" s="31">
        <f t="shared" si="255"/>
        <v>1.2877590508180969</v>
      </c>
      <c r="AM454" s="31" t="str">
        <f t="shared" si="240"/>
        <v>1+1672.00076463762i</v>
      </c>
      <c r="AN454" s="31">
        <f t="shared" si="256"/>
        <v>1672.0010636805184</v>
      </c>
      <c r="AO454" s="31">
        <f t="shared" si="257"/>
        <v>1.5701982410153239</v>
      </c>
      <c r="AP454" s="58" t="str">
        <f t="shared" si="258"/>
        <v>-0.0038250563848504+0.0131808927176042i</v>
      </c>
      <c r="AQ454" s="49">
        <f t="shared" si="259"/>
        <v>-37.249952038413653</v>
      </c>
      <c r="AR454" s="61">
        <f t="shared" si="260"/>
        <v>106.18257356739377</v>
      </c>
      <c r="AS454" s="58" t="str">
        <f t="shared" si="261"/>
        <v>-0.00166701556349081-0.000337793333803973i</v>
      </c>
      <c r="AT454" s="64">
        <f t="shared" si="262"/>
        <v>-55.386447772274671</v>
      </c>
      <c r="AU454" s="61">
        <f t="shared" si="263"/>
        <v>-168.54505176419624</v>
      </c>
    </row>
    <row r="455" spans="14:47" x14ac:dyDescent="0.4">
      <c r="N455" s="10">
        <v>37</v>
      </c>
      <c r="O455" s="50">
        <f t="shared" si="264"/>
        <v>234422.88153199267</v>
      </c>
      <c r="P455" s="48" t="str">
        <f t="shared" si="232"/>
        <v>5120.19230769231</v>
      </c>
      <c r="Q455" s="17" t="str">
        <f t="shared" si="233"/>
        <v>1+6883.07969986097i</v>
      </c>
      <c r="R455" s="17">
        <f t="shared" si="241"/>
        <v>6883.0797725028715</v>
      </c>
      <c r="S455" s="17">
        <f t="shared" si="242"/>
        <v>1.5706510429922138</v>
      </c>
      <c r="T455" s="17" t="str">
        <f t="shared" si="234"/>
        <v>1+0.0147144948250361i</v>
      </c>
      <c r="U455" s="17">
        <f t="shared" si="243"/>
        <v>1.0001082523196956</v>
      </c>
      <c r="V455" s="17">
        <f t="shared" si="244"/>
        <v>1.4713432986699682E-2</v>
      </c>
      <c r="W455" s="31" t="str">
        <f t="shared" si="235"/>
        <v>1-23.861342959518i</v>
      </c>
      <c r="X455" s="17">
        <f t="shared" si="245"/>
        <v>23.882288161558964</v>
      </c>
      <c r="Y455" s="17">
        <f t="shared" si="246"/>
        <v>-1.5289120468952544</v>
      </c>
      <c r="Z455" s="31" t="str">
        <f t="shared" si="236"/>
        <v>-20.9816349543052+145.279110155773i</v>
      </c>
      <c r="AA455" s="17">
        <f t="shared" si="247"/>
        <v>146.7864055456395</v>
      </c>
      <c r="AB455" s="17">
        <f t="shared" si="248"/>
        <v>1.7142275166312393</v>
      </c>
      <c r="AC455" s="66" t="str">
        <f t="shared" si="249"/>
        <v>0.0104798834172848+0.120588725149929i</v>
      </c>
      <c r="AD455" s="64">
        <f t="shared" si="250"/>
        <v>-18.341188416274335</v>
      </c>
      <c r="AE455" s="61">
        <f t="shared" si="251"/>
        <v>85.033132399043794</v>
      </c>
      <c r="AF455" s="31" t="str">
        <f t="shared" si="237"/>
        <v>-1.39902068552014E-06</v>
      </c>
      <c r="AG455" s="31" t="str">
        <f t="shared" si="238"/>
        <v>0.0487065980855148i</v>
      </c>
      <c r="AH455" s="31">
        <f t="shared" si="252"/>
        <v>4.87065980855148E-2</v>
      </c>
      <c r="AI455" s="31">
        <f t="shared" si="253"/>
        <v>1.5707963267948966</v>
      </c>
      <c r="AJ455" s="31" t="str">
        <f t="shared" si="239"/>
        <v>1+3.51833716151077i</v>
      </c>
      <c r="AK455" s="31">
        <f t="shared" si="254"/>
        <v>3.6576900336233606</v>
      </c>
      <c r="AL455" s="31">
        <f t="shared" si="255"/>
        <v>1.2938739324674837</v>
      </c>
      <c r="AM455" s="31" t="str">
        <f t="shared" si="240"/>
        <v>1+1710.94666554174i</v>
      </c>
      <c r="AN455" s="31">
        <f t="shared" si="256"/>
        <v>1710.9469577775924</v>
      </c>
      <c r="AO455" s="31">
        <f t="shared" si="257"/>
        <v>1.5702118551066373</v>
      </c>
      <c r="AP455" s="58" t="str">
        <f t="shared" si="258"/>
        <v>-0.00366576840128034+0.0129261326242803i</v>
      </c>
      <c r="AQ455" s="49">
        <f t="shared" si="259"/>
        <v>-37.434680289663433</v>
      </c>
      <c r="AR455" s="61">
        <f t="shared" si="260"/>
        <v>105.83299668663615</v>
      </c>
      <c r="AS455" s="58" t="str">
        <f t="shared" si="261"/>
        <v>-0.00159716267976105-0.00030658597526647i</v>
      </c>
      <c r="AT455" s="64">
        <f t="shared" si="262"/>
        <v>-55.775868705937775</v>
      </c>
      <c r="AU455" s="61">
        <f t="shared" si="263"/>
        <v>-169.13387091432006</v>
      </c>
    </row>
    <row r="456" spans="14:47" x14ac:dyDescent="0.4">
      <c r="N456" s="10">
        <v>38</v>
      </c>
      <c r="O456" s="50">
        <f t="shared" si="264"/>
        <v>239883.29190194907</v>
      </c>
      <c r="P456" s="48" t="str">
        <f t="shared" si="232"/>
        <v>5120.19230769231</v>
      </c>
      <c r="Q456" s="17" t="str">
        <f t="shared" si="233"/>
        <v>1+7043.40722217763i</v>
      </c>
      <c r="R456" s="17">
        <f t="shared" si="241"/>
        <v>7043.4072931660003</v>
      </c>
      <c r="S456" s="17">
        <f t="shared" si="242"/>
        <v>1.5706543500552681</v>
      </c>
      <c r="T456" s="17" t="str">
        <f t="shared" si="234"/>
        <v>1+0.0150572394394109i</v>
      </c>
      <c r="U456" s="17">
        <f t="shared" si="243"/>
        <v>1.0001133538052251</v>
      </c>
      <c r="V456" s="17">
        <f t="shared" si="244"/>
        <v>1.5056101666099102E-2</v>
      </c>
      <c r="W456" s="31" t="str">
        <f t="shared" si="235"/>
        <v>1-24.4171450368824i</v>
      </c>
      <c r="X456" s="17">
        <f t="shared" si="245"/>
        <v>24.437613871901462</v>
      </c>
      <c r="Y456" s="17">
        <f t="shared" si="246"/>
        <v>-1.529864372582274</v>
      </c>
      <c r="Z456" s="31" t="str">
        <f t="shared" si="236"/>
        <v>-22.0175974934864+148.663095347186i</v>
      </c>
      <c r="AA456" s="17">
        <f t="shared" si="247"/>
        <v>150.2846982150601</v>
      </c>
      <c r="AB456" s="17">
        <f t="shared" si="248"/>
        <v>1.717831471508136</v>
      </c>
      <c r="AC456" s="66" t="str">
        <f t="shared" si="249"/>
        <v>0.0107321497405066+0.11773343249514i</v>
      </c>
      <c r="AD456" s="64">
        <f t="shared" si="250"/>
        <v>-18.54606537758556</v>
      </c>
      <c r="AE456" s="61">
        <f t="shared" si="251"/>
        <v>84.791520740799172</v>
      </c>
      <c r="AF456" s="31" t="str">
        <f t="shared" si="237"/>
        <v>-1.39902068552014E-06</v>
      </c>
      <c r="AG456" s="31" t="str">
        <f t="shared" si="238"/>
        <v>0.0498411204987424i</v>
      </c>
      <c r="AH456" s="31">
        <f t="shared" si="252"/>
        <v>4.9841120498742397E-2</v>
      </c>
      <c r="AI456" s="31">
        <f t="shared" si="253"/>
        <v>1.5707963267948966</v>
      </c>
      <c r="AJ456" s="31" t="str">
        <f t="shared" si="239"/>
        <v>1+3.60028976185492i</v>
      </c>
      <c r="AK456" s="31">
        <f t="shared" si="254"/>
        <v>3.7365875299954312</v>
      </c>
      <c r="AL456" s="31">
        <f t="shared" si="255"/>
        <v>1.2998702314854462</v>
      </c>
      <c r="AM456" s="31" t="str">
        <f t="shared" si="240"/>
        <v>1+1750.79973301498i</v>
      </c>
      <c r="AN456" s="31">
        <f t="shared" si="256"/>
        <v>1750.8000185987332</v>
      </c>
      <c r="AO456" s="31">
        <f t="shared" si="257"/>
        <v>1.5702251593036074</v>
      </c>
      <c r="AP456" s="58" t="str">
        <f t="shared" si="258"/>
        <v>-0.00351259841476721+0.0126744417176092i</v>
      </c>
      <c r="AQ456" s="49">
        <f t="shared" si="259"/>
        <v>-37.620045579513935</v>
      </c>
      <c r="AR456" s="61">
        <f t="shared" si="260"/>
        <v>105.49019633454459</v>
      </c>
      <c r="AS456" s="58" t="str">
        <f t="shared" si="261"/>
        <v>-0.00152990326053928-0.000277526261956826i</v>
      </c>
      <c r="AT456" s="64">
        <f t="shared" si="262"/>
        <v>-56.166110957099484</v>
      </c>
      <c r="AU456" s="61">
        <f t="shared" si="263"/>
        <v>-169.71828292465622</v>
      </c>
    </row>
    <row r="457" spans="14:47" x14ac:dyDescent="0.4">
      <c r="N457" s="10">
        <v>39</v>
      </c>
      <c r="O457" s="50">
        <f t="shared" si="264"/>
        <v>245470.89156850305</v>
      </c>
      <c r="P457" s="48" t="str">
        <f t="shared" si="232"/>
        <v>5120.19230769231</v>
      </c>
      <c r="Q457" s="17" t="str">
        <f t="shared" si="233"/>
        <v>1+7207.46925223401i</v>
      </c>
      <c r="R457" s="17">
        <f t="shared" si="241"/>
        <v>7207.469321606487</v>
      </c>
      <c r="S457" s="17">
        <f t="shared" si="242"/>
        <v>1.5706575818403796</v>
      </c>
      <c r="T457" s="17" t="str">
        <f t="shared" si="234"/>
        <v>1+0.0154079676014425i</v>
      </c>
      <c r="U457" s="17">
        <f t="shared" si="243"/>
        <v>1.0001186956884702</v>
      </c>
      <c r="V457" s="17">
        <f t="shared" si="244"/>
        <v>1.5406748463188347E-2</v>
      </c>
      <c r="W457" s="31" t="str">
        <f t="shared" si="235"/>
        <v>1-24.9858934077445i</v>
      </c>
      <c r="X457" s="17">
        <f t="shared" si="245"/>
        <v>25.005896692243816</v>
      </c>
      <c r="Y457" s="17">
        <f t="shared" si="246"/>
        <v>-1.5307950924769498</v>
      </c>
      <c r="Z457" s="31" t="str">
        <f t="shared" si="236"/>
        <v>-23.1023834429743+152.12590367954i</v>
      </c>
      <c r="AA457" s="17">
        <f t="shared" si="247"/>
        <v>153.87010980389562</v>
      </c>
      <c r="AB457" s="17">
        <f t="shared" si="248"/>
        <v>1.7215083405997151</v>
      </c>
      <c r="AC457" s="66" t="str">
        <f t="shared" si="249"/>
        <v>0.0109715002694+0.11494064512356i</v>
      </c>
      <c r="AD457" s="64">
        <f t="shared" si="250"/>
        <v>-18.751136298823099</v>
      </c>
      <c r="AE457" s="61">
        <f t="shared" si="251"/>
        <v>84.54743075208161</v>
      </c>
      <c r="AF457" s="31" t="str">
        <f t="shared" si="237"/>
        <v>-1.39902068552014E-06</v>
      </c>
      <c r="AG457" s="31" t="str">
        <f t="shared" si="238"/>
        <v>0.0510020693337838i</v>
      </c>
      <c r="AH457" s="31">
        <f t="shared" si="252"/>
        <v>5.1002069333783803E-2</v>
      </c>
      <c r="AI457" s="31">
        <f t="shared" si="253"/>
        <v>1.5707963267948966</v>
      </c>
      <c r="AJ457" s="31" t="str">
        <f t="shared" si="239"/>
        <v>1+3.68415128348628i</v>
      </c>
      <c r="AK457" s="31">
        <f t="shared" si="254"/>
        <v>3.8174560481574118</v>
      </c>
      <c r="AL457" s="31">
        <f t="shared" si="255"/>
        <v>1.3057494017041782</v>
      </c>
      <c r="AM457" s="31" t="str">
        <f t="shared" si="240"/>
        <v>1+1791.58109768124i</v>
      </c>
      <c r="AN457" s="31">
        <f t="shared" si="256"/>
        <v>1791.5813767643144</v>
      </c>
      <c r="AO457" s="31">
        <f t="shared" si="257"/>
        <v>1.5702381606602771</v>
      </c>
      <c r="AP457" s="58" t="str">
        <f t="shared" si="258"/>
        <v>-0.00336535381329728+0.0124259032357881i</v>
      </c>
      <c r="AQ457" s="49">
        <f t="shared" si="259"/>
        <v>-37.80602335223395</v>
      </c>
      <c r="AR457" s="61">
        <f t="shared" si="260"/>
        <v>105.15408961683744</v>
      </c>
      <c r="AS457" s="58" t="str">
        <f t="shared" si="261"/>
        <v>-0.00146516431443363-0.000250485137670435i</v>
      </c>
      <c r="AT457" s="64">
        <f t="shared" si="262"/>
        <v>-56.557159651057063</v>
      </c>
      <c r="AU457" s="61">
        <f t="shared" si="263"/>
        <v>-170.29847963108094</v>
      </c>
    </row>
    <row r="458" spans="14:47" x14ac:dyDescent="0.4">
      <c r="N458" s="10">
        <v>40</v>
      </c>
      <c r="O458" s="50">
        <f t="shared" si="264"/>
        <v>251188.64315095844</v>
      </c>
      <c r="P458" s="48" t="str">
        <f t="shared" si="232"/>
        <v>5120.19230769231</v>
      </c>
      <c r="Q458" s="17" t="str">
        <f t="shared" si="233"/>
        <v>1+7375.35277789009i</v>
      </c>
      <c r="R458" s="17">
        <f t="shared" si="241"/>
        <v>7375.3528456834565</v>
      </c>
      <c r="S458" s="17">
        <f t="shared" si="242"/>
        <v>1.5706607400610837</v>
      </c>
      <c r="T458" s="17" t="str">
        <f t="shared" si="234"/>
        <v>1+0.0157668652718451i</v>
      </c>
      <c r="U458" s="17">
        <f t="shared" si="243"/>
        <v>1.0001242892963358</v>
      </c>
      <c r="V458" s="17">
        <f t="shared" si="244"/>
        <v>1.5765558950437811E-2</v>
      </c>
      <c r="W458" s="31" t="str">
        <f t="shared" si="235"/>
        <v>1-25.567889630019i</v>
      </c>
      <c r="X458" s="17">
        <f t="shared" si="245"/>
        <v>25.587437936081706</v>
      </c>
      <c r="Y458" s="17">
        <f t="shared" si="246"/>
        <v>-1.5317046936058012</v>
      </c>
      <c r="Z458" s="31" t="str">
        <f t="shared" si="236"/>
        <v>-24.2382937792079+155.669371179651i</v>
      </c>
      <c r="AA458" s="17">
        <f t="shared" si="247"/>
        <v>157.5450665961811</v>
      </c>
      <c r="AB458" s="17">
        <f t="shared" si="248"/>
        <v>1.7252597232373428</v>
      </c>
      <c r="AC458" s="66" t="str">
        <f t="shared" si="249"/>
        <v>0.0111984479706156+0.112208910220764i</v>
      </c>
      <c r="AD458" s="64">
        <f t="shared" si="250"/>
        <v>-18.956411211169673</v>
      </c>
      <c r="AE458" s="61">
        <f t="shared" si="251"/>
        <v>84.300753427730754</v>
      </c>
      <c r="AF458" s="31" t="str">
        <f t="shared" si="237"/>
        <v>-1.39902068552014E-06</v>
      </c>
      <c r="AG458" s="31" t="str">
        <f t="shared" si="238"/>
        <v>0.0521900601410782i</v>
      </c>
      <c r="AH458" s="31">
        <f t="shared" si="252"/>
        <v>5.2190060141078201E-2</v>
      </c>
      <c r="AI458" s="31">
        <f t="shared" si="253"/>
        <v>1.5707963267948966</v>
      </c>
      <c r="AJ458" s="31" t="str">
        <f t="shared" si="239"/>
        <v>1+3.76996619089367i</v>
      </c>
      <c r="AK458" s="31">
        <f t="shared" si="254"/>
        <v>3.9003390981402277</v>
      </c>
      <c r="AL458" s="31">
        <f t="shared" si="255"/>
        <v>1.3115129339934215</v>
      </c>
      <c r="AM458" s="31" t="str">
        <f t="shared" si="240"/>
        <v>1+1833.31238235988i</v>
      </c>
      <c r="AN458" s="31">
        <f t="shared" si="256"/>
        <v>1833.3126550902491</v>
      </c>
      <c r="AO458" s="31">
        <f t="shared" si="257"/>
        <v>1.5702508660701198</v>
      </c>
      <c r="AP458" s="58" t="str">
        <f t="shared" si="258"/>
        <v>-0.00322384451804718+0.0121805911047096i</v>
      </c>
      <c r="AQ458" s="49">
        <f t="shared" si="259"/>
        <v>-37.992589832506106</v>
      </c>
      <c r="AR458" s="61">
        <f t="shared" si="260"/>
        <v>104.82459150793733</v>
      </c>
      <c r="AS458" s="58" t="str">
        <f t="shared" si="261"/>
        <v>-0.0014028729088049-0.000225340364353825i</v>
      </c>
      <c r="AT458" s="64">
        <f t="shared" si="262"/>
        <v>-56.949001043675779</v>
      </c>
      <c r="AU458" s="61">
        <f t="shared" si="263"/>
        <v>-170.8746550643319</v>
      </c>
    </row>
    <row r="459" spans="14:47" x14ac:dyDescent="0.4">
      <c r="N459" s="10">
        <v>41</v>
      </c>
      <c r="O459" s="50">
        <f t="shared" si="264"/>
        <v>257039.57827688678</v>
      </c>
      <c r="P459" s="48" t="str">
        <f t="shared" si="232"/>
        <v>5120.19230769231</v>
      </c>
      <c r="Q459" s="17" t="str">
        <f t="shared" si="233"/>
        <v>1+7547.14681321331i</v>
      </c>
      <c r="R459" s="17">
        <f t="shared" si="241"/>
        <v>7547.1468794635121</v>
      </c>
      <c r="S459" s="17">
        <f t="shared" si="242"/>
        <v>1.5706638263919104</v>
      </c>
      <c r="T459" s="17" t="str">
        <f t="shared" si="234"/>
        <v>1+0.0161341227429138i</v>
      </c>
      <c r="U459" s="17">
        <f t="shared" si="243"/>
        <v>1.0001301464892873</v>
      </c>
      <c r="V459" s="17">
        <f t="shared" si="244"/>
        <v>1.6132723004144506E-2</v>
      </c>
      <c r="W459" s="31" t="str">
        <f t="shared" si="235"/>
        <v>1-26.1634422858061i</v>
      </c>
      <c r="X459" s="17">
        <f t="shared" si="245"/>
        <v>26.182545946540543</v>
      </c>
      <c r="Y459" s="17">
        <f t="shared" si="246"/>
        <v>-1.5325936522273078</v>
      </c>
      <c r="Z459" s="31" t="str">
        <f t="shared" si="236"/>
        <v>-25.4277379203039+159.295376640888i</v>
      </c>
      <c r="AA459" s="17">
        <f t="shared" si="247"/>
        <v>161.31207913515351</v>
      </c>
      <c r="AB459" s="17">
        <f t="shared" si="248"/>
        <v>1.7290872344900015</v>
      </c>
      <c r="AC459" s="66" t="str">
        <f t="shared" si="249"/>
        <v>0.0114134800118551+0.109536807704043i</v>
      </c>
      <c r="AD459" s="64">
        <f t="shared" si="250"/>
        <v>-19.161900511568128</v>
      </c>
      <c r="AE459" s="61">
        <f t="shared" si="251"/>
        <v>84.051379726676188</v>
      </c>
      <c r="AF459" s="31" t="str">
        <f t="shared" si="237"/>
        <v>-1.39902068552014E-06</v>
      </c>
      <c r="AG459" s="31" t="str">
        <f t="shared" si="238"/>
        <v>0.0534057228090764i</v>
      </c>
      <c r="AH459" s="31">
        <f t="shared" si="252"/>
        <v>5.3405722809076399E-2</v>
      </c>
      <c r="AI459" s="31">
        <f t="shared" si="253"/>
        <v>1.5707963267948966</v>
      </c>
      <c r="AJ459" s="31" t="str">
        <f t="shared" si="239"/>
        <v>1+3.85777998427685i</v>
      </c>
      <c r="AK459" s="31">
        <f t="shared" si="254"/>
        <v>3.9852812205774253</v>
      </c>
      <c r="AL459" s="31">
        <f t="shared" si="255"/>
        <v>1.3171623519907745</v>
      </c>
      <c r="AM459" s="31" t="str">
        <f t="shared" si="240"/>
        <v>1+1876.0157135304i</v>
      </c>
      <c r="AN459" s="31">
        <f t="shared" si="256"/>
        <v>1876.0159800526692</v>
      </c>
      <c r="AO459" s="31">
        <f t="shared" si="257"/>
        <v>1.570263282269696</v>
      </c>
      <c r="AP459" s="58" t="str">
        <f t="shared" si="258"/>
        <v>-0.00308788327899896+0.0119385703893471i</v>
      </c>
      <c r="AQ459" s="49">
        <f t="shared" si="259"/>
        <v>-38.179722014481918</v>
      </c>
      <c r="AR459" s="61">
        <f t="shared" si="260"/>
        <v>104.50161509581702</v>
      </c>
      <c r="AS459" s="58" t="str">
        <f t="shared" si="261"/>
        <v>-0.00134295638308289-0.000201976242435301i</v>
      </c>
      <c r="AT459" s="64">
        <f t="shared" si="262"/>
        <v>-57.34162252605006</v>
      </c>
      <c r="AU459" s="61">
        <f t="shared" si="263"/>
        <v>-171.44700517750678</v>
      </c>
    </row>
    <row r="460" spans="14:47" x14ac:dyDescent="0.4">
      <c r="N460" s="10">
        <v>42</v>
      </c>
      <c r="O460" s="50">
        <f t="shared" si="264"/>
        <v>263026.79918953858</v>
      </c>
      <c r="P460" s="48" t="str">
        <f t="shared" si="232"/>
        <v>5120.19230769231</v>
      </c>
      <c r="Q460" s="17" t="str">
        <f t="shared" si="233"/>
        <v>1+7722.94244567519i</v>
      </c>
      <c r="R460" s="17">
        <f t="shared" si="241"/>
        <v>7722.9425104173533</v>
      </c>
      <c r="S460" s="17">
        <f t="shared" si="242"/>
        <v>1.5706668424692727</v>
      </c>
      <c r="T460" s="17" t="str">
        <f t="shared" si="234"/>
        <v>1+0.0165099347394212i</v>
      </c>
      <c r="U460" s="17">
        <f t="shared" si="243"/>
        <v>1.0001362796864735</v>
      </c>
      <c r="V460" s="17">
        <f t="shared" si="244"/>
        <v>1.6508434903345231E-2</v>
      </c>
      <c r="W460" s="31" t="str">
        <f t="shared" si="235"/>
        <v>1-26.7728671450073i</v>
      </c>
      <c r="X460" s="17">
        <f t="shared" si="245"/>
        <v>26.791536259875269</v>
      </c>
      <c r="Y460" s="17">
        <f t="shared" si="246"/>
        <v>-1.5334624340559138</v>
      </c>
      <c r="Z460" s="31" t="str">
        <f t="shared" si="236"/>
        <v>-26.6732388367575+163.005842619344i</v>
      </c>
      <c r="AA460" s="17">
        <f t="shared" si="247"/>
        <v>165.17374609206229</v>
      </c>
      <c r="AB460" s="17">
        <f t="shared" si="248"/>
        <v>1.732992504468825</v>
      </c>
      <c r="AC460" s="66" t="str">
        <f t="shared" si="249"/>
        <v>0.0116170588381369+0.106922949585963i</v>
      </c>
      <c r="AD460" s="64">
        <f t="shared" si="250"/>
        <v>-19.367614978602006</v>
      </c>
      <c r="AE460" s="61">
        <f t="shared" si="251"/>
        <v>83.799200604567233</v>
      </c>
      <c r="AF460" s="31" t="str">
        <f t="shared" si="237"/>
        <v>-1.39902068552014E-06</v>
      </c>
      <c r="AG460" s="31" t="str">
        <f t="shared" si="238"/>
        <v>0.0546497018982163i</v>
      </c>
      <c r="AH460" s="31">
        <f t="shared" si="252"/>
        <v>5.4649701898216302E-2</v>
      </c>
      <c r="AI460" s="31">
        <f t="shared" si="253"/>
        <v>1.5707963267948966</v>
      </c>
      <c r="AJ460" s="31" t="str">
        <f t="shared" si="239"/>
        <v>1+3.94763922367145i</v>
      </c>
      <c r="AK460" s="31">
        <f t="shared" si="254"/>
        <v>4.0723280123621342</v>
      </c>
      <c r="AL460" s="31">
        <f t="shared" si="255"/>
        <v>1.3226992080429589</v>
      </c>
      <c r="AM460" s="31" t="str">
        <f t="shared" si="240"/>
        <v>1+1919.71373306423i</v>
      </c>
      <c r="AN460" s="31">
        <f t="shared" si="256"/>
        <v>1919.7139935197122</v>
      </c>
      <c r="AO460" s="31">
        <f t="shared" si="257"/>
        <v>1.5702754158422232</v>
      </c>
      <c r="AP460" s="58" t="str">
        <f t="shared" si="258"/>
        <v>-0.00295728593536935+0.0116998977402948i</v>
      </c>
      <c r="AQ460" s="49">
        <f t="shared" si="259"/>
        <v>-38.367397649703406</v>
      </c>
      <c r="AR460" s="61">
        <f t="shared" si="260"/>
        <v>104.18507181475175</v>
      </c>
      <c r="AS460" s="58" t="str">
        <f t="shared" si="261"/>
        <v>-0.00128534254095884-0.000180283334529585i</v>
      </c>
      <c r="AT460" s="64">
        <f t="shared" si="262"/>
        <v>-57.735012628305441</v>
      </c>
      <c r="AU460" s="61">
        <f t="shared" si="263"/>
        <v>-172.01572758068099</v>
      </c>
    </row>
    <row r="461" spans="14:47" x14ac:dyDescent="0.4">
      <c r="N461" s="10">
        <v>43</v>
      </c>
      <c r="O461" s="50">
        <f t="shared" si="264"/>
        <v>269153.48039269145</v>
      </c>
      <c r="P461" s="48" t="str">
        <f t="shared" si="232"/>
        <v>5120.19230769231</v>
      </c>
      <c r="Q461" s="17" t="str">
        <f t="shared" si="233"/>
        <v>1+7902.83288444703i</v>
      </c>
      <c r="R461" s="17">
        <f t="shared" si="241"/>
        <v>7902.8329477154803</v>
      </c>
      <c r="S461" s="17">
        <f t="shared" si="242"/>
        <v>1.5706697898923347</v>
      </c>
      <c r="T461" s="17" t="str">
        <f t="shared" si="234"/>
        <v>1+0.0168945005218623i</v>
      </c>
      <c r="U461" s="17">
        <f t="shared" si="243"/>
        <v>1.0001427018920266</v>
      </c>
      <c r="V461" s="17">
        <f t="shared" si="244"/>
        <v>1.6892893430936404E-2</v>
      </c>
      <c r="W461" s="31" t="str">
        <f t="shared" si="235"/>
        <v>1-27.3964873327497i</v>
      </c>
      <c r="X461" s="17">
        <f t="shared" si="245"/>
        <v>27.414731772780755</v>
      </c>
      <c r="Y461" s="17">
        <f t="shared" si="246"/>
        <v>-1.5343114944823237</v>
      </c>
      <c r="Z461" s="31" t="str">
        <f t="shared" si="236"/>
        <v>-27.9774384029997+166.802736453195i</v>
      </c>
      <c r="AA461" s="17">
        <f t="shared" si="247"/>
        <v>169.13275835233006</v>
      </c>
      <c r="AB461" s="17">
        <f t="shared" si="248"/>
        <v>1.7369771775456533</v>
      </c>
      <c r="AC461" s="66" t="str">
        <f t="shared" si="249"/>
        <v>0.0118096231994459+0.1043659793551i</v>
      </c>
      <c r="AD461" s="64">
        <f t="shared" si="250"/>
        <v>-19.573565788644519</v>
      </c>
      <c r="AE461" s="61">
        <f t="shared" si="251"/>
        <v>83.544107051667496</v>
      </c>
      <c r="AF461" s="31" t="str">
        <f t="shared" si="237"/>
        <v>-1.39902068552014E-06</v>
      </c>
      <c r="AG461" s="31" t="str">
        <f t="shared" si="238"/>
        <v>0.0559226569826769i</v>
      </c>
      <c r="AH461" s="31">
        <f t="shared" si="252"/>
        <v>5.5922656982676899E-2</v>
      </c>
      <c r="AI461" s="31">
        <f t="shared" si="253"/>
        <v>1.5707963267948966</v>
      </c>
      <c r="AJ461" s="31" t="str">
        <f t="shared" si="239"/>
        <v>1+4.03959155363564i</v>
      </c>
      <c r="AK461" s="31">
        <f t="shared" si="254"/>
        <v>4.1615261527718896</v>
      </c>
      <c r="AL461" s="31">
        <f t="shared" si="255"/>
        <v>1.3281250793553165</v>
      </c>
      <c r="AM461" s="31" t="str">
        <f t="shared" si="240"/>
        <v>1+1964.42961022976i</v>
      </c>
      <c r="AN461" s="31">
        <f t="shared" si="256"/>
        <v>1964.4298647565524</v>
      </c>
      <c r="AO461" s="31">
        <f t="shared" si="257"/>
        <v>1.5702872732210684</v>
      </c>
      <c r="AP461" s="58" t="str">
        <f t="shared" si="258"/>
        <v>-0.00283187164292557+0.0114646218336841i</v>
      </c>
      <c r="AQ461" s="49">
        <f t="shared" si="259"/>
        <v>-38.555595234030605</v>
      </c>
      <c r="AR461" s="61">
        <f t="shared" si="260"/>
        <v>103.87487166613633</v>
      </c>
      <c r="AS461" s="58" t="str">
        <f t="shared" si="261"/>
        <v>-0.00122995982266045-0.000160158193441913i</v>
      </c>
      <c r="AT461" s="64">
        <f t="shared" si="262"/>
        <v>-58.129161022675135</v>
      </c>
      <c r="AU461" s="61">
        <f t="shared" si="263"/>
        <v>-172.58102128219619</v>
      </c>
    </row>
    <row r="462" spans="14:47" x14ac:dyDescent="0.4">
      <c r="N462" s="10">
        <v>44</v>
      </c>
      <c r="O462" s="50">
        <f t="shared" si="264"/>
        <v>275422.87033381703</v>
      </c>
      <c r="P462" s="48" t="str">
        <f t="shared" si="232"/>
        <v>5120.19230769231</v>
      </c>
      <c r="Q462" s="17" t="str">
        <f t="shared" si="233"/>
        <v>1+8086.91350982056i</v>
      </c>
      <c r="R462" s="17">
        <f t="shared" si="241"/>
        <v>8086.9135716488454</v>
      </c>
      <c r="S462" s="17">
        <f t="shared" si="242"/>
        <v>1.5706726702238589</v>
      </c>
      <c r="T462" s="17" t="str">
        <f t="shared" si="234"/>
        <v>1+0.0172880239921053i</v>
      </c>
      <c r="U462" s="17">
        <f t="shared" si="243"/>
        <v>1.000149426722603</v>
      </c>
      <c r="V462" s="17">
        <f t="shared" si="244"/>
        <v>1.7286301977047964E-2</v>
      </c>
      <c r="W462" s="31" t="str">
        <f t="shared" si="235"/>
        <v>1-28.0346335007113i</v>
      </c>
      <c r="X462" s="17">
        <f t="shared" si="245"/>
        <v>28.05246291360536</v>
      </c>
      <c r="Y462" s="17">
        <f t="shared" si="246"/>
        <v>-1.5351412787900933</v>
      </c>
      <c r="Z462" s="31" t="str">
        <f t="shared" si="236"/>
        <v>-29.3431030011676+170.688071305808i</v>
      </c>
      <c r="AA462" s="17">
        <f t="shared" si="247"/>
        <v>173.19190333221044</v>
      </c>
      <c r="AB462" s="17">
        <f t="shared" si="248"/>
        <v>1.7410429114803732</v>
      </c>
      <c r="AC462" s="66" t="str">
        <f t="shared" si="249"/>
        <v>0.0119915891322242+0.101864571373987i</v>
      </c>
      <c r="AD462" s="64">
        <f t="shared" si="250"/>
        <v>-19.779764532261357</v>
      </c>
      <c r="AE462" s="61">
        <f t="shared" si="251"/>
        <v>83.285990136320166</v>
      </c>
      <c r="AF462" s="31" t="str">
        <f t="shared" si="237"/>
        <v>-1.39902068552014E-06</v>
      </c>
      <c r="AG462" s="31" t="str">
        <f t="shared" si="238"/>
        <v>0.0572252630000937i</v>
      </c>
      <c r="AH462" s="31">
        <f t="shared" si="252"/>
        <v>5.7225263000093701E-2</v>
      </c>
      <c r="AI462" s="31">
        <f t="shared" si="253"/>
        <v>1.5707963267948966</v>
      </c>
      <c r="AJ462" s="31" t="str">
        <f t="shared" si="239"/>
        <v>1+4.13368572851189i</v>
      </c>
      <c r="AK462" s="31">
        <f t="shared" si="254"/>
        <v>4.2529234300775824</v>
      </c>
      <c r="AL462" s="31">
        <f t="shared" si="255"/>
        <v>1.3334415643460684</v>
      </c>
      <c r="AM462" s="31" t="str">
        <f t="shared" si="240"/>
        <v>1+2010.18705397693i</v>
      </c>
      <c r="AN462" s="31">
        <f t="shared" si="256"/>
        <v>2010.1873027099859</v>
      </c>
      <c r="AO462" s="31">
        <f t="shared" si="257"/>
        <v>1.5702988606931572</v>
      </c>
      <c r="AP462" s="58" t="str">
        <f t="shared" si="258"/>
        <v>-0.00271146307025296+0.0112327838029344i</v>
      </c>
      <c r="AQ462" s="49">
        <f t="shared" si="259"/>
        <v>-38.744293993707174</v>
      </c>
      <c r="AR462" s="61">
        <f t="shared" si="260"/>
        <v>103.57092342756766</v>
      </c>
      <c r="AS462" s="58" t="str">
        <f t="shared" si="261"/>
        <v>-0.00117673745850825-0.00014150309527182i</v>
      </c>
      <c r="AT462" s="64">
        <f t="shared" si="262"/>
        <v>-58.52405852596852</v>
      </c>
      <c r="AU462" s="61">
        <f t="shared" si="263"/>
        <v>-173.14308643611218</v>
      </c>
    </row>
    <row r="463" spans="14:47" x14ac:dyDescent="0.4">
      <c r="N463" s="10">
        <v>45</v>
      </c>
      <c r="O463" s="50">
        <f t="shared" si="264"/>
        <v>281838.29312644573</v>
      </c>
      <c r="P463" s="48" t="str">
        <f t="shared" si="232"/>
        <v>5120.19230769231</v>
      </c>
      <c r="Q463" s="17" t="str">
        <f t="shared" si="233"/>
        <v>1+8275.28192377993i</v>
      </c>
      <c r="R463" s="17">
        <f t="shared" si="241"/>
        <v>8275.2819842008321</v>
      </c>
      <c r="S463" s="17">
        <f t="shared" si="242"/>
        <v>1.5706754849910352</v>
      </c>
      <c r="T463" s="17" t="str">
        <f t="shared" si="234"/>
        <v>1+0.0176907138015029i</v>
      </c>
      <c r="U463" s="17">
        <f t="shared" si="243"/>
        <v>1.0001564684362176</v>
      </c>
      <c r="V463" s="17">
        <f t="shared" si="244"/>
        <v>1.7688868644715233E-2</v>
      </c>
      <c r="W463" s="31" t="str">
        <f t="shared" si="235"/>
        <v>1-28.6876440024371i</v>
      </c>
      <c r="X463" s="17">
        <f t="shared" si="245"/>
        <v>28.705067817557325</v>
      </c>
      <c r="Y463" s="17">
        <f t="shared" si="246"/>
        <v>-1.5359522223685047</v>
      </c>
      <c r="Z463" s="31" t="str">
        <f t="shared" si="236"/>
        <v>-30.7731293889715+174.663907233151i</v>
      </c>
      <c r="AA463" s="17">
        <f t="shared" si="247"/>
        <v>177.3540695398365</v>
      </c>
      <c r="AB463" s="17">
        <f t="shared" si="248"/>
        <v>1.7451913764516007</v>
      </c>
      <c r="AC463" s="66" t="str">
        <f t="shared" si="249"/>
        <v>0.0121633508970835+0.0994174302942251i</v>
      </c>
      <c r="AD463" s="64">
        <f t="shared" si="250"/>
        <v>-19.986223230855519</v>
      </c>
      <c r="AE463" s="61">
        <f t="shared" si="251"/>
        <v>83.024741054295305</v>
      </c>
      <c r="AF463" s="31" t="str">
        <f t="shared" si="237"/>
        <v>-1.39902068552014E-06</v>
      </c>
      <c r="AG463" s="31" t="str">
        <f t="shared" si="238"/>
        <v>0.058558210609419i</v>
      </c>
      <c r="AH463" s="31">
        <f t="shared" si="252"/>
        <v>5.8558210609419001E-2</v>
      </c>
      <c r="AI463" s="31">
        <f t="shared" si="253"/>
        <v>1.5707963267948966</v>
      </c>
      <c r="AJ463" s="31" t="str">
        <f t="shared" si="239"/>
        <v>1+4.22997163827718i</v>
      </c>
      <c r="AK463" s="31">
        <f t="shared" si="254"/>
        <v>4.346568768652963</v>
      </c>
      <c r="AL463" s="31">
        <f t="shared" si="255"/>
        <v>1.3386502792011865</v>
      </c>
      <c r="AM463" s="31" t="str">
        <f t="shared" si="240"/>
        <v>1+2057.01032550808i</v>
      </c>
      <c r="AN463" s="31">
        <f t="shared" si="256"/>
        <v>2057.010568579281</v>
      </c>
      <c r="AO463" s="31">
        <f t="shared" si="257"/>
        <v>1.570310184402308</v>
      </c>
      <c r="AP463" s="58" t="str">
        <f t="shared" si="258"/>
        <v>-0.00259588656601666+0.0110044176610235i</v>
      </c>
      <c r="AQ463" s="49">
        <f t="shared" si="259"/>
        <v>-38.933473870683628</v>
      </c>
      <c r="AR463" s="61">
        <f t="shared" si="260"/>
        <v>103.27313485042498</v>
      </c>
      <c r="AS463" s="58" t="str">
        <f t="shared" si="261"/>
        <v>-0.00112560560493483-0.000124225778299585i</v>
      </c>
      <c r="AT463" s="64">
        <f t="shared" si="262"/>
        <v>-58.919697101539143</v>
      </c>
      <c r="AU463" s="61">
        <f t="shared" si="263"/>
        <v>-173.70212409527971</v>
      </c>
    </row>
    <row r="464" spans="14:47" x14ac:dyDescent="0.4">
      <c r="N464" s="10">
        <v>46</v>
      </c>
      <c r="O464" s="50">
        <f t="shared" si="264"/>
        <v>288403.1503126609</v>
      </c>
      <c r="P464" s="48" t="str">
        <f t="shared" si="232"/>
        <v>5120.19230769231</v>
      </c>
      <c r="Q464" s="17" t="str">
        <f t="shared" si="233"/>
        <v>1+8468.03800175161i</v>
      </c>
      <c r="R464" s="17">
        <f t="shared" si="241"/>
        <v>8468.0380607971656</v>
      </c>
      <c r="S464" s="17">
        <f t="shared" si="242"/>
        <v>1.5706782356862898</v>
      </c>
      <c r="T464" s="17" t="str">
        <f t="shared" si="234"/>
        <v>1+0.0181027834615223i</v>
      </c>
      <c r="U464" s="17">
        <f t="shared" si="243"/>
        <v>1.000163841962433</v>
      </c>
      <c r="V464" s="17">
        <f t="shared" si="244"/>
        <v>1.8100806357895231E-2</v>
      </c>
      <c r="W464" s="31" t="str">
        <f t="shared" si="235"/>
        <v>1-29.3558650727389i</v>
      </c>
      <c r="X464" s="17">
        <f t="shared" si="245"/>
        <v>29.372892505996951</v>
      </c>
      <c r="Y464" s="17">
        <f t="shared" si="246"/>
        <v>-1.5367447509217373</v>
      </c>
      <c r="Z464" s="31" t="str">
        <f t="shared" si="236"/>
        <v>-32.2705508441071+178.732352276059i</v>
      </c>
      <c r="AA464" s="17">
        <f t="shared" si="247"/>
        <v>181.622251395349</v>
      </c>
      <c r="AB464" s="17">
        <f t="shared" si="248"/>
        <v>1.7494242539851006</v>
      </c>
      <c r="AC464" s="66" t="str">
        <f t="shared" si="249"/>
        <v>0.0123252818750485+0.0970232904887768i</v>
      </c>
      <c r="AD464" s="64">
        <f t="shared" si="250"/>
        <v>-20.192954353532642</v>
      </c>
      <c r="AE464" s="61">
        <f t="shared" si="251"/>
        <v>82.760251184344853</v>
      </c>
      <c r="AF464" s="31" t="str">
        <f t="shared" si="237"/>
        <v>-1.39902068552014E-06</v>
      </c>
      <c r="AG464" s="31" t="str">
        <f t="shared" si="238"/>
        <v>0.059922206557119i</v>
      </c>
      <c r="AH464" s="31">
        <f t="shared" si="252"/>
        <v>5.9922206557119002E-2</v>
      </c>
      <c r="AI464" s="31">
        <f t="shared" si="253"/>
        <v>1.5707963267948966</v>
      </c>
      <c r="AJ464" s="31" t="str">
        <f t="shared" si="239"/>
        <v>1+4.32850033499538i</v>
      </c>
      <c r="AK464" s="31">
        <f t="shared" si="254"/>
        <v>4.4425122566015638</v>
      </c>
      <c r="AL464" s="31">
        <f t="shared" si="255"/>
        <v>1.3437528546251467</v>
      </c>
      <c r="AM464" s="31" t="str">
        <f t="shared" si="240"/>
        <v>1+2104.92425114157i</v>
      </c>
      <c r="AN464" s="31">
        <f t="shared" si="256"/>
        <v>2104.9244886797956</v>
      </c>
      <c r="AO464" s="31">
        <f t="shared" si="257"/>
        <v>1.5703212503524901</v>
      </c>
      <c r="AP464" s="58" t="str">
        <f t="shared" si="258"/>
        <v>-0.00248497229922324+0.0107795507121588i</v>
      </c>
      <c r="AQ464" s="49">
        <f t="shared" si="259"/>
        <v>-39.123115507316243</v>
      </c>
      <c r="AR464" s="61">
        <f t="shared" si="260"/>
        <v>102.98141284622672</v>
      </c>
      <c r="AS464" s="58" t="str">
        <f t="shared" si="261"/>
        <v>-0.0010764954641239-0.000108239188230363i</v>
      </c>
      <c r="AT464" s="64">
        <f t="shared" si="262"/>
        <v>-59.31606986084887</v>
      </c>
      <c r="AU464" s="61">
        <f t="shared" si="263"/>
        <v>-174.25833596942843</v>
      </c>
    </row>
    <row r="465" spans="14:47" x14ac:dyDescent="0.4">
      <c r="N465" s="10">
        <v>47</v>
      </c>
      <c r="O465" s="50">
        <f t="shared" si="264"/>
        <v>295120.92266663886</v>
      </c>
      <c r="P465" s="48" t="str">
        <f t="shared" si="232"/>
        <v>5120.19230769231</v>
      </c>
      <c r="Q465" s="17" t="str">
        <f t="shared" si="233"/>
        <v>1+8665.28394555953i</v>
      </c>
      <c r="R465" s="17">
        <f t="shared" si="241"/>
        <v>8665.2840032610438</v>
      </c>
      <c r="S465" s="17">
        <f t="shared" si="242"/>
        <v>1.5706809237680779</v>
      </c>
      <c r="T465" s="17" t="str">
        <f t="shared" si="234"/>
        <v>1+0.0185244514569517i</v>
      </c>
      <c r="U465" s="17">
        <f t="shared" si="243"/>
        <v>1.0001715629339702</v>
      </c>
      <c r="V465" s="17">
        <f t="shared" si="244"/>
        <v>1.8522332971872883E-2</v>
      </c>
      <c r="W465" s="31" t="str">
        <f t="shared" si="235"/>
        <v>1-30.039651011273i</v>
      </c>
      <c r="X465" s="17">
        <f t="shared" si="245"/>
        <v>30.056291069908731</v>
      </c>
      <c r="Y465" s="17">
        <f t="shared" si="246"/>
        <v>-1.5375192806743379</v>
      </c>
      <c r="Z465" s="31" t="str">
        <f t="shared" si="236"/>
        <v>-33.8385435982434+182.895563577946i</v>
      </c>
      <c r="AA465" s="17">
        <f t="shared" si="247"/>
        <v>185.99955432566151</v>
      </c>
      <c r="AB465" s="17">
        <f t="shared" si="248"/>
        <v>1.7537432357741238</v>
      </c>
      <c r="AC465" s="66" t="str">
        <f t="shared" si="249"/>
        <v>0.0124777354245624+0.0946809155013596i</v>
      </c>
      <c r="AD465" s="64">
        <f t="shared" si="250"/>
        <v>-20.399970834169157</v>
      </c>
      <c r="AE465" s="61">
        <f t="shared" si="251"/>
        <v>82.492412150300538</v>
      </c>
      <c r="AF465" s="31" t="str">
        <f t="shared" si="237"/>
        <v>-1.39902068552014E-06</v>
      </c>
      <c r="AG465" s="31" t="str">
        <f t="shared" si="238"/>
        <v>0.0613179740518997i</v>
      </c>
      <c r="AH465" s="31">
        <f t="shared" si="252"/>
        <v>6.1317974051899697E-2</v>
      </c>
      <c r="AI465" s="31">
        <f t="shared" si="253"/>
        <v>1.5707963267948966</v>
      </c>
      <c r="AJ465" s="31" t="str">
        <f t="shared" si="239"/>
        <v>1+4.42932405988566i</v>
      </c>
      <c r="AK465" s="31">
        <f t="shared" si="254"/>
        <v>4.5408051739181667</v>
      </c>
      <c r="AL465" s="31">
        <f t="shared" si="255"/>
        <v>1.3487509327823626</v>
      </c>
      <c r="AM465" s="31" t="str">
        <f t="shared" si="240"/>
        <v>1+2153.95423547499i</v>
      </c>
      <c r="AN465" s="31">
        <f t="shared" si="256"/>
        <v>2153.954467606186</v>
      </c>
      <c r="AO465" s="31">
        <f t="shared" si="257"/>
        <v>1.5703320644110057</v>
      </c>
      <c r="AP465" s="58" t="str">
        <f t="shared" si="258"/>
        <v>-0.00237855437443846+0.0105582039519301i</v>
      </c>
      <c r="AQ465" s="49">
        <f t="shared" si="259"/>
        <v>-39.313200230543849</v>
      </c>
      <c r="AR465" s="61">
        <f t="shared" si="260"/>
        <v>102.69566366205409</v>
      </c>
      <c r="AS465" s="58" t="str">
        <f t="shared" si="261"/>
        <v>-0.00102933938839599-0.0000934612302708441i</v>
      </c>
      <c r="AT465" s="64">
        <f t="shared" si="262"/>
        <v>-59.71317106471303</v>
      </c>
      <c r="AU465" s="61">
        <f t="shared" si="263"/>
        <v>-174.81192418764536</v>
      </c>
    </row>
    <row r="466" spans="14:47" x14ac:dyDescent="0.4">
      <c r="N466" s="10">
        <v>48</v>
      </c>
      <c r="O466" s="50">
        <f t="shared" si="264"/>
        <v>301995.17204020242</v>
      </c>
      <c r="P466" s="48" t="str">
        <f t="shared" si="232"/>
        <v>5120.19230769231</v>
      </c>
      <c r="Q466" s="17" t="str">
        <f t="shared" si="233"/>
        <v>1+8867.12433761399i</v>
      </c>
      <c r="R466" s="17">
        <f t="shared" si="241"/>
        <v>8867.1243940020559</v>
      </c>
      <c r="S466" s="17">
        <f t="shared" si="242"/>
        <v>1.5706835506616559</v>
      </c>
      <c r="T466" s="17" t="str">
        <f t="shared" si="234"/>
        <v>1+0.0189559413617437i</v>
      </c>
      <c r="U466" s="17">
        <f t="shared" si="243"/>
        <v>1.0001796477198033</v>
      </c>
      <c r="V466" s="17">
        <f t="shared" si="244"/>
        <v>1.8953671386104178E-2</v>
      </c>
      <c r="W466" s="31" t="str">
        <f t="shared" si="235"/>
        <v>1-30.7393643703952i</v>
      </c>
      <c r="X466" s="17">
        <f t="shared" si="245"/>
        <v>30.755625857652809</v>
      </c>
      <c r="Y466" s="17">
        <f t="shared" si="246"/>
        <v>-1.5382762185730088</v>
      </c>
      <c r="Z466" s="31" t="str">
        <f t="shared" si="236"/>
        <v>-35.4804335742366+187.155748528551i</v>
      </c>
      <c r="AA466" s="17">
        <f t="shared" si="247"/>
        <v>190.48920015029208</v>
      </c>
      <c r="AB466" s="17">
        <f t="shared" si="248"/>
        <v>1.7581500223857203</v>
      </c>
      <c r="AC466" s="66" t="str">
        <f t="shared" si="249"/>
        <v>0.0126210457014399+0.0923890975129286i</v>
      </c>
      <c r="AD466" s="64">
        <f t="shared" si="250"/>
        <v>-20.60728608865454</v>
      </c>
      <c r="AE466" s="61">
        <f t="shared" si="251"/>
        <v>82.221115890055998</v>
      </c>
      <c r="AF466" s="31" t="str">
        <f t="shared" si="237"/>
        <v>-1.39902068552014E-06</v>
      </c>
      <c r="AG466" s="31" t="str">
        <f t="shared" si="238"/>
        <v>0.0627462531481622i</v>
      </c>
      <c r="AH466" s="31">
        <f t="shared" si="252"/>
        <v>6.2746253148162207E-2</v>
      </c>
      <c r="AI466" s="31">
        <f t="shared" si="253"/>
        <v>1.5707963267948966</v>
      </c>
      <c r="AJ466" s="31" t="str">
        <f t="shared" si="239"/>
        <v>1+4.53249627102154i</v>
      </c>
      <c r="AK466" s="31">
        <f t="shared" si="254"/>
        <v>4.6415000212026465</v>
      </c>
      <c r="AL466" s="31">
        <f t="shared" si="255"/>
        <v>1.3536461644237141</v>
      </c>
      <c r="AM466" s="31" t="str">
        <f t="shared" si="240"/>
        <v>1+2204.126274855i</v>
      </c>
      <c r="AN466" s="31">
        <f t="shared" si="256"/>
        <v>2204.1265017022456</v>
      </c>
      <c r="AO466" s="31">
        <f t="shared" si="257"/>
        <v>1.5703426323116016</v>
      </c>
      <c r="AP466" s="58" t="str">
        <f t="shared" si="258"/>
        <v>-0.00227647092385938+0.0103403924551889i</v>
      </c>
      <c r="AQ466" s="49">
        <f t="shared" si="259"/>
        <v>-39.503710035643984</v>
      </c>
      <c r="AR466" s="61">
        <f t="shared" si="260"/>
        <v>102.41579304536815</v>
      </c>
      <c r="AS466" s="58" t="str">
        <f t="shared" si="261"/>
        <v>-0.000984070970432427-0.0000798145284220275i</v>
      </c>
      <c r="AT466" s="64">
        <f t="shared" si="262"/>
        <v>-60.110996124298524</v>
      </c>
      <c r="AU466" s="61">
        <f t="shared" si="263"/>
        <v>-175.36309106457585</v>
      </c>
    </row>
    <row r="467" spans="14:47" x14ac:dyDescent="0.4">
      <c r="N467" s="10">
        <v>49</v>
      </c>
      <c r="O467" s="50">
        <f t="shared" si="264"/>
        <v>309029.54325135931</v>
      </c>
      <c r="P467" s="48" t="str">
        <f t="shared" ref="P467:P530" si="265">COMPLEX(Adc,0)</f>
        <v>5120.19230769231</v>
      </c>
      <c r="Q467" s="17" t="str">
        <f t="shared" ref="Q467:Q530" si="266">IMSUM(COMPLEX(1,0),IMDIV(COMPLEX(0,2*PI()*O467),COMPLEX(wp_lf,0)))</f>
        <v>1+9073.66619636251i</v>
      </c>
      <c r="R467" s="17">
        <f t="shared" si="241"/>
        <v>9073.6662514670261</v>
      </c>
      <c r="S467" s="17">
        <f t="shared" si="242"/>
        <v>1.5706861177598372</v>
      </c>
      <c r="T467" s="17" t="str">
        <f t="shared" ref="T467:T530" si="267">IMSUM(COMPLEX(1,0),IMDIV(COMPLEX(0,2*PI()*O467),COMPLEX(wz_esr,0)))</f>
        <v>1+0.0193974819575572i</v>
      </c>
      <c r="U467" s="17">
        <f t="shared" si="243"/>
        <v>1.0001881134598101</v>
      </c>
      <c r="V467" s="17">
        <f t="shared" si="244"/>
        <v>1.9395049659543615E-2</v>
      </c>
      <c r="W467" s="31" t="str">
        <f t="shared" ref="W467:W530" si="268">IMSUB(COMPLEX(1,0),IMDIV(COMPLEX(0,2*PI()*O467),COMPLEX(wz_rhp,0)))</f>
        <v>1-31.45537614739i</v>
      </c>
      <c r="X467" s="17">
        <f t="shared" si="245"/>
        <v>31.471267667092661</v>
      </c>
      <c r="Y467" s="17">
        <f t="shared" si="246"/>
        <v>-1.5390159624847288</v>
      </c>
      <c r="Z467" s="31" t="str">
        <f t="shared" ref="Z467:Z530" si="269">IMSUM(COMPLEX(1,0),IMDIV(COMPLEX(0,2*PI()*O467),COMPLEX(Q*(wsl/2),0)),IMDIV(IMPOWER(COMPLEX(0,2*PI()*O467),2),IMPOWER(COMPLEX(wsl/2,0),2)))</f>
        <v>-37.1997034408576+191.515165934326i</v>
      </c>
      <c r="AA467" s="17">
        <f t="shared" si="247"/>
        <v>195.09453277562696</v>
      </c>
      <c r="AB467" s="17">
        <f t="shared" si="248"/>
        <v>1.7626463218468935</v>
      </c>
      <c r="AC467" s="66" t="str">
        <f t="shared" si="249"/>
        <v>0.0127555284438773+0.0901466568251456i</v>
      </c>
      <c r="AD467" s="64">
        <f t="shared" si="250"/>
        <v>-20.814914032281514</v>
      </c>
      <c r="AE467" s="61">
        <f t="shared" si="251"/>
        <v>81.946254731787221</v>
      </c>
      <c r="AF467" s="31" t="str">
        <f t="shared" ref="AF467:AF530" si="270">COMPLEX(Adc_ea,0)</f>
        <v>-1.39902068552014E-06</v>
      </c>
      <c r="AG467" s="31" t="str">
        <f t="shared" ref="AG467:AG530" si="271">COMPLEX(0,2*PI()*O467*wp0_ea)</f>
        <v>0.0642078011383885i</v>
      </c>
      <c r="AH467" s="31">
        <f t="shared" si="252"/>
        <v>6.4207801138388504E-2</v>
      </c>
      <c r="AI467" s="31">
        <f t="shared" si="253"/>
        <v>1.5707963267948966</v>
      </c>
      <c r="AJ467" s="31" t="str">
        <f t="shared" ref="AJ467:AJ530" si="272">IMSUM(COMPLEX(1,0),IMDIV(COMPLEX(0,2*PI()*O467),COMPLEX(wp1_ea,0)))</f>
        <v>1+4.63807167167498i</v>
      </c>
      <c r="AK467" s="31">
        <f t="shared" si="254"/>
        <v>4.7446505489439303</v>
      </c>
      <c r="AL467" s="31">
        <f t="shared" si="255"/>
        <v>1.3584402061922503</v>
      </c>
      <c r="AM467" s="31" t="str">
        <f t="shared" ref="AM467:AM530" si="273">IMSUM(COMPLEX(1,0),IMDIV(COMPLEX(0,2*PI()*O467),COMPLEX(wz_ea,0)))</f>
        <v>1+2255.466971161i</v>
      </c>
      <c r="AN467" s="31">
        <f t="shared" si="256"/>
        <v>2255.4671928445723</v>
      </c>
      <c r="AO467" s="31">
        <f t="shared" si="257"/>
        <v>1.5703529596575094</v>
      </c>
      <c r="AP467" s="58" t="str">
        <f t="shared" si="258"/>
        <v>-0.00217856417807242+0.0101261257510643i</v>
      </c>
      <c r="AQ467" s="49">
        <f t="shared" si="259"/>
        <v>-39.694627569656681</v>
      </c>
      <c r="AR467" s="61">
        <f t="shared" si="260"/>
        <v>102.14170639855567</v>
      </c>
      <c r="AS467" s="58" t="str">
        <f t="shared" si="261"/>
        <v>-0.000940625120389678-0.0000672261922882708i</v>
      </c>
      <c r="AT467" s="64">
        <f t="shared" si="262"/>
        <v>-60.509541601938196</v>
      </c>
      <c r="AU467" s="61">
        <f t="shared" si="263"/>
        <v>-175.9120388696571</v>
      </c>
    </row>
    <row r="468" spans="14:47" x14ac:dyDescent="0.4">
      <c r="N468" s="10">
        <v>50</v>
      </c>
      <c r="O468" s="50">
        <f t="shared" si="264"/>
        <v>316227.7660168382</v>
      </c>
      <c r="P468" s="48" t="str">
        <f t="shared" si="265"/>
        <v>5120.19230769231</v>
      </c>
      <c r="Q468" s="17" t="str">
        <f t="shared" si="266"/>
        <v>1+9285.01903303251i</v>
      </c>
      <c r="R468" s="17">
        <f t="shared" ref="R468:R531" si="274">IMABS(Q468)</f>
        <v>9285.019086882694</v>
      </c>
      <c r="S468" s="17">
        <f t="shared" ref="S468:S531" si="275">IMARGUMENT(Q468)</f>
        <v>1.5706886264237314</v>
      </c>
      <c r="T468" s="17" t="str">
        <f t="shared" si="267"/>
        <v>1+0.0198493073550606i</v>
      </c>
      <c r="U468" s="17">
        <f t="shared" ref="U468:U531" si="276">IMABS(T468)</f>
        <v>1.0001969781010516</v>
      </c>
      <c r="V468" s="17">
        <f t="shared" ref="V468:V531" si="277">IMARGUMENT(T468)</f>
        <v>1.9846701128503508E-2</v>
      </c>
      <c r="W468" s="31" t="str">
        <f t="shared" si="268"/>
        <v>1-32.1880659811794i</v>
      </c>
      <c r="X468" s="17">
        <f t="shared" ref="X468:X531" si="278">IMABS(W468)</f>
        <v>32.203595942204323</v>
      </c>
      <c r="Y468" s="17">
        <f t="shared" ref="Y468:Y531" si="279">IMARGUMENT(W468)</f>
        <v>-1.5397389013912328</v>
      </c>
      <c r="Z468" s="31" t="str">
        <f t="shared" si="269"/>
        <v>-39+195.976127216081i</v>
      </c>
      <c r="AA468" s="17">
        <f t="shared" ref="AA468:AA531" si="280">IMABS(Z468)</f>
        <v>199.81902421594791</v>
      </c>
      <c r="AB468" s="17">
        <f t="shared" ref="AB468:AB531" si="281">IMARGUMENT(Z468)</f>
        <v>1.7672338481043708</v>
      </c>
      <c r="AC468" s="66" t="str">
        <f t="shared" ref="AC468:AC531" si="282">(IMDIV(IMPRODUCT(P468,T468,W468),IMPRODUCT(Q468,Z468)))</f>
        <v>0.0128814817245935+0.0879524413607848i</v>
      </c>
      <c r="AD468" s="64">
        <f t="shared" ref="AD468:AD531" si="283">20*LOG(IMABS(AC468))</f>
        <v>-21.02286909724716</v>
      </c>
      <c r="AE468" s="61">
        <f t="shared" ref="AE468:AE531" si="284">(180/PI())*IMARGUMENT(AC468)</f>
        <v>81.667721477768822</v>
      </c>
      <c r="AF468" s="31" t="str">
        <f t="shared" si="270"/>
        <v>-1.39902068552014E-06</v>
      </c>
      <c r="AG468" s="31" t="str">
        <f t="shared" si="271"/>
        <v>0.0657033929546691i</v>
      </c>
      <c r="AH468" s="31">
        <f t="shared" ref="AH468:AH531" si="285">IMABS(AG468)</f>
        <v>6.5703392954669093E-2</v>
      </c>
      <c r="AI468" s="31">
        <f t="shared" ref="AI468:AI531" si="286">IMARGUMENT(AG468)</f>
        <v>1.5707963267948966</v>
      </c>
      <c r="AJ468" s="31" t="str">
        <f t="shared" si="272"/>
        <v>1+4.74610623932089i</v>
      </c>
      <c r="AK468" s="31">
        <f t="shared" ref="AK468:AK531" si="287">IMABS(AJ468)</f>
        <v>4.8503117873927115</v>
      </c>
      <c r="AL468" s="31">
        <f t="shared" ref="AL468:AL531" si="288">IMARGUMENT(AJ468)</f>
        <v>1.3631347181019311</v>
      </c>
      <c r="AM468" s="31" t="str">
        <f t="shared" si="273"/>
        <v>1+2308.00354590975i</v>
      </c>
      <c r="AN468" s="31">
        <f t="shared" ref="AN468:AN531" si="289">IMABS(AM468)</f>
        <v>2308.0037625471887</v>
      </c>
      <c r="AO468" s="31">
        <f t="shared" ref="AO468:AO531" si="290">IMARGUMENT(AM468)</f>
        <v>1.5703630519244154</v>
      </c>
      <c r="AP468" s="58" t="str">
        <f t="shared" ref="AP468:AP531" si="291">IMPRODUCT(AF468,IMDIV(AM468,IMPRODUCT(AG468,AJ468)))</f>
        <v>-0.00208468051725592+0.00991540818466384i</v>
      </c>
      <c r="AQ468" s="49">
        <f t="shared" ref="AQ468:AQ531" si="292">20*LOG(IMABS(AP468))</f>
        <v>-39.8859361145607</v>
      </c>
      <c r="AR468" s="61">
        <f t="shared" ref="AR468:AR531" si="293">(180/PI())*IMARGUMENT(AP468)</f>
        <v>101.87330892355651</v>
      </c>
      <c r="AS468" s="58" t="str">
        <f t="shared" ref="AS468:AS531" si="294">IMPRODUCT(AC468,AP468)</f>
        <v>-0.00089893813091454-0.0000556275916272898i</v>
      </c>
      <c r="AT468" s="64">
        <f t="shared" ref="AT468:AT531" si="295">20*LOG(IMABS(AS468))</f>
        <v>-60.908805211807859</v>
      </c>
      <c r="AU468" s="61">
        <f t="shared" ref="AU468:AU531" si="296">(180/PI())*IMARGUMENT(AS468)</f>
        <v>-176.45896959867468</v>
      </c>
    </row>
    <row r="469" spans="14:47" x14ac:dyDescent="0.4">
      <c r="N469" s="10">
        <v>51</v>
      </c>
      <c r="O469" s="50">
        <f t="shared" si="264"/>
        <v>323593.65692962846</v>
      </c>
      <c r="P469" s="48" t="str">
        <f t="shared" si="265"/>
        <v>5120.19230769231</v>
      </c>
      <c r="Q469" s="17" t="str">
        <f t="shared" si="266"/>
        <v>1+9501.29490969559i</v>
      </c>
      <c r="R469" s="17">
        <f t="shared" si="274"/>
        <v>9501.2949623199966</v>
      </c>
      <c r="S469" s="17">
        <f t="shared" si="275"/>
        <v>1.5706910779834649</v>
      </c>
      <c r="T469" s="17" t="str">
        <f t="shared" si="267"/>
        <v>1+0.0203116571180604i</v>
      </c>
      <c r="U469" s="17">
        <f t="shared" si="276"/>
        <v>1.0002062604357571</v>
      </c>
      <c r="V469" s="17">
        <f t="shared" si="277"/>
        <v>2.030886452709282E-2</v>
      </c>
      <c r="W469" s="31" t="str">
        <f t="shared" si="268"/>
        <v>1-32.9378223536113i</v>
      </c>
      <c r="X469" s="17">
        <f t="shared" si="278"/>
        <v>32.952998974267224</v>
      </c>
      <c r="Y469" s="17">
        <f t="shared" si="279"/>
        <v>-1.540445415579871</v>
      </c>
      <c r="Z469" s="31" t="str">
        <f t="shared" si="269"/>
        <v>-40.885141922036+200.540997634537i</v>
      </c>
      <c r="AA469" s="17">
        <f t="shared" si="280"/>
        <v>204.66628096059304</v>
      </c>
      <c r="AB469" s="17">
        <f t="shared" si="281"/>
        <v>1.7719143193516005</v>
      </c>
      <c r="AC469" s="66" t="str">
        <f t="shared" si="282"/>
        <v>0.012999186672109+0.0858053261809333i</v>
      </c>
      <c r="AD469" s="64">
        <f t="shared" si="283"/>
        <v>-21.231166250230164</v>
      </c>
      <c r="AE469" s="61">
        <f t="shared" si="284"/>
        <v>81.385409496153784</v>
      </c>
      <c r="AF469" s="31" t="str">
        <f t="shared" si="270"/>
        <v>-1.39902068552014E-06</v>
      </c>
      <c r="AG469" s="31" t="str">
        <f t="shared" si="271"/>
        <v>0.0672338215795816i</v>
      </c>
      <c r="AH469" s="31">
        <f t="shared" si="285"/>
        <v>6.7233821579581604E-2</v>
      </c>
      <c r="AI469" s="31">
        <f t="shared" si="286"/>
        <v>1.5707963267948966</v>
      </c>
      <c r="AJ469" s="31" t="str">
        <f t="shared" si="272"/>
        <v>1+4.85665725531702i</v>
      </c>
      <c r="AK469" s="31">
        <f t="shared" si="287"/>
        <v>4.9585400770411701</v>
      </c>
      <c r="AL469" s="31">
        <f t="shared" si="288"/>
        <v>1.3677313611830542</v>
      </c>
      <c r="AM469" s="31" t="str">
        <f t="shared" si="273"/>
        <v>1+2361.76385468858i</v>
      </c>
      <c r="AN469" s="31">
        <f t="shared" si="289"/>
        <v>2361.7640663947491</v>
      </c>
      <c r="AO469" s="31">
        <f t="shared" si="290"/>
        <v>1.5703729144633651</v>
      </c>
      <c r="AP469" s="58" t="str">
        <f t="shared" si="291"/>
        <v>-0.00199467050450959+0.00970823926513938i</v>
      </c>
      <c r="AQ469" s="49">
        <f t="shared" si="292"/>
        <v>-40.077619570277704</v>
      </c>
      <c r="AR469" s="61">
        <f t="shared" si="293"/>
        <v>101.61050575693717</v>
      </c>
      <c r="AS469" s="58" t="str">
        <f t="shared" si="294"/>
        <v>-0.000858947731025299-0.000044954138797887i</v>
      </c>
      <c r="AT469" s="64">
        <f t="shared" si="295"/>
        <v>-61.308785820507865</v>
      </c>
      <c r="AU469" s="61">
        <f t="shared" si="296"/>
        <v>-177.00408474690903</v>
      </c>
    </row>
    <row r="470" spans="14:47" x14ac:dyDescent="0.4">
      <c r="N470" s="10">
        <v>52</v>
      </c>
      <c r="O470" s="50">
        <f t="shared" si="264"/>
        <v>331131.12148259126</v>
      </c>
      <c r="P470" s="48" t="str">
        <f t="shared" si="265"/>
        <v>5120.19230769231</v>
      </c>
      <c r="Q470" s="17" t="str">
        <f t="shared" si="266"/>
        <v>1+9722.60849868433i</v>
      </c>
      <c r="R470" s="17">
        <f t="shared" si="274"/>
        <v>9722.6085501108591</v>
      </c>
      <c r="S470" s="17">
        <f t="shared" si="275"/>
        <v>1.5706934737388871</v>
      </c>
      <c r="T470" s="17" t="str">
        <f t="shared" si="267"/>
        <v>1+0.0207847763905207i</v>
      </c>
      <c r="U470" s="17">
        <f t="shared" si="276"/>
        <v>1.0002159801410913</v>
      </c>
      <c r="V470" s="17">
        <f t="shared" si="277"/>
        <v>2.0781784110283568E-2</v>
      </c>
      <c r="W470" s="31" t="str">
        <f t="shared" si="268"/>
        <v>1-33.705042795439i</v>
      </c>
      <c r="X470" s="17">
        <f t="shared" si="278"/>
        <v>33.719874107748005</v>
      </c>
      <c r="Y470" s="17">
        <f t="shared" si="279"/>
        <v>-1.5411358768308829</v>
      </c>
      <c r="Z470" s="31" t="str">
        <f t="shared" si="269"/>
        <v>-42.8591278457277+205.212197544414i</v>
      </c>
      <c r="AA470" s="17">
        <f t="shared" si="280"/>
        <v>209.64005070764514</v>
      </c>
      <c r="AB470" s="17">
        <f t="shared" si="281"/>
        <v>1.7766894562165467</v>
      </c>
      <c r="AC470" s="66" t="str">
        <f t="shared" si="282"/>
        <v>0.0131089081631425+0.0837042130188916i</v>
      </c>
      <c r="AD470" s="64">
        <f t="shared" si="283"/>
        <v>-21.439821009997722</v>
      </c>
      <c r="AE470" s="61">
        <f t="shared" si="284"/>
        <v>81.099212821086155</v>
      </c>
      <c r="AF470" s="31" t="str">
        <f t="shared" si="270"/>
        <v>-1.39902068552014E-06</v>
      </c>
      <c r="AG470" s="31" t="str">
        <f t="shared" si="271"/>
        <v>0.0687998984666404i</v>
      </c>
      <c r="AH470" s="31">
        <f t="shared" si="285"/>
        <v>6.8799898466640405E-2</v>
      </c>
      <c r="AI470" s="31">
        <f t="shared" si="286"/>
        <v>1.5707963267948966</v>
      </c>
      <c r="AJ470" s="31" t="str">
        <f t="shared" si="272"/>
        <v>1+4.96978333527541i</v>
      </c>
      <c r="AK470" s="31">
        <f t="shared" si="287"/>
        <v>5.0693930997291163</v>
      </c>
      <c r="AL470" s="31">
        <f t="shared" si="288"/>
        <v>1.3722317952879342</v>
      </c>
      <c r="AM470" s="31" t="str">
        <f t="shared" si="273"/>
        <v>1+2416.77640192481i</v>
      </c>
      <c r="AN470" s="31">
        <f t="shared" si="289"/>
        <v>2416.7766088119588</v>
      </c>
      <c r="AO470" s="31">
        <f t="shared" si="290"/>
        <v>1.5703825525035995</v>
      </c>
      <c r="AP470" s="58" t="str">
        <f t="shared" si="291"/>
        <v>-0.00190838890291187+0.00950461399991251i</v>
      </c>
      <c r="AQ470" s="49">
        <f t="shared" si="292"/>
        <v>-40.269662437574269</v>
      </c>
      <c r="AR470" s="61">
        <f t="shared" si="293"/>
        <v>101.35320209577904</v>
      </c>
      <c r="AS470" s="58" t="str">
        <f t="shared" si="294"/>
        <v>-0.000820593129778848-0.0000351450792012524i</v>
      </c>
      <c r="AT470" s="64">
        <f t="shared" si="295"/>
        <v>-61.709483447571991</v>
      </c>
      <c r="AU470" s="61">
        <f t="shared" si="296"/>
        <v>-177.54758508313481</v>
      </c>
    </row>
    <row r="471" spans="14:47" x14ac:dyDescent="0.4">
      <c r="N471" s="10">
        <v>53</v>
      </c>
      <c r="O471" s="50">
        <f t="shared" si="264"/>
        <v>338844.15613920329</v>
      </c>
      <c r="P471" s="48" t="str">
        <f t="shared" si="265"/>
        <v>5120.19230769231</v>
      </c>
      <c r="Q471" s="17" t="str">
        <f t="shared" si="266"/>
        <v>1+9949.07714339298i</v>
      </c>
      <c r="R471" s="17">
        <f t="shared" si="274"/>
        <v>9949.0771936488982</v>
      </c>
      <c r="S471" s="17">
        <f t="shared" si="275"/>
        <v>1.5706958149602592</v>
      </c>
      <c r="T471" s="17" t="str">
        <f t="shared" si="267"/>
        <v>1+0.0212689160265423i</v>
      </c>
      <c r="U471" s="17">
        <f t="shared" si="276"/>
        <v>1.0002261578207921</v>
      </c>
      <c r="V471" s="17">
        <f t="shared" si="277"/>
        <v>2.1265709779654668E-2</v>
      </c>
      <c r="W471" s="31" t="str">
        <f t="shared" si="268"/>
        <v>1-34.4901340970957i</v>
      </c>
      <c r="X471" s="17">
        <f t="shared" si="278"/>
        <v>34.504627950981352</v>
      </c>
      <c r="Y471" s="17">
        <f t="shared" si="279"/>
        <v>-1.5418106486011101</v>
      </c>
      <c r="Z471" s="31" t="str">
        <f t="shared" si="269"/>
        <v>-44.9261448598757+209.992203677733i</v>
      </c>
      <c r="AA471" s="17">
        <f t="shared" si="280"/>
        <v>214.74422948568613</v>
      </c>
      <c r="AB471" s="17">
        <f t="shared" si="281"/>
        <v>1.7815609798037655</v>
      </c>
      <c r="AC471" s="66" t="str">
        <f t="shared" si="282"/>
        <v>0.0132108954880507+0.0816480298306i</v>
      </c>
      <c r="AD471" s="64">
        <f t="shared" si="283"/>
        <v>-21.648849464995436</v>
      </c>
      <c r="AE471" s="61">
        <f t="shared" si="284"/>
        <v>80.809026261521055</v>
      </c>
      <c r="AF471" s="31" t="str">
        <f t="shared" si="270"/>
        <v>-1.39902068552014E-06</v>
      </c>
      <c r="AG471" s="31" t="str">
        <f t="shared" si="271"/>
        <v>0.0704024539705406i</v>
      </c>
      <c r="AH471" s="31">
        <f t="shared" si="285"/>
        <v>7.0402453970540596E-2</v>
      </c>
      <c r="AI471" s="31">
        <f t="shared" si="286"/>
        <v>1.5707963267948966</v>
      </c>
      <c r="AJ471" s="31" t="str">
        <f t="shared" si="272"/>
        <v>1+5.085544460141i</v>
      </c>
      <c r="AK471" s="31">
        <f t="shared" si="287"/>
        <v>5.1829299103953561</v>
      </c>
      <c r="AL471" s="31">
        <f t="shared" si="288"/>
        <v>1.3766376770502806</v>
      </c>
      <c r="AM471" s="31" t="str">
        <f t="shared" si="273"/>
        <v>1+2473.07035599916i</v>
      </c>
      <c r="AN471" s="31">
        <f t="shared" si="289"/>
        <v>2473.0705581769821</v>
      </c>
      <c r="AO471" s="31">
        <f t="shared" si="290"/>
        <v>1.5703919711553278</v>
      </c>
      <c r="AP471" s="58" t="str">
        <f t="shared" si="291"/>
        <v>-0.00182569467782432+0.00930452321495707i</v>
      </c>
      <c r="AQ471" s="49">
        <f t="shared" si="292"/>
        <v>-40.462049800924831</v>
      </c>
      <c r="AR471" s="61">
        <f t="shared" si="293"/>
        <v>101.10130331475571</v>
      </c>
      <c r="AS471" s="58" t="str">
        <f t="shared" si="294"/>
        <v>-0.000783815050596153-0.0000261432897576284i</v>
      </c>
      <c r="AT471" s="64">
        <f t="shared" si="295"/>
        <v>-62.110899265920267</v>
      </c>
      <c r="AU471" s="61">
        <f t="shared" si="296"/>
        <v>-178.08967042372322</v>
      </c>
    </row>
    <row r="472" spans="14:47" x14ac:dyDescent="0.4">
      <c r="N472" s="10">
        <v>54</v>
      </c>
      <c r="O472" s="50">
        <f t="shared" si="264"/>
        <v>346736.85045253241</v>
      </c>
      <c r="P472" s="48" t="str">
        <f t="shared" si="265"/>
        <v>5120.19230769231</v>
      </c>
      <c r="Q472" s="17" t="str">
        <f t="shared" si="266"/>
        <v>1+10180.8209204947i</v>
      </c>
      <c r="R472" s="17">
        <f t="shared" si="274"/>
        <v>10180.820969606653</v>
      </c>
      <c r="S472" s="17">
        <f t="shared" si="275"/>
        <v>1.5706981028889273</v>
      </c>
      <c r="T472" s="17" t="str">
        <f t="shared" si="267"/>
        <v>1+0.0217643327233686i</v>
      </c>
      <c r="U472" s="17">
        <f t="shared" si="276"/>
        <v>1.0002368150487631</v>
      </c>
      <c r="V472" s="17">
        <f t="shared" si="277"/>
        <v>2.1760897211860378E-2</v>
      </c>
      <c r="W472" s="31" t="str">
        <f t="shared" si="268"/>
        <v>1-35.2935125243815i</v>
      </c>
      <c r="X472" s="17">
        <f t="shared" si="278"/>
        <v>35.307676591765052</v>
      </c>
      <c r="Y472" s="17">
        <f t="shared" si="279"/>
        <v>-1.54247008620419</v>
      </c>
      <c r="Z472" s="31" t="str">
        <f t="shared" si="269"/>
        <v>-47.090577384697+214.883550457017i</v>
      </c>
      <c r="AA472" s="17">
        <f t="shared" si="280"/>
        <v>219.98286918630168</v>
      </c>
      <c r="AB472" s="17">
        <f t="shared" si="281"/>
        <v>1.7865306095842217</v>
      </c>
      <c r="AC472" s="66" t="str">
        <f t="shared" si="282"/>
        <v>0.0133053829912081+0.0796357303614202i</v>
      </c>
      <c r="AD472" s="64">
        <f t="shared" si="283"/>
        <v>-21.858268290865063</v>
      </c>
      <c r="AE472" s="61">
        <f t="shared" si="284"/>
        <v>80.514745519126478</v>
      </c>
      <c r="AF472" s="31" t="str">
        <f t="shared" si="270"/>
        <v>-1.39902068552014E-06</v>
      </c>
      <c r="AG472" s="31" t="str">
        <f t="shared" si="271"/>
        <v>0.0720423377874226i</v>
      </c>
      <c r="AH472" s="31">
        <f t="shared" si="285"/>
        <v>7.2042337787422597E-2</v>
      </c>
      <c r="AI472" s="31">
        <f t="shared" si="286"/>
        <v>1.5707963267948966</v>
      </c>
      <c r="AJ472" s="31" t="str">
        <f t="shared" si="272"/>
        <v>1+5.2040020079945i</v>
      </c>
      <c r="AK472" s="31">
        <f t="shared" si="287"/>
        <v>5.2992109694944958</v>
      </c>
      <c r="AL472" s="31">
        <f t="shared" si="288"/>
        <v>1.3809506579917514</v>
      </c>
      <c r="AM472" s="31" t="str">
        <f t="shared" si="273"/>
        <v>1+2530.67556471121i</v>
      </c>
      <c r="AN472" s="31">
        <f t="shared" si="289"/>
        <v>2530.6757622869036</v>
      </c>
      <c r="AO472" s="31">
        <f t="shared" si="290"/>
        <v>1.5704011754124372</v>
      </c>
      <c r="AP472" s="58" t="str">
        <f t="shared" si="291"/>
        <v>-0.00174645098587844+0.00910795386112659i</v>
      </c>
      <c r="AQ472" s="49">
        <f t="shared" si="292"/>
        <v>-40.654767311393243</v>
      </c>
      <c r="AR472" s="61">
        <f t="shared" si="293"/>
        <v>100.85471507477494</v>
      </c>
      <c r="AS472" s="58" t="str">
        <f t="shared" si="294"/>
        <v>-0.000748555757071419-0.0000178950854123101i</v>
      </c>
      <c r="AT472" s="64">
        <f t="shared" si="295"/>
        <v>-62.513035602258299</v>
      </c>
      <c r="AU472" s="61">
        <f t="shared" si="296"/>
        <v>-178.63053940609856</v>
      </c>
    </row>
    <row r="473" spans="14:47" x14ac:dyDescent="0.4">
      <c r="N473" s="10">
        <v>55</v>
      </c>
      <c r="O473" s="50">
        <f t="shared" si="264"/>
        <v>354813.38923357555</v>
      </c>
      <c r="P473" s="48" t="str">
        <f t="shared" si="265"/>
        <v>5120.19230769231</v>
      </c>
      <c r="Q473" s="17" t="str">
        <f t="shared" si="266"/>
        <v>1+10417.9627036074i</v>
      </c>
      <c r="R473" s="17">
        <f t="shared" si="274"/>
        <v>10417.962751601428</v>
      </c>
      <c r="S473" s="17">
        <f t="shared" si="275"/>
        <v>1.5707003387379819</v>
      </c>
      <c r="T473" s="17" t="str">
        <f t="shared" si="267"/>
        <v>1+0.0222712891574897i</v>
      </c>
      <c r="U473" s="17">
        <f t="shared" si="276"/>
        <v>1.000247974414713</v>
      </c>
      <c r="V473" s="17">
        <f t="shared" si="277"/>
        <v>2.226760798987315E-2</v>
      </c>
      <c r="W473" s="31" t="str">
        <f t="shared" si="268"/>
        <v>1-36.1156040391724i</v>
      </c>
      <c r="X473" s="17">
        <f t="shared" si="278"/>
        <v>36.129445817979082</v>
      </c>
      <c r="Y473" s="17">
        <f t="shared" si="279"/>
        <v>-1.5431145369872623</v>
      </c>
      <c r="Z473" s="31" t="str">
        <f t="shared" si="269"/>
        <v>-49.3570164717666+219.888831339072i</v>
      </c>
      <c r="AA473" s="17">
        <f t="shared" si="280"/>
        <v>225.36018553120044</v>
      </c>
      <c r="AB473" s="17">
        <f t="shared" si="281"/>
        <v>1.7916000611263247</v>
      </c>
      <c r="AC473" s="66" t="str">
        <f t="shared" si="282"/>
        <v>0.0133925906881821+0.0776662937290636i</v>
      </c>
      <c r="AD473" s="64">
        <f t="shared" si="283"/>
        <v>-22.068094767829439</v>
      </c>
      <c r="AE473" s="61">
        <f t="shared" si="284"/>
        <v>80.216267315643364</v>
      </c>
      <c r="AF473" s="31" t="str">
        <f t="shared" si="270"/>
        <v>-1.39902068552014E-06</v>
      </c>
      <c r="AG473" s="31" t="str">
        <f t="shared" si="271"/>
        <v>0.0737204194053924i</v>
      </c>
      <c r="AH473" s="31">
        <f t="shared" si="285"/>
        <v>7.3720419405392396E-2</v>
      </c>
      <c r="AI473" s="31">
        <f t="shared" si="286"/>
        <v>1.5707963267948966</v>
      </c>
      <c r="AJ473" s="31" t="str">
        <f t="shared" si="272"/>
        <v>1+5.32521878659572i</v>
      </c>
      <c r="AK473" s="31">
        <f t="shared" si="287"/>
        <v>5.4182981760984683</v>
      </c>
      <c r="AL473" s="31">
        <f t="shared" si="288"/>
        <v>1.3851723827691109</v>
      </c>
      <c r="AM473" s="31" t="str">
        <f t="shared" si="273"/>
        <v>1+2589.62257110511i</v>
      </c>
      <c r="AN473" s="31">
        <f t="shared" si="289"/>
        <v>2589.6227641834325</v>
      </c>
      <c r="AO473" s="31">
        <f t="shared" si="290"/>
        <v>1.5704101701551405</v>
      </c>
      <c r="AP473" s="58" t="str">
        <f t="shared" si="291"/>
        <v>-0.00167052515199729+0.00891488930659576i</v>
      </c>
      <c r="AQ473" s="49">
        <f t="shared" si="292"/>
        <v>-40.847801169583363</v>
      </c>
      <c r="AR473" s="61">
        <f t="shared" si="293"/>
        <v>100.61334342356123</v>
      </c>
      <c r="AS473" s="58" t="str">
        <f t="shared" si="294"/>
        <v>-0.000714759071043167-0.0000103500336231216i</v>
      </c>
      <c r="AT473" s="64">
        <f t="shared" si="295"/>
        <v>-62.915895937412813</v>
      </c>
      <c r="AU473" s="61">
        <f t="shared" si="296"/>
        <v>-179.17038926079539</v>
      </c>
    </row>
    <row r="474" spans="14:47" x14ac:dyDescent="0.4">
      <c r="N474" s="10">
        <v>56</v>
      </c>
      <c r="O474" s="50">
        <f t="shared" si="264"/>
        <v>363078.05477010203</v>
      </c>
      <c r="P474" s="48" t="str">
        <f t="shared" si="265"/>
        <v>5120.19230769231</v>
      </c>
      <c r="Q474" s="17" t="str">
        <f t="shared" si="266"/>
        <v>1+10660.6282284438i</v>
      </c>
      <c r="R474" s="17">
        <f t="shared" si="274"/>
        <v>10660.628275345351</v>
      </c>
      <c r="S474" s="17">
        <f t="shared" si="275"/>
        <v>1.5707025236928993</v>
      </c>
      <c r="T474" s="17" t="str">
        <f t="shared" si="267"/>
        <v>1+0.0227900541239176i</v>
      </c>
      <c r="U474" s="17">
        <f t="shared" si="276"/>
        <v>1.0002596595719389</v>
      </c>
      <c r="V474" s="17">
        <f t="shared" si="277"/>
        <v>2.2786109737050753E-2</v>
      </c>
      <c r="W474" s="31" t="str">
        <f t="shared" si="268"/>
        <v>1-36.9568445252718i</v>
      </c>
      <c r="X474" s="17">
        <f t="shared" si="278"/>
        <v>36.97037134334888</v>
      </c>
      <c r="Y474" s="17">
        <f t="shared" si="279"/>
        <v>-1.543744340504227</v>
      </c>
      <c r="Z474" s="31" t="str">
        <f t="shared" si="269"/>
        <v>-51.7302695422566+225.010700190078i</v>
      </c>
      <c r="AA474" s="17">
        <f t="shared" si="280"/>
        <v>230.88056649909646</v>
      </c>
      <c r="AB474" s="17">
        <f t="shared" si="281"/>
        <v>1.7967710436617232</v>
      </c>
      <c r="AC474" s="66" t="str">
        <f t="shared" si="282"/>
        <v>0.0134727248615323+0.0757387240224077i</v>
      </c>
      <c r="AD474" s="64">
        <f t="shared" si="283"/>
        <v>-22.278346797879173</v>
      </c>
      <c r="AE474" s="61">
        <f t="shared" si="284"/>
        <v>79.91348953007288</v>
      </c>
      <c r="AF474" s="31" t="str">
        <f t="shared" si="270"/>
        <v>-1.39902068552014E-06</v>
      </c>
      <c r="AG474" s="31" t="str">
        <f t="shared" si="271"/>
        <v>0.0754375885655362i</v>
      </c>
      <c r="AH474" s="31">
        <f t="shared" si="285"/>
        <v>7.5437588565536201E-2</v>
      </c>
      <c r="AI474" s="31">
        <f t="shared" si="286"/>
        <v>1.5707963267948966</v>
      </c>
      <c r="AJ474" s="31" t="str">
        <f t="shared" si="272"/>
        <v>1+5.44925906668524i</v>
      </c>
      <c r="AK474" s="31">
        <f t="shared" si="287"/>
        <v>5.5402549017036478</v>
      </c>
      <c r="AL474" s="31">
        <f t="shared" si="288"/>
        <v>1.3893044875555285</v>
      </c>
      <c r="AM474" s="31" t="str">
        <f t="shared" si="273"/>
        <v>1+2649.94262966393i</v>
      </c>
      <c r="AN474" s="31">
        <f t="shared" si="289"/>
        <v>2649.9428183472533</v>
      </c>
      <c r="AO474" s="31">
        <f t="shared" si="290"/>
        <v>1.5704189601525635</v>
      </c>
      <c r="AP474" s="58" t="str">
        <f t="shared" si="291"/>
        <v>-0.00159778863572016+0.00872530961555192i</v>
      </c>
      <c r="AQ474" s="49">
        <f t="shared" si="292"/>
        <v>-41.041138108706349</v>
      </c>
      <c r="AR474" s="61">
        <f t="shared" si="293"/>
        <v>100.3770948885479</v>
      </c>
      <c r="AS474" s="58" t="str">
        <f t="shared" si="294"/>
        <v>-0.000682370383658288-3.46077674493531E-06i</v>
      </c>
      <c r="AT474" s="64">
        <f t="shared" si="295"/>
        <v>-63.319484906585515</v>
      </c>
      <c r="AU474" s="61">
        <f t="shared" si="296"/>
        <v>-179.7094155813792</v>
      </c>
    </row>
    <row r="475" spans="14:47" x14ac:dyDescent="0.4">
      <c r="N475" s="10">
        <v>57</v>
      </c>
      <c r="O475" s="50">
        <f t="shared" si="264"/>
        <v>371535.2290971732</v>
      </c>
      <c r="P475" s="48" t="str">
        <f t="shared" si="265"/>
        <v>5120.19230769231</v>
      </c>
      <c r="Q475" s="17" t="str">
        <f t="shared" si="266"/>
        <v>1+10908.9461594769i</v>
      </c>
      <c r="R475" s="17">
        <f t="shared" si="274"/>
        <v>10908.94620531084</v>
      </c>
      <c r="S475" s="17">
        <f t="shared" si="275"/>
        <v>1.5707046589121718</v>
      </c>
      <c r="T475" s="17" t="str">
        <f t="shared" si="267"/>
        <v>1+0.023320902678704i</v>
      </c>
      <c r="U475" s="17">
        <f t="shared" si="276"/>
        <v>1.0002718952873511</v>
      </c>
      <c r="V475" s="17">
        <f t="shared" si="277"/>
        <v>2.3316676254074461E-2</v>
      </c>
      <c r="W475" s="31" t="str">
        <f t="shared" si="268"/>
        <v>1-37.8176800195199i</v>
      </c>
      <c r="X475" s="17">
        <f t="shared" si="278"/>
        <v>37.830899038468466</v>
      </c>
      <c r="Y475" s="17">
        <f t="shared" si="279"/>
        <v>-1.5443598286855957</v>
      </c>
      <c r="Z475" s="31" t="str">
        <f t="shared" si="269"/>
        <v>-54.2153705841157+230.251872692692i</v>
      </c>
      <c r="AA475" s="17">
        <f t="shared" si="280"/>
        <v>236.54858123874817</v>
      </c>
      <c r="AB475" s="17">
        <f t="shared" si="281"/>
        <v>1.8020452574794685</v>
      </c>
      <c r="AC475" s="66" t="str">
        <f t="shared" si="282"/>
        <v>0.0135459786370318+0.0738520499159403i</v>
      </c>
      <c r="AD475" s="64">
        <f t="shared" si="283"/>
        <v>-22.489042921685026</v>
      </c>
      <c r="AE475" s="61">
        <f t="shared" si="284"/>
        <v>79.606311346057609</v>
      </c>
      <c r="AF475" s="31" t="str">
        <f t="shared" si="270"/>
        <v>-1.39902068552014E-06</v>
      </c>
      <c r="AG475" s="31" t="str">
        <f t="shared" si="271"/>
        <v>0.077194755733672i</v>
      </c>
      <c r="AH475" s="31">
        <f t="shared" si="285"/>
        <v>7.7194755733672002E-2</v>
      </c>
      <c r="AI475" s="31">
        <f t="shared" si="286"/>
        <v>1.5707963267948966</v>
      </c>
      <c r="AJ475" s="31" t="str">
        <f t="shared" si="272"/>
        <v>1+5.57618861606137i</v>
      </c>
      <c r="AK475" s="31">
        <f t="shared" si="287"/>
        <v>5.6651460247633878</v>
      </c>
      <c r="AL475" s="31">
        <f t="shared" si="288"/>
        <v>1.3933485985495768</v>
      </c>
      <c r="AM475" s="31" t="str">
        <f t="shared" si="273"/>
        <v>1+2711.66772288114i</v>
      </c>
      <c r="AN475" s="31">
        <f t="shared" si="289"/>
        <v>2711.6679072695069</v>
      </c>
      <c r="AO475" s="31">
        <f t="shared" si="290"/>
        <v>1.5704275500652738</v>
      </c>
      <c r="AP475" s="58" t="str">
        <f t="shared" si="291"/>
        <v>-0.00152811698801877+0.00853919181333511i</v>
      </c>
      <c r="AQ475" s="49">
        <f t="shared" si="292"/>
        <v>-41.234765377804393</v>
      </c>
      <c r="AR475" s="61">
        <f t="shared" si="293"/>
        <v>100.14587656245109</v>
      </c>
      <c r="AS475" s="58" t="str">
        <f t="shared" si="294"/>
        <v>-0.000651336660114801+2.81713780439571E-06i</v>
      </c>
      <c r="AT475" s="64">
        <f t="shared" si="295"/>
        <v>-63.723808299489413</v>
      </c>
      <c r="AU475" s="61">
        <f t="shared" si="296"/>
        <v>179.75218790850872</v>
      </c>
    </row>
    <row r="476" spans="14:47" x14ac:dyDescent="0.4">
      <c r="N476" s="10">
        <v>58</v>
      </c>
      <c r="O476" s="50">
        <f t="shared" si="264"/>
        <v>380189.39632056188</v>
      </c>
      <c r="P476" s="48" t="str">
        <f t="shared" si="265"/>
        <v>5120.19230769231</v>
      </c>
      <c r="Q476" s="17" t="str">
        <f t="shared" si="266"/>
        <v>1+11163.0481581608i</v>
      </c>
      <c r="R476" s="17">
        <f t="shared" si="274"/>
        <v>11163.048202951433</v>
      </c>
      <c r="S476" s="17">
        <f t="shared" si="275"/>
        <v>1.5707067455279204</v>
      </c>
      <c r="T476" s="17" t="str">
        <f t="shared" si="267"/>
        <v>1+0.0238641162847793i</v>
      </c>
      <c r="U476" s="17">
        <f t="shared" si="276"/>
        <v>1.0002847074938481</v>
      </c>
      <c r="V476" s="17">
        <f t="shared" si="277"/>
        <v>2.3859587658810449E-2</v>
      </c>
      <c r="W476" s="31" t="str">
        <f t="shared" si="268"/>
        <v>1-38.6985669482906i</v>
      </c>
      <c r="X476" s="17">
        <f t="shared" si="278"/>
        <v>38.711485167212707</v>
      </c>
      <c r="Y476" s="17">
        <f t="shared" si="279"/>
        <v>-1.5449613260049795</v>
      </c>
      <c r="Z476" s="31" t="str">
        <f t="shared" si="269"/>
        <v>-56.8175908298374+235.615127785952i</v>
      </c>
      <c r="AA476" s="17">
        <f t="shared" si="280"/>
        <v>242.36898949596943</v>
      </c>
      <c r="AB476" s="17">
        <f t="shared" si="281"/>
        <v>1.8074243911423782</v>
      </c>
      <c r="AC476" s="66" t="str">
        <f t="shared" si="282"/>
        <v>0.0136125325420751+0.0720053242994718i</v>
      </c>
      <c r="AD476" s="64">
        <f t="shared" si="283"/>
        <v>-22.700202335159283</v>
      </c>
      <c r="AE476" s="61">
        <f t="shared" si="284"/>
        <v>79.294633409812107</v>
      </c>
      <c r="AF476" s="31" t="str">
        <f t="shared" si="270"/>
        <v>-1.39902068552014E-06</v>
      </c>
      <c r="AG476" s="31" t="str">
        <f t="shared" si="271"/>
        <v>0.0789928525830911i</v>
      </c>
      <c r="AH476" s="31">
        <f t="shared" si="285"/>
        <v>7.8992852583091105E-2</v>
      </c>
      <c r="AI476" s="31">
        <f t="shared" si="286"/>
        <v>1.5707963267948966</v>
      </c>
      <c r="AJ476" s="31" t="str">
        <f t="shared" si="272"/>
        <v>1+5.70607473445131i</v>
      </c>
      <c r="AK476" s="31">
        <f t="shared" si="287"/>
        <v>5.7930379659677342</v>
      </c>
      <c r="AL476" s="31">
        <f t="shared" si="288"/>
        <v>1.3973063306056539</v>
      </c>
      <c r="AM476" s="31" t="str">
        <f t="shared" si="273"/>
        <v>1+2774.83057821818i</v>
      </c>
      <c r="AN476" s="31">
        <f t="shared" si="289"/>
        <v>2774.8307584093559</v>
      </c>
      <c r="AO476" s="31">
        <f t="shared" si="290"/>
        <v>1.5704359444477516</v>
      </c>
      <c r="AP476" s="58" t="str">
        <f t="shared" si="291"/>
        <v>-0.00146138979971152+0.00835651013827389i</v>
      </c>
      <c r="AQ476" s="49">
        <f t="shared" si="292"/>
        <v>-41.428670725168644</v>
      </c>
      <c r="AR476" s="61">
        <f t="shared" si="293"/>
        <v>99.919596181881914</v>
      </c>
      <c r="AS476" s="58" t="str">
        <f t="shared" si="294"/>
        <v>-0.000621606438723465+8.52541973926567E-06i</v>
      </c>
      <c r="AT476" s="64">
        <f t="shared" si="295"/>
        <v>-64.128873060327919</v>
      </c>
      <c r="AU476" s="61">
        <f t="shared" si="296"/>
        <v>179.21422959169402</v>
      </c>
    </row>
    <row r="477" spans="14:47" x14ac:dyDescent="0.4">
      <c r="N477" s="10">
        <v>59</v>
      </c>
      <c r="O477" s="50">
        <f t="shared" si="264"/>
        <v>389045.14499428123</v>
      </c>
      <c r="P477" s="48" t="str">
        <f t="shared" si="265"/>
        <v>5120.19230769231</v>
      </c>
      <c r="Q477" s="17" t="str">
        <f t="shared" si="266"/>
        <v>1+11423.0689527385i</v>
      </c>
      <c r="R477" s="17">
        <f t="shared" si="274"/>
        <v>11423.068996509573</v>
      </c>
      <c r="S477" s="17">
        <f t="shared" si="275"/>
        <v>1.5707087846464964</v>
      </c>
      <c r="T477" s="17" t="str">
        <f t="shared" si="267"/>
        <v>1+0.0244199829611877i</v>
      </c>
      <c r="U477" s="17">
        <f t="shared" si="276"/>
        <v>1.0002981233451478</v>
      </c>
      <c r="V477" s="17">
        <f t="shared" si="277"/>
        <v>2.4415130529140957E-2</v>
      </c>
      <c r="W477" s="31" t="str">
        <f t="shared" si="268"/>
        <v>1-39.5999723694934i</v>
      </c>
      <c r="X477" s="17">
        <f t="shared" si="278"/>
        <v>39.612596628656412</v>
      </c>
      <c r="Y477" s="17">
        <f t="shared" si="279"/>
        <v>-1.5455491496422524</v>
      </c>
      <c r="Z477" s="31" t="str">
        <f t="shared" si="269"/>
        <v>-59.5424499374486+241.103309138699i</v>
      </c>
      <c r="AA477" s="17">
        <f t="shared" si="280"/>
        <v>248.34675158371738</v>
      </c>
      <c r="AB477" s="17">
        <f t="shared" si="281"/>
        <v>1.8129101185195926</v>
      </c>
      <c r="AC477" s="66" t="str">
        <f t="shared" si="282"/>
        <v>0.0136725550480205+0.0701976239227725i</v>
      </c>
      <c r="AD477" s="64">
        <f t="shared" si="283"/>
        <v>-22.911844905574586</v>
      </c>
      <c r="AE477" s="61">
        <f t="shared" si="284"/>
        <v>78.978357998944745</v>
      </c>
      <c r="AF477" s="31" t="str">
        <f t="shared" si="270"/>
        <v>-1.39902068552014E-06</v>
      </c>
      <c r="AG477" s="31" t="str">
        <f t="shared" si="271"/>
        <v>0.0808328324885438i</v>
      </c>
      <c r="AH477" s="31">
        <f t="shared" si="285"/>
        <v>8.0832832488543796E-2</v>
      </c>
      <c r="AI477" s="31">
        <f t="shared" si="286"/>
        <v>1.5707963267948966</v>
      </c>
      <c r="AJ477" s="31" t="str">
        <f t="shared" si="272"/>
        <v>1+5.83898628919429i</v>
      </c>
      <c r="AK477" s="31">
        <f t="shared" si="287"/>
        <v>5.9239987242907892</v>
      </c>
      <c r="AL477" s="31">
        <f t="shared" si="288"/>
        <v>1.4011792859796213</v>
      </c>
      <c r="AM477" s="31" t="str">
        <f t="shared" si="273"/>
        <v>1+2839.46468545701i</v>
      </c>
      <c r="AN477" s="31">
        <f t="shared" si="289"/>
        <v>2839.4648615465335</v>
      </c>
      <c r="AO477" s="31">
        <f t="shared" si="290"/>
        <v>1.5704441477508049</v>
      </c>
      <c r="AP477" s="58" t="str">
        <f t="shared" si="291"/>
        <v>-0.00139749064250654+0.00817723628050927i</v>
      </c>
      <c r="AQ477" s="49">
        <f t="shared" si="292"/>
        <v>-41.622842381982331</v>
      </c>
      <c r="AR477" s="61">
        <f t="shared" si="293"/>
        <v>99.698162199354087</v>
      </c>
      <c r="AS477" s="58" t="str">
        <f t="shared" si="294"/>
        <v>-0.000593129824885605+0.0000137031906276656i</v>
      </c>
      <c r="AT477" s="64">
        <f t="shared" si="295"/>
        <v>-64.53468728755692</v>
      </c>
      <c r="AU477" s="61">
        <f t="shared" si="296"/>
        <v>178.67652019829885</v>
      </c>
    </row>
    <row r="478" spans="14:47" x14ac:dyDescent="0.4">
      <c r="N478" s="10">
        <v>60</v>
      </c>
      <c r="O478" s="50">
        <f t="shared" si="264"/>
        <v>398107.17055349716</v>
      </c>
      <c r="P478" s="48" t="str">
        <f t="shared" si="265"/>
        <v>5120.19230769231</v>
      </c>
      <c r="Q478" s="17" t="str">
        <f t="shared" si="266"/>
        <v>1+11689.1464096771i</v>
      </c>
      <c r="R478" s="17">
        <f t="shared" si="274"/>
        <v>11689.146452451821</v>
      </c>
      <c r="S478" s="17">
        <f t="shared" si="275"/>
        <v>1.5707107773490678</v>
      </c>
      <c r="T478" s="17" t="str">
        <f t="shared" si="267"/>
        <v>1+0.0249887974357987i</v>
      </c>
      <c r="U478" s="17">
        <f t="shared" si="276"/>
        <v>1.0003121712731917</v>
      </c>
      <c r="V478" s="17">
        <f t="shared" si="277"/>
        <v>2.4983598048815166E-2</v>
      </c>
      <c r="W478" s="31" t="str">
        <f t="shared" si="268"/>
        <v>1-40.522374220214i</v>
      </c>
      <c r="X478" s="17">
        <f t="shared" si="278"/>
        <v>40.534711204633794</v>
      </c>
      <c r="Y478" s="17">
        <f t="shared" si="279"/>
        <v>-1.5461236096434405</v>
      </c>
      <c r="Z478" s="31" t="str">
        <f t="shared" si="269"/>
        <v>-62.3957276984446+246.719326657331i</v>
      </c>
      <c r="AA478" s="17">
        <f t="shared" si="280"/>
        <v>254.48703892588566</v>
      </c>
      <c r="AB478" s="17">
        <f t="shared" si="281"/>
        <v>1.8185040956296343</v>
      </c>
      <c r="AC478" s="66" t="str">
        <f t="shared" si="282"/>
        <v>0.0137262030981749+0.0684280490546844i</v>
      </c>
      <c r="AD478" s="64">
        <f t="shared" si="283"/>
        <v>-23.12399118714778</v>
      </c>
      <c r="AE478" s="61">
        <f t="shared" si="284"/>
        <v>78.657389202499829</v>
      </c>
      <c r="AF478" s="31" t="str">
        <f t="shared" si="270"/>
        <v>-1.39902068552014E-06</v>
      </c>
      <c r="AG478" s="31" t="str">
        <f t="shared" si="271"/>
        <v>0.0827156710317308i</v>
      </c>
      <c r="AH478" s="31">
        <f t="shared" si="285"/>
        <v>8.2715671031730803E-2</v>
      </c>
      <c r="AI478" s="31">
        <f t="shared" si="286"/>
        <v>1.5707963267948966</v>
      </c>
      <c r="AJ478" s="31" t="str">
        <f t="shared" si="272"/>
        <v>1+5.97499375175591i</v>
      </c>
      <c r="AK478" s="31">
        <f t="shared" si="287"/>
        <v>6.0580979138275879</v>
      </c>
      <c r="AL478" s="31">
        <f t="shared" si="288"/>
        <v>1.4049690531836376</v>
      </c>
      <c r="AM478" s="31" t="str">
        <f t="shared" si="273"/>
        <v>1+2905.60431445683i</v>
      </c>
      <c r="AN478" s="31">
        <f t="shared" si="289"/>
        <v>2905.6044865380672</v>
      </c>
      <c r="AO478" s="31">
        <f t="shared" si="290"/>
        <v>1.5704521643239291</v>
      </c>
      <c r="AP478" s="58" t="str">
        <f t="shared" si="291"/>
        <v>-0.00133630700362853+0.00800133960813334i</v>
      </c>
      <c r="AQ478" s="49">
        <f t="shared" si="292"/>
        <v>-41.817269046218001</v>
      </c>
      <c r="AR478" s="61">
        <f t="shared" si="293"/>
        <v>99.48148384903304</v>
      </c>
      <c r="AS478" s="58" t="str">
        <f t="shared" si="294"/>
        <v>-0.000565858480541856+0.000018387131322298i</v>
      </c>
      <c r="AT478" s="64">
        <f t="shared" si="295"/>
        <v>-64.941260233365782</v>
      </c>
      <c r="AU478" s="61">
        <f t="shared" si="296"/>
        <v>178.1388730515329</v>
      </c>
    </row>
    <row r="479" spans="14:47" x14ac:dyDescent="0.4">
      <c r="N479" s="10">
        <v>61</v>
      </c>
      <c r="O479" s="50">
        <f t="shared" si="264"/>
        <v>407380.27780411334</v>
      </c>
      <c r="P479" s="48" t="str">
        <f t="shared" si="265"/>
        <v>5120.19230769231</v>
      </c>
      <c r="Q479" s="17" t="str">
        <f t="shared" si="266"/>
        <v>1+11961.4216067664i</v>
      </c>
      <c r="R479" s="17">
        <f t="shared" si="274"/>
        <v>11961.42164856745</v>
      </c>
      <c r="S479" s="17">
        <f t="shared" si="275"/>
        <v>1.5707127246921913</v>
      </c>
      <c r="T479" s="17" t="str">
        <f t="shared" si="267"/>
        <v>1+0.0255708613015761i</v>
      </c>
      <c r="U479" s="17">
        <f t="shared" si="276"/>
        <v>1.0003268810482424</v>
      </c>
      <c r="V479" s="17">
        <f t="shared" si="277"/>
        <v>2.5565290156368419E-2</v>
      </c>
      <c r="W479" s="31" t="str">
        <f t="shared" si="268"/>
        <v>1-41.4662615701233i</v>
      </c>
      <c r="X479" s="17">
        <f t="shared" si="278"/>
        <v>41.478317813068124</v>
      </c>
      <c r="Y479" s="17">
        <f t="shared" si="279"/>
        <v>-1.5466850090773769</v>
      </c>
      <c r="Z479" s="31" t="str">
        <f t="shared" si="269"/>
        <v>-65.3834762975025+252.466158028673i</v>
      </c>
      <c r="AA479" s="17">
        <f t="shared" si="280"/>
        <v>260.79524520685754</v>
      </c>
      <c r="AB479" s="17">
        <f t="shared" si="281"/>
        <v>1.8242079572886569</v>
      </c>
      <c r="AC479" s="66" t="str">
        <f t="shared" si="282"/>
        <v>0.0137736226231144+0.0666957231562366i</v>
      </c>
      <c r="AD479" s="64">
        <f t="shared" si="283"/>
        <v>-23.336662435983897</v>
      </c>
      <c r="AE479" s="61">
        <f t="shared" si="284"/>
        <v>78.331633112522411</v>
      </c>
      <c r="AF479" s="31" t="str">
        <f t="shared" si="270"/>
        <v>-1.39902068552014E-06</v>
      </c>
      <c r="AG479" s="31" t="str">
        <f t="shared" si="271"/>
        <v>0.0846423665185704i</v>
      </c>
      <c r="AH479" s="31">
        <f t="shared" si="285"/>
        <v>8.4642366518570405E-2</v>
      </c>
      <c r="AI479" s="31">
        <f t="shared" si="286"/>
        <v>1.5707963267948966</v>
      </c>
      <c r="AJ479" s="31" t="str">
        <f t="shared" si="272"/>
        <v>1+6.11416923509312i</v>
      </c>
      <c r="AK479" s="31">
        <f t="shared" si="287"/>
        <v>6.1954068014424344</v>
      </c>
      <c r="AL479" s="31">
        <f t="shared" si="288"/>
        <v>1.4086772059443111</v>
      </c>
      <c r="AM479" s="31" t="str">
        <f t="shared" si="273"/>
        <v>1+2973.2845333244i</v>
      </c>
      <c r="AN479" s="31">
        <f t="shared" si="289"/>
        <v>2973.2847014885901</v>
      </c>
      <c r="AO479" s="31">
        <f t="shared" si="290"/>
        <v>1.5704599984176133</v>
      </c>
      <c r="AP479" s="58" t="str">
        <f t="shared" si="291"/>
        <v>-0.00127773021491211+0.00782878738099914i</v>
      </c>
      <c r="AQ479" s="49">
        <f t="shared" si="292"/>
        <v>-42.011939866812959</v>
      </c>
      <c r="AR479" s="61">
        <f t="shared" si="293"/>
        <v>99.269471206561093</v>
      </c>
      <c r="AS479" s="58" t="str">
        <f t="shared" si="294"/>
        <v>-0.000539745609606508+0.0000226116223003455i</v>
      </c>
      <c r="AT479" s="64">
        <f t="shared" si="295"/>
        <v>-65.348602302796849</v>
      </c>
      <c r="AU479" s="61">
        <f t="shared" si="296"/>
        <v>177.6011043190835</v>
      </c>
    </row>
    <row r="480" spans="14:47" x14ac:dyDescent="0.4">
      <c r="N480" s="10">
        <v>62</v>
      </c>
      <c r="O480" s="50">
        <f t="shared" si="264"/>
        <v>416869.38347033598</v>
      </c>
      <c r="P480" s="48" t="str">
        <f t="shared" si="265"/>
        <v>5120.19230769231</v>
      </c>
      <c r="Q480" s="17" t="str">
        <f t="shared" si="266"/>
        <v>1+12240.0389079196i</v>
      </c>
      <c r="R480" s="17">
        <f t="shared" si="274"/>
        <v>12240.038948769143</v>
      </c>
      <c r="S480" s="17">
        <f t="shared" si="275"/>
        <v>1.5707146277083743</v>
      </c>
      <c r="T480" s="17" t="str">
        <f t="shared" si="267"/>
        <v>1+0.026166483176486i</v>
      </c>
      <c r="U480" s="17">
        <f t="shared" si="276"/>
        <v>1.0003422838417986</v>
      </c>
      <c r="V480" s="17">
        <f t="shared" si="277"/>
        <v>2.616051369715644E-2</v>
      </c>
      <c r="W480" s="31" t="str">
        <f t="shared" si="268"/>
        <v>1-42.432134880788i</v>
      </c>
      <c r="X480" s="17">
        <f t="shared" si="278"/>
        <v>42.44391676720452</v>
      </c>
      <c r="Y480" s="17">
        <f t="shared" si="279"/>
        <v>-1.547233644189175</v>
      </c>
      <c r="Z480" s="31" t="str">
        <f t="shared" si="269"/>
        <v>-68.5120331499755+258.346850298787i</v>
      </c>
      <c r="AA480" s="17">
        <f t="shared" si="280"/>
        <v>267.27699816042383</v>
      </c>
      <c r="AB480" s="17">
        <f t="shared" si="281"/>
        <v>1.8300233135589847</v>
      </c>
      <c r="AC480" s="66" t="str">
        <f t="shared" si="282"/>
        <v>0.0138149490449992+0.064999792567219i</v>
      </c>
      <c r="AD480" s="64">
        <f t="shared" si="283"/>
        <v>-23.54988062426871</v>
      </c>
      <c r="AE480" s="61">
        <f t="shared" si="284"/>
        <v>78.0009980274273</v>
      </c>
      <c r="AF480" s="31" t="str">
        <f t="shared" si="270"/>
        <v>-1.39902068552014E-06</v>
      </c>
      <c r="AG480" s="31" t="str">
        <f t="shared" si="271"/>
        <v>0.0866139405085122i</v>
      </c>
      <c r="AH480" s="31">
        <f t="shared" si="285"/>
        <v>8.6613940508512205E-2</v>
      </c>
      <c r="AI480" s="31">
        <f t="shared" si="286"/>
        <v>1.5707963267948966</v>
      </c>
      <c r="AJ480" s="31" t="str">
        <f t="shared" si="272"/>
        <v>1+6.25658653188938i</v>
      </c>
      <c r="AK480" s="31">
        <f t="shared" si="287"/>
        <v>6.3359983452506983</v>
      </c>
      <c r="AL480" s="31">
        <f t="shared" si="288"/>
        <v>1.4123053022584651</v>
      </c>
      <c r="AM480" s="31" t="str">
        <f t="shared" si="273"/>
        <v>1+3042.54122700762i</v>
      </c>
      <c r="AN480" s="31">
        <f t="shared" si="289"/>
        <v>3042.5413913439256</v>
      </c>
      <c r="AO480" s="31">
        <f t="shared" si="290"/>
        <v>1.570467654185594</v>
      </c>
      <c r="AP480" s="58" t="str">
        <f t="shared" si="291"/>
        <v>-0.00122165537717609+0.00765954495258209i</v>
      </c>
      <c r="AQ480" s="49">
        <f t="shared" si="292"/>
        <v>-42.206844428143455</v>
      </c>
      <c r="AR480" s="61">
        <f t="shared" si="293"/>
        <v>99.062035243287312</v>
      </c>
      <c r="AS480" s="58" t="str">
        <f t="shared" si="294"/>
        <v>-0.000514745939863362+0.0000264088771227289i</v>
      </c>
      <c r="AT480" s="64">
        <f t="shared" si="295"/>
        <v>-65.756725052412165</v>
      </c>
      <c r="AU480" s="61">
        <f t="shared" si="296"/>
        <v>177.06303327071461</v>
      </c>
    </row>
    <row r="481" spans="14:47" x14ac:dyDescent="0.4">
      <c r="N481" s="10">
        <v>63</v>
      </c>
      <c r="O481" s="50">
        <f t="shared" si="264"/>
        <v>426579.51880159322</v>
      </c>
      <c r="P481" s="48" t="str">
        <f t="shared" si="265"/>
        <v>5120.19230769231</v>
      </c>
      <c r="Q481" s="17" t="str">
        <f t="shared" si="266"/>
        <v>1+12525.1460397179i</v>
      </c>
      <c r="R481" s="17">
        <f t="shared" si="274"/>
        <v>12525.146079637592</v>
      </c>
      <c r="S481" s="17">
        <f t="shared" si="275"/>
        <v>1.5707164874066208</v>
      </c>
      <c r="T481" s="17" t="str">
        <f t="shared" si="267"/>
        <v>1+0.0267759788671303i</v>
      </c>
      <c r="U481" s="17">
        <f t="shared" si="276"/>
        <v>1.0003584122924607</v>
      </c>
      <c r="V481" s="17">
        <f t="shared" si="277"/>
        <v>2.6769582578553833E-2</v>
      </c>
      <c r="W481" s="31" t="str">
        <f t="shared" si="268"/>
        <v>1-43.4205062710221i</v>
      </c>
      <c r="X481" s="17">
        <f t="shared" si="278"/>
        <v>43.432020040885384</v>
      </c>
      <c r="Y481" s="17">
        <f t="shared" si="279"/>
        <v>-1.5477698045505601</v>
      </c>
      <c r="Z481" s="31" t="str">
        <f t="shared" si="269"/>
        <v>-71.7880343443998+264.364521488554i</v>
      </c>
      <c r="AA481" s="17">
        <f t="shared" si="280"/>
        <v>273.9381720332251</v>
      </c>
      <c r="AB481" s="17">
        <f t="shared" si="281"/>
        <v>1.8359517459936181</v>
      </c>
      <c r="AC481" s="66" t="str">
        <f t="shared" si="282"/>
        <v>0.0138503077725097+0.0633394262055838i</v>
      </c>
      <c r="AD481" s="64">
        <f t="shared" si="283"/>
        <v>-23.76366845359248</v>
      </c>
      <c r="AE481" s="61">
        <f t="shared" si="284"/>
        <v>77.665394667420884</v>
      </c>
      <c r="AF481" s="31" t="str">
        <f t="shared" si="270"/>
        <v>-1.39902068552014E-06</v>
      </c>
      <c r="AG481" s="31" t="str">
        <f t="shared" si="271"/>
        <v>0.0886314383561827i</v>
      </c>
      <c r="AH481" s="31">
        <f t="shared" si="285"/>
        <v>8.8631438356182701E-2</v>
      </c>
      <c r="AI481" s="31">
        <f t="shared" si="286"/>
        <v>1.5707963267948966</v>
      </c>
      <c r="AJ481" s="31" t="str">
        <f t="shared" si="272"/>
        <v>1+6.40232115368055i</v>
      </c>
      <c r="AK481" s="31">
        <f t="shared" si="287"/>
        <v>6.4799472339568815</v>
      </c>
      <c r="AL481" s="31">
        <f t="shared" si="288"/>
        <v>1.4158548835410041</v>
      </c>
      <c r="AM481" s="31" t="str">
        <f t="shared" si="273"/>
        <v>1+3113.41111632218i</v>
      </c>
      <c r="AN481" s="31">
        <f t="shared" si="289"/>
        <v>3113.4112769177354</v>
      </c>
      <c r="AO481" s="31">
        <f t="shared" si="290"/>
        <v>1.5704751356870568</v>
      </c>
      <c r="AP481" s="58" t="str">
        <f t="shared" si="291"/>
        <v>-0.0011679812806266+0.00749357596028985i</v>
      </c>
      <c r="AQ481" s="49">
        <f t="shared" si="292"/>
        <v>-42.401972734816027</v>
      </c>
      <c r="AR481" s="61">
        <f t="shared" si="293"/>
        <v>98.859087875217455</v>
      </c>
      <c r="AS481" s="58" t="str">
        <f t="shared" si="294"/>
        <v>-0.000490815701761924+0.0000298090692329425i</v>
      </c>
      <c r="AT481" s="64">
        <f t="shared" si="295"/>
        <v>-66.165641188408514</v>
      </c>
      <c r="AU481" s="61">
        <f t="shared" si="296"/>
        <v>176.52448254263834</v>
      </c>
    </row>
    <row r="482" spans="14:47" x14ac:dyDescent="0.4">
      <c r="N482" s="10">
        <v>64</v>
      </c>
      <c r="O482" s="50">
        <f t="shared" si="264"/>
        <v>436515.83224016649</v>
      </c>
      <c r="P482" s="48" t="str">
        <f t="shared" si="265"/>
        <v>5120.19230769231</v>
      </c>
      <c r="Q482" s="17" t="str">
        <f t="shared" si="266"/>
        <v>1+12816.8941697364i</v>
      </c>
      <c r="R482" s="17">
        <f t="shared" si="274"/>
        <v>12816.894208747412</v>
      </c>
      <c r="S482" s="17">
        <f t="shared" si="275"/>
        <v>1.5707183047729678</v>
      </c>
      <c r="T482" s="17" t="str">
        <f t="shared" si="267"/>
        <v>1+0.027399671536192i</v>
      </c>
      <c r="U482" s="17">
        <f t="shared" si="276"/>
        <v>1.0003753005748848</v>
      </c>
      <c r="V482" s="17">
        <f t="shared" si="277"/>
        <v>2.7392817928363174E-2</v>
      </c>
      <c r="W482" s="31" t="str">
        <f t="shared" si="268"/>
        <v>1-44.4318997884194i</v>
      </c>
      <c r="X482" s="17">
        <f t="shared" si="278"/>
        <v>44.443151540008323</v>
      </c>
      <c r="Y482" s="17">
        <f t="shared" si="279"/>
        <v>-1.5482937732071154</v>
      </c>
      <c r="Z482" s="31" t="str">
        <f t="shared" si="269"/>
        <v>-75.21842871853+270.522362246891i</v>
      </c>
      <c r="AA482" s="17">
        <f t="shared" si="280"/>
        <v>280.78490075950077</v>
      </c>
      <c r="AB482" s="17">
        <f t="shared" si="281"/>
        <v>1.8419948036729983</v>
      </c>
      <c r="AC482" s="66" t="str">
        <f t="shared" si="282"/>
        <v>0.0138798146880088+0.0617138152790141i</v>
      </c>
      <c r="AD482" s="64">
        <f t="shared" si="283"/>
        <v>-23.9780493672733</v>
      </c>
      <c r="AE482" s="61">
        <f t="shared" si="284"/>
        <v>77.324736402186431</v>
      </c>
      <c r="AF482" s="31" t="str">
        <f t="shared" si="270"/>
        <v>-1.39902068552014E-06</v>
      </c>
      <c r="AG482" s="31" t="str">
        <f t="shared" si="271"/>
        <v>0.0906959297656454i</v>
      </c>
      <c r="AH482" s="31">
        <f t="shared" si="285"/>
        <v>9.0695929765645403E-2</v>
      </c>
      <c r="AI482" s="31">
        <f t="shared" si="286"/>
        <v>1.5707963267948966</v>
      </c>
      <c r="AJ482" s="31" t="str">
        <f t="shared" si="272"/>
        <v>1+6.55145037089213i</v>
      </c>
      <c r="AK482" s="31">
        <f t="shared" si="287"/>
        <v>6.6273299270718855</v>
      </c>
      <c r="AL482" s="31">
        <f t="shared" si="288"/>
        <v>1.41932747385955</v>
      </c>
      <c r="AM482" s="31" t="str">
        <f t="shared" si="273"/>
        <v>1+3185.93177742148i</v>
      </c>
      <c r="AN482" s="31">
        <f t="shared" si="289"/>
        <v>3185.9319343614347</v>
      </c>
      <c r="AO482" s="31">
        <f t="shared" si="290"/>
        <v>1.5704824468887897</v>
      </c>
      <c r="AP482" s="58" t="str">
        <f t="shared" si="291"/>
        <v>-0.00111661032197498+0.00733084250463264i</v>
      </c>
      <c r="AQ482" s="49">
        <f t="shared" si="292"/>
        <v>-42.597315196789893</v>
      </c>
      <c r="AR482" s="61">
        <f t="shared" si="293"/>
        <v>98.660542006989189</v>
      </c>
      <c r="AS482" s="58" t="str">
        <f t="shared" si="294"/>
        <v>-0.000467912604518174+0.000032840452322275i</v>
      </c>
      <c r="AT482" s="64">
        <f t="shared" si="295"/>
        <v>-66.575364564063207</v>
      </c>
      <c r="AU482" s="61">
        <f t="shared" si="296"/>
        <v>175.98527840917561</v>
      </c>
    </row>
    <row r="483" spans="14:47" x14ac:dyDescent="0.4">
      <c r="N483" s="10">
        <v>65</v>
      </c>
      <c r="O483" s="50">
        <f t="shared" si="264"/>
        <v>446683.59215096442</v>
      </c>
      <c r="P483" s="48" t="str">
        <f t="shared" si="265"/>
        <v>5120.19230769231</v>
      </c>
      <c r="Q483" s="17" t="str">
        <f t="shared" si="266"/>
        <v>1+13115.4379866953i</v>
      </c>
      <c r="R483" s="17">
        <f t="shared" si="274"/>
        <v>13115.438024818312</v>
      </c>
      <c r="S483" s="17">
        <f t="shared" si="275"/>
        <v>1.5707200807710067</v>
      </c>
      <c r="T483" s="17" t="str">
        <f t="shared" si="267"/>
        <v>1+0.0280378918737798i</v>
      </c>
      <c r="U483" s="17">
        <f t="shared" si="276"/>
        <v>1.0003929844719652</v>
      </c>
      <c r="V483" s="17">
        <f t="shared" si="277"/>
        <v>2.8030548256479538E-2</v>
      </c>
      <c r="W483" s="31" t="str">
        <f t="shared" si="268"/>
        <v>1-45.4668516872105i</v>
      </c>
      <c r="X483" s="17">
        <f t="shared" si="278"/>
        <v>45.477847380310301</v>
      </c>
      <c r="Y483" s="17">
        <f t="shared" si="279"/>
        <v>-1.548805826822482</v>
      </c>
      <c r="Z483" s="31" t="str">
        <f t="shared" si="269"/>
        <v>-78.8104925987559+276.823637542481i</v>
      </c>
      <c r="AA483" s="17">
        <f t="shared" si="280"/>
        <v>287.823591885567</v>
      </c>
      <c r="AB483" s="17">
        <f t="shared" si="281"/>
        <v>1.8481539990310558</v>
      </c>
      <c r="AC483" s="66" t="str">
        <f t="shared" si="282"/>
        <v>0.0139035766284856+0.0601221730078709i</v>
      </c>
      <c r="AD483" s="64">
        <f t="shared" si="283"/>
        <v>-24.193047561546539</v>
      </c>
      <c r="AE483" s="61">
        <f t="shared" si="284"/>
        <v>76.978939491004823</v>
      </c>
      <c r="AF483" s="31" t="str">
        <f t="shared" si="270"/>
        <v>-1.39902068552014E-06</v>
      </c>
      <c r="AG483" s="31" t="str">
        <f t="shared" si="271"/>
        <v>0.0928085093575725i</v>
      </c>
      <c r="AH483" s="31">
        <f t="shared" si="285"/>
        <v>9.2808509357572497E-2</v>
      </c>
      <c r="AI483" s="31">
        <f t="shared" si="286"/>
        <v>1.5707963267948966</v>
      </c>
      <c r="AJ483" s="31" t="str">
        <f t="shared" si="272"/>
        <v>1+6.70405325380909i</v>
      </c>
      <c r="AK483" s="31">
        <f t="shared" si="287"/>
        <v>6.7782246960327486</v>
      </c>
      <c r="AL483" s="31">
        <f t="shared" si="288"/>
        <v>1.4227245792507142</v>
      </c>
      <c r="AM483" s="31" t="str">
        <f t="shared" si="273"/>
        <v>1+3260.14166171998i</v>
      </c>
      <c r="AN483" s="31">
        <f t="shared" si="289"/>
        <v>3260.1418150875452</v>
      </c>
      <c r="AO483" s="31">
        <f t="shared" si="290"/>
        <v>1.5704895916672856</v>
      </c>
      <c r="AP483" s="58" t="str">
        <f t="shared" si="291"/>
        <v>-0.00106744841889699+0.00717130531767319i</v>
      </c>
      <c r="AQ483" s="49">
        <f t="shared" si="292"/>
        <v>-42.792862614843386</v>
      </c>
      <c r="AR483" s="61">
        <f t="shared" si="293"/>
        <v>98.466311571167722</v>
      </c>
      <c r="AS483" s="58" t="str">
        <f t="shared" si="294"/>
        <v>-0.000445995809890502+0.0000355294744926324i</v>
      </c>
      <c r="AT483" s="64">
        <f t="shared" si="295"/>
        <v>-66.985910176389922</v>
      </c>
      <c r="AU483" s="61">
        <f t="shared" si="296"/>
        <v>175.44525106217253</v>
      </c>
    </row>
    <row r="484" spans="14:47" x14ac:dyDescent="0.4">
      <c r="N484" s="10">
        <v>66</v>
      </c>
      <c r="O484" s="50">
        <f t="shared" ref="O484:O518" si="297">10^(5+(N484/100))</f>
        <v>457088.18961487547</v>
      </c>
      <c r="P484" s="48" t="str">
        <f t="shared" si="265"/>
        <v>5120.19230769231</v>
      </c>
      <c r="Q484" s="17" t="str">
        <f t="shared" si="266"/>
        <v>1+13420.9357824781i</v>
      </c>
      <c r="R484" s="17">
        <f t="shared" si="274"/>
        <v>13420.935819733326</v>
      </c>
      <c r="S484" s="17">
        <f t="shared" si="275"/>
        <v>1.5707218163423948</v>
      </c>
      <c r="T484" s="17" t="str">
        <f t="shared" si="267"/>
        <v>1+0.0286909782727643i</v>
      </c>
      <c r="U484" s="17">
        <f t="shared" si="276"/>
        <v>1.0004115014504023</v>
      </c>
      <c r="V484" s="17">
        <f t="shared" si="277"/>
        <v>2.8683109619856942E-2</v>
      </c>
      <c r="W484" s="31" t="str">
        <f t="shared" si="268"/>
        <v>1-46.5259107125907i</v>
      </c>
      <c r="X484" s="17">
        <f t="shared" si="278"/>
        <v>46.536656171624131</v>
      </c>
      <c r="Y484" s="17">
        <f t="shared" si="279"/>
        <v>-1.5493062358195699</v>
      </c>
      <c r="Z484" s="31" t="str">
        <f t="shared" si="269"/>
        <v>-82.5718452341618+283.271688394887i</v>
      </c>
      <c r="AA484" s="17">
        <f t="shared" si="280"/>
        <v>295.06094128410888</v>
      </c>
      <c r="AB484" s="17">
        <f t="shared" si="281"/>
        <v>1.8544308034684398</v>
      </c>
      <c r="AC484" s="66" t="str">
        <f t="shared" si="282"/>
        <v>0.0139216918618076+0.0585637343586855i</v>
      </c>
      <c r="AD484" s="64">
        <f t="shared" si="283"/>
        <v>-24.408687995473084</v>
      </c>
      <c r="AE484" s="61">
        <f t="shared" si="284"/>
        <v>76.627923335429401</v>
      </c>
      <c r="AF484" s="31" t="str">
        <f t="shared" si="270"/>
        <v>-1.39902068552014E-06</v>
      </c>
      <c r="AG484" s="31" t="str">
        <f t="shared" si="271"/>
        <v>0.0949702972496266i</v>
      </c>
      <c r="AH484" s="31">
        <f t="shared" si="285"/>
        <v>9.4970297249626606E-2</v>
      </c>
      <c r="AI484" s="31">
        <f t="shared" si="286"/>
        <v>1.5707963267948966</v>
      </c>
      <c r="AJ484" s="31" t="str">
        <f t="shared" si="272"/>
        <v>1+6.8602107144998i</v>
      </c>
      <c r="AK484" s="31">
        <f t="shared" si="287"/>
        <v>6.9327116662484851</v>
      </c>
      <c r="AL484" s="31">
        <f t="shared" si="288"/>
        <v>1.4260476871130678</v>
      </c>
      <c r="AM484" s="31" t="str">
        <f t="shared" si="273"/>
        <v>1+3336.08011628058i</v>
      </c>
      <c r="AN484" s="31">
        <f t="shared" si="289"/>
        <v>3336.0802661570733</v>
      </c>
      <c r="AO484" s="31">
        <f t="shared" si="290"/>
        <v>1.5704965738107974</v>
      </c>
      <c r="AP484" s="58" t="str">
        <f t="shared" si="291"/>
        <v>-0.00102040492240411+0.00701492392118267i</v>
      </c>
      <c r="AQ484" s="49">
        <f t="shared" si="292"/>
        <v>-42.988606166393339</v>
      </c>
      <c r="AR484" s="61">
        <f t="shared" si="293"/>
        <v>98.276311563143281</v>
      </c>
      <c r="AS484" s="58" t="str">
        <f t="shared" si="294"/>
        <v>-0.000425025903970512+0.0000379008864507588i</v>
      </c>
      <c r="AT484" s="64">
        <f t="shared" si="295"/>
        <v>-67.397294161866412</v>
      </c>
      <c r="AU484" s="61">
        <f t="shared" si="296"/>
        <v>174.9042348985727</v>
      </c>
    </row>
    <row r="485" spans="14:47" x14ac:dyDescent="0.4">
      <c r="N485" s="10">
        <v>67</v>
      </c>
      <c r="O485" s="50">
        <f t="shared" si="297"/>
        <v>467735.14128719864</v>
      </c>
      <c r="P485" s="48" t="str">
        <f t="shared" si="265"/>
        <v>5120.19230769231</v>
      </c>
      <c r="Q485" s="17" t="str">
        <f t="shared" si="266"/>
        <v>1+13733.5495360598i</v>
      </c>
      <c r="R485" s="17">
        <f t="shared" si="274"/>
        <v>13733.549572466993</v>
      </c>
      <c r="S485" s="17">
        <f t="shared" si="275"/>
        <v>1.5707235124073555</v>
      </c>
      <c r="T485" s="17" t="str">
        <f t="shared" si="267"/>
        <v>1+0.0293592770081991i</v>
      </c>
      <c r="U485" s="17">
        <f t="shared" si="276"/>
        <v>1.0004308907398074</v>
      </c>
      <c r="V485" s="17">
        <f t="shared" si="277"/>
        <v>2.9350845790821031E-2</v>
      </c>
      <c r="W485" s="31" t="str">
        <f t="shared" si="268"/>
        <v>1-47.6096383916741i</v>
      </c>
      <c r="X485" s="17">
        <f t="shared" si="278"/>
        <v>47.620139308762724</v>
      </c>
      <c r="Y485" s="17">
        <f t="shared" si="279"/>
        <v>-1.5497952645188229</v>
      </c>
      <c r="Z485" s="31" t="str">
        <f t="shared" si="269"/>
        <v>-86.5104649579821+289.869933646025i</v>
      </c>
      <c r="AA485" s="17">
        <f t="shared" si="280"/>
        <v>302.50394870017345</v>
      </c>
      <c r="AB485" s="17">
        <f t="shared" si="281"/>
        <v>1.8608266427517992</v>
      </c>
      <c r="AC485" s="66" t="str">
        <f t="shared" si="282"/>
        <v>0.0139342505597535+0.0570377557872482i</v>
      </c>
      <c r="AD485" s="64">
        <f t="shared" si="283"/>
        <v>-24.62499639941441</v>
      </c>
      <c r="AE485" s="61">
        <f t="shared" si="284"/>
        <v>76.271610744581437</v>
      </c>
      <c r="AF485" s="31" t="str">
        <f t="shared" si="270"/>
        <v>-1.39902068552014E-06</v>
      </c>
      <c r="AG485" s="31" t="str">
        <f t="shared" si="271"/>
        <v>0.0971824396503631i</v>
      </c>
      <c r="AH485" s="31">
        <f t="shared" si="285"/>
        <v>9.7182439650363106E-2</v>
      </c>
      <c r="AI485" s="31">
        <f t="shared" si="286"/>
        <v>1.5707963267948966</v>
      </c>
      <c r="AJ485" s="31" t="str">
        <f t="shared" si="272"/>
        <v>1+7.02000554971699i</v>
      </c>
      <c r="AK485" s="31">
        <f t="shared" si="287"/>
        <v>7.0908728600967974</v>
      </c>
      <c r="AL485" s="31">
        <f t="shared" si="288"/>
        <v>1.4292982656720905</v>
      </c>
      <c r="AM485" s="31" t="str">
        <f t="shared" si="273"/>
        <v>1+3413.78740467708i</v>
      </c>
      <c r="AN485" s="31">
        <f t="shared" si="289"/>
        <v>3413.787551141967</v>
      </c>
      <c r="AO485" s="31">
        <f t="shared" si="290"/>
        <v>1.5705033970213473</v>
      </c>
      <c r="AP485" s="58" t="str">
        <f t="shared" si="291"/>
        <v>-0.000975392527645289+0.00686165677492932i</v>
      </c>
      <c r="AQ485" s="49">
        <f t="shared" si="292"/>
        <v>-43.184537391675555</v>
      </c>
      <c r="AR485" s="61">
        <f t="shared" si="293"/>
        <v>98.090458071902844</v>
      </c>
      <c r="AS485" s="58" t="str">
        <f t="shared" si="294"/>
        <v>-0.000404964867298656+0.0000399778439683565i</v>
      </c>
      <c r="AT485" s="64">
        <f t="shared" si="295"/>
        <v>-67.809533791089976</v>
      </c>
      <c r="AU485" s="61">
        <f t="shared" si="296"/>
        <v>174.36206881648428</v>
      </c>
    </row>
    <row r="486" spans="14:47" x14ac:dyDescent="0.4">
      <c r="N486" s="10">
        <v>68</v>
      </c>
      <c r="O486" s="50">
        <f t="shared" si="297"/>
        <v>478630.09232263872</v>
      </c>
      <c r="P486" s="48" t="str">
        <f t="shared" si="265"/>
        <v>5120.19230769231</v>
      </c>
      <c r="Q486" s="17" t="str">
        <f t="shared" si="266"/>
        <v>1+14053.4449993906i</v>
      </c>
      <c r="R486" s="17">
        <f t="shared" si="274"/>
        <v>14053.445034969063</v>
      </c>
      <c r="S486" s="17">
        <f t="shared" si="275"/>
        <v>1.5707251698651647</v>
      </c>
      <c r="T486" s="17" t="str">
        <f t="shared" si="267"/>
        <v>1+0.0300431424209196i</v>
      </c>
      <c r="U486" s="17">
        <f t="shared" si="276"/>
        <v>1.0004511934155127</v>
      </c>
      <c r="V486" s="17">
        <f t="shared" si="277"/>
        <v>3.0034108428768306E-2</v>
      </c>
      <c r="W486" s="31" t="str">
        <f t="shared" si="268"/>
        <v>1-48.7186093312209i</v>
      </c>
      <c r="X486" s="17">
        <f t="shared" si="278"/>
        <v>48.728871269178029</v>
      </c>
      <c r="Y486" s="17">
        <f t="shared" si="279"/>
        <v>-1.5502731712735873</v>
      </c>
      <c r="Z486" s="31" t="str">
        <f t="shared" si="269"/>
        <v>-90.634706110711+296.621871772865i</v>
      </c>
      <c r="AA486" s="17">
        <f t="shared" si="280"/>
        <v>310.1599341723765</v>
      </c>
      <c r="AB486" s="17">
        <f t="shared" si="281"/>
        <v>1.867342892199062</v>
      </c>
      <c r="AC486" s="66" t="str">
        <f t="shared" si="282"/>
        <v>0.0139413352692545+0.0555435149902744i</v>
      </c>
      <c r="AD486" s="64">
        <f t="shared" si="283"/>
        <v>-24.841999281910741</v>
      </c>
      <c r="AE486" s="61">
        <f t="shared" si="284"/>
        <v>75.909928213066152</v>
      </c>
      <c r="AF486" s="31" t="str">
        <f t="shared" si="270"/>
        <v>-1.39902068552014E-06</v>
      </c>
      <c r="AG486" s="31" t="str">
        <f t="shared" si="271"/>
        <v>0.0994461094669638i</v>
      </c>
      <c r="AH486" s="31">
        <f t="shared" si="285"/>
        <v>9.9446109466963806E-2</v>
      </c>
      <c r="AI486" s="31">
        <f t="shared" si="286"/>
        <v>1.5707963267948966</v>
      </c>
      <c r="AJ486" s="31" t="str">
        <f t="shared" si="272"/>
        <v>1+7.1835224847974i</v>
      </c>
      <c r="AK486" s="31">
        <f t="shared" si="287"/>
        <v>7.2527922408952135</v>
      </c>
      <c r="AL486" s="31">
        <f t="shared" si="288"/>
        <v>1.4324777635125416</v>
      </c>
      <c r="AM486" s="31" t="str">
        <f t="shared" si="273"/>
        <v>1+3493.30472834236i</v>
      </c>
      <c r="AN486" s="31">
        <f t="shared" si="289"/>
        <v>3493.3048714733</v>
      </c>
      <c r="AO486" s="31">
        <f t="shared" si="290"/>
        <v>1.5705100649166897</v>
      </c>
      <c r="AP486" s="58" t="str">
        <f t="shared" si="291"/>
        <v>-0.00093232718360836+0.00671146141552778i</v>
      </c>
      <c r="AQ486" s="49">
        <f t="shared" si="292"/>
        <v>-43.380648180290883</v>
      </c>
      <c r="AR486" s="61">
        <f t="shared" si="293"/>
        <v>97.908668306935382</v>
      </c>
      <c r="AS486" s="58" t="str">
        <f t="shared" si="294"/>
        <v>-0.000385776043587339+0.0000417820048419469i</v>
      </c>
      <c r="AT486" s="64">
        <f t="shared" si="295"/>
        <v>-68.222647462201635</v>
      </c>
      <c r="AU486" s="61">
        <f t="shared" si="296"/>
        <v>173.81859652000153</v>
      </c>
    </row>
    <row r="487" spans="14:47" x14ac:dyDescent="0.4">
      <c r="N487" s="10">
        <v>69</v>
      </c>
      <c r="O487" s="50">
        <f t="shared" si="297"/>
        <v>489778.81936844654</v>
      </c>
      <c r="P487" s="48" t="str">
        <f t="shared" si="265"/>
        <v>5120.19230769231</v>
      </c>
      <c r="Q487" s="17" t="str">
        <f t="shared" si="266"/>
        <v>1+14380.7917852795i</v>
      </c>
      <c r="R487" s="17">
        <f t="shared" si="274"/>
        <v>14380.7918200481</v>
      </c>
      <c r="S487" s="17">
        <f t="shared" si="275"/>
        <v>1.5707267895946284</v>
      </c>
      <c r="T487" s="17" t="str">
        <f t="shared" si="267"/>
        <v>1+0.0307429371054197i</v>
      </c>
      <c r="U487" s="17">
        <f t="shared" si="276"/>
        <v>1.0004724524852584</v>
      </c>
      <c r="V487" s="17">
        <f t="shared" si="277"/>
        <v>3.0733257255295986E-2</v>
      </c>
      <c r="W487" s="31" t="str">
        <f t="shared" si="268"/>
        <v>1-49.8534115223022i</v>
      </c>
      <c r="X487" s="17">
        <f t="shared" si="278"/>
        <v>49.863439917558985</v>
      </c>
      <c r="Y487" s="17">
        <f t="shared" si="279"/>
        <v>-1.5507402086026383</v>
      </c>
      <c r="Z487" s="31" t="str">
        <f t="shared" si="269"/>
        <v>-94.95331676078+303.531082742373i</v>
      </c>
      <c r="AA487" s="17">
        <f t="shared" si="280"/>
        <v>318.03655537474037</v>
      </c>
      <c r="AB487" s="17">
        <f t="shared" si="281"/>
        <v>1.8739808716519282</v>
      </c>
      <c r="AC487" s="66" t="str">
        <f t="shared" si="282"/>
        <v>0.0139430213832034+0.0540803106645087i</v>
      </c>
      <c r="AD487" s="64">
        <f t="shared" si="283"/>
        <v>-25.059723934793855</v>
      </c>
      <c r="AE487" s="61">
        <f t="shared" si="284"/>
        <v>75.542806211442112</v>
      </c>
      <c r="AF487" s="31" t="str">
        <f t="shared" si="270"/>
        <v>-1.39902068552014E-06</v>
      </c>
      <c r="AG487" s="31" t="str">
        <f t="shared" si="271"/>
        <v>0.101762506927129i</v>
      </c>
      <c r="AH487" s="31">
        <f t="shared" si="285"/>
        <v>0.101762506927129</v>
      </c>
      <c r="AI487" s="31">
        <f t="shared" si="286"/>
        <v>1.5707963267948966</v>
      </c>
      <c r="AJ487" s="31" t="str">
        <f t="shared" si="272"/>
        <v>1+7.35084821858442i</v>
      </c>
      <c r="AK487" s="31">
        <f t="shared" si="287"/>
        <v>7.41855575787267</v>
      </c>
      <c r="AL487" s="31">
        <f t="shared" si="288"/>
        <v>1.4355876091739421</v>
      </c>
      <c r="AM487" s="31" t="str">
        <f t="shared" si="273"/>
        <v>1+3574.67424841396i</v>
      </c>
      <c r="AN487" s="31">
        <f t="shared" si="289"/>
        <v>3574.6743882868427</v>
      </c>
      <c r="AO487" s="31">
        <f t="shared" si="290"/>
        <v>1.5705165810322281</v>
      </c>
      <c r="AP487" s="58" t="str">
        <f t="shared" si="291"/>
        <v>-0.000891128002144121+0.00656429458627163i</v>
      </c>
      <c r="AQ487" s="49">
        <f t="shared" si="292"/>
        <v>-43.576930758121613</v>
      </c>
      <c r="AR487" s="61">
        <f t="shared" si="293"/>
        <v>97.730860621519227</v>
      </c>
      <c r="AS487" s="58" t="str">
        <f t="shared" si="294"/>
        <v>-0.000367424107307989+0.0000433336205842346i</v>
      </c>
      <c r="AT487" s="64">
        <f t="shared" si="295"/>
        <v>-68.636654692915471</v>
      </c>
      <c r="AU487" s="61">
        <f t="shared" si="296"/>
        <v>173.27366683296134</v>
      </c>
    </row>
    <row r="488" spans="14:47" x14ac:dyDescent="0.4">
      <c r="N488" s="10">
        <v>70</v>
      </c>
      <c r="O488" s="50">
        <f t="shared" si="297"/>
        <v>501187.23362727347</v>
      </c>
      <c r="P488" s="48" t="str">
        <f t="shared" si="265"/>
        <v>5120.19230769231</v>
      </c>
      <c r="Q488" s="17" t="str">
        <f t="shared" si="266"/>
        <v>1+14715.7634573251i</v>
      </c>
      <c r="R488" s="17">
        <f t="shared" si="274"/>
        <v>14715.76349130227</v>
      </c>
      <c r="S488" s="17">
        <f t="shared" si="275"/>
        <v>1.5707283724545487</v>
      </c>
      <c r="T488" s="17" t="str">
        <f t="shared" si="267"/>
        <v>1+0.031459032102104i</v>
      </c>
      <c r="U488" s="17">
        <f t="shared" si="276"/>
        <v>1.0004947129799344</v>
      </c>
      <c r="V488" s="17">
        <f t="shared" si="277"/>
        <v>3.1448660232799845E-2</v>
      </c>
      <c r="W488" s="31" t="str">
        <f t="shared" si="268"/>
        <v>1-51.0146466520605i</v>
      </c>
      <c r="X488" s="17">
        <f t="shared" si="278"/>
        <v>51.024446817526474</v>
      </c>
      <c r="Y488" s="17">
        <f t="shared" si="279"/>
        <v>-1.5511966233199066</v>
      </c>
      <c r="Z488" s="31" t="str">
        <f t="shared" si="269"/>
        <v>-99.475457260384+310.601229909661i</v>
      </c>
      <c r="AA488" s="17">
        <f t="shared" si="280"/>
        <v>326.14182592632397</v>
      </c>
      <c r="AB488" s="17">
        <f t="shared" si="281"/>
        <v>1.8807418402381331</v>
      </c>
      <c r="AC488" s="66" t="str">
        <f t="shared" si="282"/>
        <v>0.0139393776121297+0.0526474622720442i</v>
      </c>
      <c r="AD488" s="64">
        <f t="shared" si="283"/>
        <v>-25.278198436355595</v>
      </c>
      <c r="AE488" s="61">
        <f t="shared" si="284"/>
        <v>75.170179489093996</v>
      </c>
      <c r="AF488" s="31" t="str">
        <f t="shared" si="270"/>
        <v>-1.39902068552014E-06</v>
      </c>
      <c r="AG488" s="31" t="str">
        <f t="shared" si="271"/>
        <v>0.104132860215453i</v>
      </c>
      <c r="AH488" s="31">
        <f t="shared" si="285"/>
        <v>0.104132860215453</v>
      </c>
      <c r="AI488" s="31">
        <f t="shared" si="286"/>
        <v>1.5707963267948966</v>
      </c>
      <c r="AJ488" s="31" t="str">
        <f t="shared" si="272"/>
        <v>1+7.52207146939692i</v>
      </c>
      <c r="AK488" s="31">
        <f t="shared" si="287"/>
        <v>7.5882513921663888</v>
      </c>
      <c r="AL488" s="31">
        <f t="shared" si="288"/>
        <v>1.4386292108050187</v>
      </c>
      <c r="AM488" s="31" t="str">
        <f t="shared" si="273"/>
        <v>1+3657.93910808849i</v>
      </c>
      <c r="AN488" s="31">
        <f t="shared" si="289"/>
        <v>3657.9392447774762</v>
      </c>
      <c r="AO488" s="31">
        <f t="shared" si="290"/>
        <v>1.5705229488228913</v>
      </c>
      <c r="AP488" s="58" t="str">
        <f t="shared" si="291"/>
        <v>-0.000851717166693449+0.00642011235836884i</v>
      </c>
      <c r="AQ488" s="49">
        <f t="shared" si="292"/>
        <v>-43.773377674619177</v>
      </c>
      <c r="AR488" s="61">
        <f t="shared" si="293"/>
        <v>97.556954532628268</v>
      </c>
      <c r="AS488" s="58" t="str">
        <f t="shared" si="294"/>
        <v>-0.000349875030374781+0.0000446516230756581i</v>
      </c>
      <c r="AT488" s="64">
        <f t="shared" si="295"/>
        <v>-69.051576110974793</v>
      </c>
      <c r="AU488" s="61">
        <f t="shared" si="296"/>
        <v>172.72713402172226</v>
      </c>
    </row>
    <row r="489" spans="14:47" x14ac:dyDescent="0.4">
      <c r="N489" s="10">
        <v>71</v>
      </c>
      <c r="O489" s="50">
        <f t="shared" si="297"/>
        <v>512861.38399136515</v>
      </c>
      <c r="P489" s="48" t="str">
        <f t="shared" si="265"/>
        <v>5120.19230769231</v>
      </c>
      <c r="Q489" s="17" t="str">
        <f t="shared" si="266"/>
        <v>1+15058.537621942i</v>
      </c>
      <c r="R489" s="17">
        <f t="shared" si="274"/>
        <v>15058.537655145754</v>
      </c>
      <c r="S489" s="17">
        <f t="shared" si="275"/>
        <v>1.5707299192841784</v>
      </c>
      <c r="T489" s="17" t="str">
        <f t="shared" si="267"/>
        <v>1+0.0321918070940182i</v>
      </c>
      <c r="U489" s="17">
        <f t="shared" si="276"/>
        <v>1.0005180220485679</v>
      </c>
      <c r="V489" s="17">
        <f t="shared" si="277"/>
        <v>3.2180693746578476E-2</v>
      </c>
      <c r="W489" s="31" t="str">
        <f t="shared" si="268"/>
        <v>1-52.2029304227321i</v>
      </c>
      <c r="X489" s="17">
        <f t="shared" si="278"/>
        <v>52.212507550591823</v>
      </c>
      <c r="Y489" s="17">
        <f t="shared" si="279"/>
        <v>-1.5516426566614583</v>
      </c>
      <c r="Z489" s="31" t="str">
        <f t="shared" si="269"/>
        <v>-104.210719675815+317.836061960338i</v>
      </c>
      <c r="AA489" s="17">
        <f t="shared" si="280"/>
        <v>334.48413471763809</v>
      </c>
      <c r="AB489" s="17">
        <f t="shared" si="281"/>
        <v>1.8876269909275873</v>
      </c>
      <c r="AC489" s="66" t="str">
        <f t="shared" si="282"/>
        <v>0.0139304664579522+0.0512443098105144i</v>
      </c>
      <c r="AD489" s="64">
        <f t="shared" si="283"/>
        <v>-25.497451652388531</v>
      </c>
      <c r="AE489" s="61">
        <f t="shared" si="284"/>
        <v>74.791987389275789</v>
      </c>
      <c r="AF489" s="31" t="str">
        <f t="shared" si="270"/>
        <v>-1.39902068552014E-06</v>
      </c>
      <c r="AG489" s="31" t="str">
        <f t="shared" si="271"/>
        <v>0.106558426124624i</v>
      </c>
      <c r="AH489" s="31">
        <f t="shared" si="285"/>
        <v>0.106558426124624</v>
      </c>
      <c r="AI489" s="31">
        <f t="shared" si="286"/>
        <v>1.5707963267948966</v>
      </c>
      <c r="AJ489" s="31" t="str">
        <f t="shared" si="272"/>
        <v>1+7.69728302206883i</v>
      </c>
      <c r="AK489" s="31">
        <f t="shared" si="287"/>
        <v>7.7619692038701782</v>
      </c>
      <c r="AL489" s="31">
        <f t="shared" si="288"/>
        <v>1.4416039558731721</v>
      </c>
      <c r="AM489" s="31" t="str">
        <f t="shared" si="273"/>
        <v>1+3743.14345549665i</v>
      </c>
      <c r="AN489" s="31">
        <f t="shared" si="289"/>
        <v>3743.1435890742159</v>
      </c>
      <c r="AO489" s="31">
        <f t="shared" si="290"/>
        <v>1.5705291716649641</v>
      </c>
      <c r="AP489" s="58" t="str">
        <f t="shared" si="291"/>
        <v>-0.000814019841057731+0.00627887024399093i</v>
      </c>
      <c r="AQ489" s="49">
        <f t="shared" si="292"/>
        <v>-43.969981790464317</v>
      </c>
      <c r="AR489" s="61">
        <f t="shared" si="293"/>
        <v>97.386870737683083</v>
      </c>
      <c r="AS489" s="58" t="str">
        <f t="shared" si="294"/>
        <v>-0.000333096048135054+0.0000457537064006817i</v>
      </c>
      <c r="AT489" s="64">
        <f t="shared" si="295"/>
        <v>-69.467433442852837</v>
      </c>
      <c r="AU489" s="61">
        <f t="shared" si="296"/>
        <v>172.17885812695891</v>
      </c>
    </row>
    <row r="490" spans="14:47" x14ac:dyDescent="0.4">
      <c r="N490" s="10">
        <v>72</v>
      </c>
      <c r="O490" s="50">
        <f t="shared" si="297"/>
        <v>524807.46024977288</v>
      </c>
      <c r="P490" s="48" t="str">
        <f t="shared" si="265"/>
        <v>5120.19230769231</v>
      </c>
      <c r="Q490" s="17" t="str">
        <f t="shared" si="266"/>
        <v>1+15409.2960225293i</v>
      </c>
      <c r="R490" s="17">
        <f t="shared" si="274"/>
        <v>15409.296054977245</v>
      </c>
      <c r="S490" s="17">
        <f t="shared" si="275"/>
        <v>1.5707314309036675</v>
      </c>
      <c r="T490" s="17" t="str">
        <f t="shared" si="267"/>
        <v>1+0.0329416506081627i</v>
      </c>
      <c r="U490" s="17">
        <f t="shared" si="276"/>
        <v>1.0005424290577538</v>
      </c>
      <c r="V490" s="17">
        <f t="shared" si="277"/>
        <v>3.2929742790479909E-2</v>
      </c>
      <c r="W490" s="31" t="str">
        <f t="shared" si="268"/>
        <v>1-53.4188928781017i</v>
      </c>
      <c r="X490" s="17">
        <f t="shared" si="278"/>
        <v>53.428252042548657</v>
      </c>
      <c r="Y490" s="17">
        <f t="shared" si="279"/>
        <v>-1.5520785444097764</v>
      </c>
      <c r="Z490" s="31" t="str">
        <f t="shared" si="269"/>
        <v>-109.169148133527+325.239414898126i</v>
      </c>
      <c r="AA490" s="17">
        <f t="shared" si="280"/>
        <v>343.07226630474702</v>
      </c>
      <c r="AB490" s="17">
        <f t="shared" si="281"/>
        <v>1.8946374448881396</v>
      </c>
      <c r="AC490" s="66" t="str">
        <f t="shared" si="282"/>
        <v>0.0139163446909382+0.0498702135867246i</v>
      </c>
      <c r="AD490" s="64">
        <f t="shared" si="283"/>
        <v>-25.717513234905709</v>
      </c>
      <c r="AE490" s="61">
        <f t="shared" si="284"/>
        <v>74.408174175992258</v>
      </c>
      <c r="AF490" s="31" t="str">
        <f t="shared" si="270"/>
        <v>-1.39902068552014E-06</v>
      </c>
      <c r="AG490" s="31" t="str">
        <f t="shared" si="271"/>
        <v>0.109040490721794i</v>
      </c>
      <c r="AH490" s="31">
        <f t="shared" si="285"/>
        <v>0.109040490721794</v>
      </c>
      <c r="AI490" s="31">
        <f t="shared" si="286"/>
        <v>1.5707963267948966</v>
      </c>
      <c r="AJ490" s="31" t="str">
        <f t="shared" si="272"/>
        <v>1+7.87657577608467i</v>
      </c>
      <c r="AK490" s="31">
        <f t="shared" si="287"/>
        <v>7.93980138016083</v>
      </c>
      <c r="AL490" s="31">
        <f t="shared" si="288"/>
        <v>1.4445132109252272</v>
      </c>
      <c r="AM490" s="31" t="str">
        <f t="shared" si="273"/>
        <v>1+3830.33246711129i</v>
      </c>
      <c r="AN490" s="31">
        <f t="shared" si="289"/>
        <v>3830.3325976482593</v>
      </c>
      <c r="AO490" s="31">
        <f t="shared" si="290"/>
        <v>1.5705352528578778</v>
      </c>
      <c r="AP490" s="58" t="str">
        <f t="shared" si="291"/>
        <v>-0.000777964078515933+0.00614052330153912i</v>
      </c>
      <c r="AQ490" s="49">
        <f t="shared" si="292"/>
        <v>-44.166736265598729</v>
      </c>
      <c r="AR490" s="61">
        <f t="shared" si="293"/>
        <v>97.220531128361557</v>
      </c>
      <c r="AS490" s="58" t="str">
        <f t="shared" si="294"/>
        <v>-0.000317055624855811+0.0000466564040885673i</v>
      </c>
      <c r="AT490" s="64">
        <f t="shared" si="295"/>
        <v>-69.884249500504438</v>
      </c>
      <c r="AU490" s="61">
        <f t="shared" si="296"/>
        <v>171.62870530435379</v>
      </c>
    </row>
    <row r="491" spans="14:47" x14ac:dyDescent="0.4">
      <c r="N491" s="10">
        <v>73</v>
      </c>
      <c r="O491" s="50">
        <f t="shared" si="297"/>
        <v>537031.7963702539</v>
      </c>
      <c r="P491" s="48" t="str">
        <f t="shared" si="265"/>
        <v>5120.19230769231</v>
      </c>
      <c r="Q491" s="17" t="str">
        <f t="shared" si="266"/>
        <v>1+15768.224635834i</v>
      </c>
      <c r="R491" s="17">
        <f t="shared" si="274"/>
        <v>15768.22466754334</v>
      </c>
      <c r="S491" s="17">
        <f t="shared" si="275"/>
        <v>1.5707329081144963</v>
      </c>
      <c r="T491" s="17" t="str">
        <f t="shared" si="267"/>
        <v>1+0.033708960221494i</v>
      </c>
      <c r="U491" s="17">
        <f t="shared" si="276"/>
        <v>1.0005679856957319</v>
      </c>
      <c r="V491" s="17">
        <f t="shared" si="277"/>
        <v>3.3696201156121514E-2</v>
      </c>
      <c r="W491" s="31" t="str">
        <f t="shared" si="268"/>
        <v>1-54.6631787375578i</v>
      </c>
      <c r="X491" s="17">
        <f t="shared" si="278"/>
        <v>54.672324897467007</v>
      </c>
      <c r="Y491" s="17">
        <f t="shared" si="279"/>
        <v>-1.5525045170153922</v>
      </c>
      <c r="Z491" s="31" t="str">
        <f t="shared" si="269"/>
        <v>-114.361260125065+332.815214078746i</v>
      </c>
      <c r="AA491" s="17">
        <f t="shared" si="280"/>
        <v>351.91542242373282</v>
      </c>
      <c r="AB491" s="17">
        <f t="shared" si="281"/>
        <v>1.9017742456485087</v>
      </c>
      <c r="AC491" s="66" t="str">
        <f t="shared" si="282"/>
        <v>0.0138970638308877+0.0485245539921626i</v>
      </c>
      <c r="AD491" s="64">
        <f t="shared" si="283"/>
        <v>-25.938413618344324</v>
      </c>
      <c r="AE491" s="61">
        <f t="shared" si="284"/>
        <v>74.018689372285209</v>
      </c>
      <c r="AF491" s="31" t="str">
        <f t="shared" si="270"/>
        <v>-1.39902068552014E-06</v>
      </c>
      <c r="AG491" s="31" t="str">
        <f t="shared" si="271"/>
        <v>0.111580370030467i</v>
      </c>
      <c r="AH491" s="31">
        <f t="shared" si="285"/>
        <v>0.111580370030467</v>
      </c>
      <c r="AI491" s="31">
        <f t="shared" si="286"/>
        <v>1.5707963267948966</v>
      </c>
      <c r="AJ491" s="31" t="str">
        <f t="shared" si="272"/>
        <v>1+8.0600447948358i</v>
      </c>
      <c r="AK491" s="31">
        <f t="shared" si="287"/>
        <v>8.1218422845287801</v>
      </c>
      <c r="AL491" s="31">
        <f t="shared" si="288"/>
        <v>1.4473583213958876</v>
      </c>
      <c r="AM491" s="31" t="str">
        <f t="shared" si="273"/>
        <v>1+3919.55237170044i</v>
      </c>
      <c r="AN491" s="31">
        <f t="shared" si="289"/>
        <v>3919.5524992660248</v>
      </c>
      <c r="AO491" s="31">
        <f t="shared" si="290"/>
        <v>1.5705411956259594</v>
      </c>
      <c r="AP491" s="58" t="str">
        <f t="shared" si="291"/>
        <v>-0.000743480731557506+0.00600502623352117i</v>
      </c>
      <c r="AQ491" s="49">
        <f t="shared" si="292"/>
        <v>-44.363634547625885</v>
      </c>
      <c r="AR491" s="61">
        <f t="shared" si="293"/>
        <v>97.057858801673916</v>
      </c>
      <c r="AS491" s="58" t="str">
        <f t="shared" si="294"/>
        <v>-0.000301723418876341+0.0000473751619728041i</v>
      </c>
      <c r="AT491" s="64">
        <f t="shared" si="295"/>
        <v>-70.302048165970191</v>
      </c>
      <c r="AU491" s="61">
        <f t="shared" si="296"/>
        <v>171.07654817395911</v>
      </c>
    </row>
    <row r="492" spans="14:47" x14ac:dyDescent="0.4">
      <c r="N492" s="10">
        <v>74</v>
      </c>
      <c r="O492" s="50">
        <f t="shared" si="297"/>
        <v>549540.87385762564</v>
      </c>
      <c r="P492" s="48" t="str">
        <f t="shared" si="265"/>
        <v>5120.19230769231</v>
      </c>
      <c r="Q492" s="17" t="str">
        <f t="shared" si="266"/>
        <v>1+16135.5137705576i</v>
      </c>
      <c r="R492" s="17">
        <f t="shared" si="274"/>
        <v>16135.513801545148</v>
      </c>
      <c r="S492" s="17">
        <f t="shared" si="275"/>
        <v>1.5707343516999019</v>
      </c>
      <c r="T492" s="17" t="str">
        <f t="shared" si="267"/>
        <v>1+0.0344941427717255i</v>
      </c>
      <c r="U492" s="17">
        <f t="shared" si="276"/>
        <v>1.0005947460813274</v>
      </c>
      <c r="V492" s="17">
        <f t="shared" si="277"/>
        <v>3.4480471625715652E-2</v>
      </c>
      <c r="W492" s="31" t="str">
        <f t="shared" si="268"/>
        <v>1-55.9364477379331i</v>
      </c>
      <c r="X492" s="17">
        <f t="shared" si="278"/>
        <v>55.945385739473828</v>
      </c>
      <c r="Y492" s="17">
        <f t="shared" si="279"/>
        <v>-1.5529207997159136</v>
      </c>
      <c r="Z492" s="31" t="str">
        <f t="shared" si="269"/>
        <v>-119.798068816081+340.567476291199i</v>
      </c>
      <c r="AA492" s="17">
        <f t="shared" si="280"/>
        <v>361.02324468019907</v>
      </c>
      <c r="AB492" s="17">
        <f t="shared" si="281"/>
        <v>1.9090383530779735</v>
      </c>
      <c r="AC492" s="66" t="str">
        <f t="shared" si="282"/>
        <v>0.0138726706334527+0.0472067312787416i</v>
      </c>
      <c r="AD492" s="64">
        <f t="shared" si="283"/>
        <v>-26.160184013049367</v>
      </c>
      <c r="AE492" s="61">
        <f t="shared" si="284"/>
        <v>73.623488109376439</v>
      </c>
      <c r="AF492" s="31" t="str">
        <f t="shared" si="270"/>
        <v>-1.39902068552014E-06</v>
      </c>
      <c r="AG492" s="31" t="str">
        <f t="shared" si="271"/>
        <v>0.11417941072827i</v>
      </c>
      <c r="AH492" s="31">
        <f t="shared" si="285"/>
        <v>0.11417941072826999</v>
      </c>
      <c r="AI492" s="31">
        <f t="shared" si="286"/>
        <v>1.5707963267948966</v>
      </c>
      <c r="AJ492" s="31" t="str">
        <f t="shared" si="272"/>
        <v>1+8.24778735602443i</v>
      </c>
      <c r="AK492" s="31">
        <f t="shared" si="287"/>
        <v>8.3081885071414021</v>
      </c>
      <c r="AL492" s="31">
        <f t="shared" si="288"/>
        <v>1.4501406114605309</v>
      </c>
      <c r="AM492" s="31" t="str">
        <f t="shared" si="273"/>
        <v>1+4010.85047483847i</v>
      </c>
      <c r="AN492" s="31">
        <f t="shared" si="289"/>
        <v>4010.8505995003075</v>
      </c>
      <c r="AO492" s="31">
        <f t="shared" si="290"/>
        <v>1.5705470031201416</v>
      </c>
      <c r="AP492" s="58" t="str">
        <f t="shared" si="291"/>
        <v>-0.000710503362468419+0.00587233347742125i</v>
      </c>
      <c r="AQ492" s="49">
        <f t="shared" si="292"/>
        <v>-44.560670360578321</v>
      </c>
      <c r="AR492" s="61">
        <f t="shared" si="293"/>
        <v>96.898778068494892</v>
      </c>
      <c r="AS492" s="58" t="str">
        <f t="shared" si="294"/>
        <v>-0.000287070247579268+0.0000479244068773739i</v>
      </c>
      <c r="AT492" s="64">
        <f t="shared" si="295"/>
        <v>-70.720854373627702</v>
      </c>
      <c r="AU492" s="61">
        <f t="shared" si="296"/>
        <v>170.52226617787133</v>
      </c>
    </row>
    <row r="493" spans="14:47" x14ac:dyDescent="0.4">
      <c r="N493" s="10">
        <v>75</v>
      </c>
      <c r="O493" s="50">
        <f t="shared" si="297"/>
        <v>562341.32519035018</v>
      </c>
      <c r="P493" s="48" t="str">
        <f t="shared" si="265"/>
        <v>5120.19230769231</v>
      </c>
      <c r="Q493" s="17" t="str">
        <f t="shared" si="266"/>
        <v>1+16511.3581682613i</v>
      </c>
      <c r="R493" s="17">
        <f t="shared" si="274"/>
        <v>16511.358198543483</v>
      </c>
      <c r="S493" s="17">
        <f t="shared" si="275"/>
        <v>1.570735762425292</v>
      </c>
      <c r="T493" s="17" t="str">
        <f t="shared" si="267"/>
        <v>1+0.0352976145730386i</v>
      </c>
      <c r="U493" s="17">
        <f t="shared" si="276"/>
        <v>1.0006227668779812</v>
      </c>
      <c r="V493" s="17">
        <f t="shared" si="277"/>
        <v>3.5282966168527601E-2</v>
      </c>
      <c r="W493" s="31" t="str">
        <f t="shared" si="268"/>
        <v>1-57.2393749833057i</v>
      </c>
      <c r="X493" s="17">
        <f t="shared" si="278"/>
        <v>57.248109562495451</v>
      </c>
      <c r="Y493" s="17">
        <f t="shared" si="279"/>
        <v>-1.5533276126525024</v>
      </c>
      <c r="Z493" s="31" t="str">
        <f t="shared" si="269"/>
        <v>-125.491106406736+348.500311887526i</v>
      </c>
      <c r="AA493" s="17">
        <f t="shared" si="280"/>
        <v>370.4058384703049</v>
      </c>
      <c r="AB493" s="17">
        <f t="shared" si="281"/>
        <v>1.9164306371944213</v>
      </c>
      <c r="AC493" s="66" t="str">
        <f t="shared" si="282"/>
        <v>0.0138432075823638+0.0459161653330004i</v>
      </c>
      <c r="AD493" s="64">
        <f t="shared" si="283"/>
        <v>-26.382856395834047</v>
      </c>
      <c r="AE493" s="61">
        <f t="shared" si="284"/>
        <v>73.222531485998942</v>
      </c>
      <c r="AF493" s="31" t="str">
        <f t="shared" si="270"/>
        <v>-1.39902068552014E-06</v>
      </c>
      <c r="AG493" s="31" t="str">
        <f t="shared" si="271"/>
        <v>0.116838990860985i</v>
      </c>
      <c r="AH493" s="31">
        <f t="shared" si="285"/>
        <v>0.116838990860985</v>
      </c>
      <c r="AI493" s="31">
        <f t="shared" si="286"/>
        <v>1.5707963267948966</v>
      </c>
      <c r="AJ493" s="31" t="str">
        <f t="shared" si="272"/>
        <v>1+8.43990300324163i</v>
      </c>
      <c r="AK493" s="31">
        <f t="shared" si="287"/>
        <v>8.4989389163663898</v>
      </c>
      <c r="AL493" s="31">
        <f t="shared" si="288"/>
        <v>1.4528613839291327</v>
      </c>
      <c r="AM493" s="31" t="str">
        <f t="shared" si="273"/>
        <v>1+4104.27518398815i</v>
      </c>
      <c r="AN493" s="31">
        <f t="shared" si="289"/>
        <v>4104.275305812339</v>
      </c>
      <c r="AO493" s="31">
        <f t="shared" si="290"/>
        <v>1.5705526784196333</v>
      </c>
      <c r="AP493" s="58" t="str">
        <f t="shared" si="291"/>
        <v>-0.00067896815497864+0.00574239928993366i</v>
      </c>
      <c r="AQ493" s="49">
        <f t="shared" si="292"/>
        <v>-44.757837694048064</v>
      </c>
      <c r="AR493" s="61">
        <f t="shared" si="293"/>
        <v>96.743214459736961</v>
      </c>
      <c r="AS493" s="58" t="str">
        <f t="shared" si="294"/>
        <v>-0.000273068052315882+0.0000483176113315287i</v>
      </c>
      <c r="AT493" s="64">
        <f t="shared" si="295"/>
        <v>-71.140694089882118</v>
      </c>
      <c r="AU493" s="61">
        <f t="shared" si="296"/>
        <v>169.9657459457359</v>
      </c>
    </row>
    <row r="494" spans="14:47" x14ac:dyDescent="0.4">
      <c r="N494" s="10">
        <v>76</v>
      </c>
      <c r="O494" s="50">
        <f t="shared" si="297"/>
        <v>575439.93733715697</v>
      </c>
      <c r="P494" s="48" t="str">
        <f t="shared" si="265"/>
        <v>5120.19230769231</v>
      </c>
      <c r="Q494" s="17" t="str">
        <f t="shared" si="266"/>
        <v>1+16895.9571066193i</v>
      </c>
      <c r="R494" s="17">
        <f t="shared" si="274"/>
        <v>16895.957136212175</v>
      </c>
      <c r="S494" s="17">
        <f t="shared" si="275"/>
        <v>1.5707371410386519</v>
      </c>
      <c r="T494" s="17" t="str">
        <f t="shared" si="267"/>
        <v>1+0.0361198016368173i</v>
      </c>
      <c r="U494" s="17">
        <f t="shared" si="276"/>
        <v>1.0006521074131023</v>
      </c>
      <c r="V494" s="17">
        <f t="shared" si="277"/>
        <v>3.6104106140988274E-2</v>
      </c>
      <c r="W494" s="31" t="str">
        <f t="shared" si="268"/>
        <v>1-58.572651302947i</v>
      </c>
      <c r="X494" s="17">
        <f t="shared" si="278"/>
        <v>58.581187088148184</v>
      </c>
      <c r="Y494" s="17">
        <f t="shared" si="279"/>
        <v>-1.5537251709838438</v>
      </c>
      <c r="Z494" s="31" t="str">
        <f t="shared" si="269"/>
        <v>-131.452448593037+356.617926962162i</v>
      </c>
      <c r="AA494" s="17">
        <f t="shared" si="280"/>
        <v>380.07379819173923</v>
      </c>
      <c r="AB494" s="17">
        <f t="shared" si="281"/>
        <v>1.9239518718146813</v>
      </c>
      <c r="AC494" s="66" t="str">
        <f t="shared" si="282"/>
        <v>0.0138087133881964+0.0446522954469058i</v>
      </c>
      <c r="AD494" s="64">
        <f t="shared" si="283"/>
        <v>-26.606463497407233</v>
      </c>
      <c r="AE494" s="61">
        <f t="shared" si="284"/>
        <v>72.815786937118659</v>
      </c>
      <c r="AF494" s="31" t="str">
        <f t="shared" si="270"/>
        <v>-1.39902068552014E-06</v>
      </c>
      <c r="AG494" s="31" t="str">
        <f t="shared" si="271"/>
        <v>0.119560520573201i</v>
      </c>
      <c r="AH494" s="31">
        <f t="shared" si="285"/>
        <v>0.119560520573201</v>
      </c>
      <c r="AI494" s="31">
        <f t="shared" si="286"/>
        <v>1.5707963267948966</v>
      </c>
      <c r="AJ494" s="31" t="str">
        <f t="shared" si="272"/>
        <v>1+8.63649359874643i</v>
      </c>
      <c r="AK494" s="31">
        <f t="shared" si="287"/>
        <v>8.6941947114835223</v>
      </c>
      <c r="AL494" s="31">
        <f t="shared" si="288"/>
        <v>1.4555219201782865</v>
      </c>
      <c r="AM494" s="31" t="str">
        <f t="shared" si="273"/>
        <v>1+4199.87603416686i</v>
      </c>
      <c r="AN494" s="31">
        <f t="shared" si="289"/>
        <v>4199.8761532179915</v>
      </c>
      <c r="AO494" s="31">
        <f t="shared" si="290"/>
        <v>1.5705582245335519</v>
      </c>
      <c r="AP494" s="58" t="str">
        <f t="shared" si="291"/>
        <v>-0.000648813827152792+0.00561517782492057i</v>
      </c>
      <c r="AQ494" s="49">
        <f t="shared" si="292"/>
        <v>-44.95513079267387</v>
      </c>
      <c r="AR494" s="61">
        <f t="shared" si="293"/>
        <v>96.591094730339123</v>
      </c>
      <c r="AS494" s="58" t="str">
        <f t="shared" si="294"/>
        <v>-0.000259689863406719+0.0000485673545080201i</v>
      </c>
      <c r="AT494" s="64">
        <f t="shared" si="295"/>
        <v>-71.561594290081104</v>
      </c>
      <c r="AU494" s="61">
        <f t="shared" si="296"/>
        <v>169.40688166745781</v>
      </c>
    </row>
    <row r="495" spans="14:47" x14ac:dyDescent="0.4">
      <c r="N495" s="10">
        <v>77</v>
      </c>
      <c r="O495" s="50">
        <f t="shared" si="297"/>
        <v>588843.65535558888</v>
      </c>
      <c r="P495" s="48" t="str">
        <f t="shared" si="265"/>
        <v>5120.19230769231</v>
      </c>
      <c r="Q495" s="17" t="str">
        <f t="shared" si="266"/>
        <v>1+17289.5145050798i</v>
      </c>
      <c r="R495" s="17">
        <f t="shared" si="274"/>
        <v>17289.514533999059</v>
      </c>
      <c r="S495" s="17">
        <f t="shared" si="275"/>
        <v>1.570738488270941</v>
      </c>
      <c r="T495" s="17" t="str">
        <f t="shared" si="267"/>
        <v>1+0.0369611398975261i</v>
      </c>
      <c r="U495" s="17">
        <f t="shared" si="276"/>
        <v>1.0006828298029924</v>
      </c>
      <c r="V495" s="17">
        <f t="shared" si="277"/>
        <v>3.6944322490484752E-2</v>
      </c>
      <c r="W495" s="31" t="str">
        <f t="shared" si="268"/>
        <v>1-59.9369836176098i</v>
      </c>
      <c r="X495" s="17">
        <f t="shared" si="278"/>
        <v>59.945325131970257</v>
      </c>
      <c r="Y495" s="17">
        <f t="shared" si="279"/>
        <v>-1.5541136849976573</v>
      </c>
      <c r="Z495" s="31" t="str">
        <f t="shared" si="269"/>
        <v>-137.694740181013+364.92462558207i</v>
      </c>
      <c r="AA495" s="17">
        <f t="shared" si="280"/>
        <v>390.0382338050087</v>
      </c>
      <c r="AB495" s="17">
        <f t="shared" si="281"/>
        <v>1.9316027280634744</v>
      </c>
      <c r="AC495" s="66" t="str">
        <f t="shared" si="282"/>
        <v>0.0137692234941439+0.0434145800832847i</v>
      </c>
      <c r="AD495" s="64">
        <f t="shared" si="283"/>
        <v>-26.83103878646136</v>
      </c>
      <c r="AE495" s="61">
        <f t="shared" si="284"/>
        <v>72.403228611108148</v>
      </c>
      <c r="AF495" s="31" t="str">
        <f t="shared" si="270"/>
        <v>-1.39902068552014E-06</v>
      </c>
      <c r="AG495" s="31" t="str">
        <f t="shared" si="271"/>
        <v>0.122345442855995i</v>
      </c>
      <c r="AH495" s="31">
        <f t="shared" si="285"/>
        <v>0.122345442855995</v>
      </c>
      <c r="AI495" s="31">
        <f t="shared" si="286"/>
        <v>1.5707963267948966</v>
      </c>
      <c r="AJ495" s="31" t="str">
        <f t="shared" si="272"/>
        <v>1+8.83766337747481i</v>
      </c>
      <c r="AK495" s="31">
        <f t="shared" si="287"/>
        <v>8.8940594766146841</v>
      </c>
      <c r="AL495" s="31">
        <f t="shared" si="288"/>
        <v>1.4581234801184622</v>
      </c>
      <c r="AM495" s="31" t="str">
        <f t="shared" si="273"/>
        <v>1+4297.70371421084i</v>
      </c>
      <c r="AN495" s="31">
        <f t="shared" si="289"/>
        <v>4297.7038305520373</v>
      </c>
      <c r="AO495" s="31">
        <f t="shared" si="290"/>
        <v>1.5705636444025191</v>
      </c>
      <c r="AP495" s="58" t="str">
        <f t="shared" si="291"/>
        <v>-0.000619981545680696+0.00549062320543904i</v>
      </c>
      <c r="AQ495" s="49">
        <f t="shared" si="292"/>
        <v>-45.152544145981707</v>
      </c>
      <c r="AR495" s="61">
        <f t="shared" si="293"/>
        <v>96.442346861234086</v>
      </c>
      <c r="AS495" s="58" t="str">
        <f t="shared" si="294"/>
        <v>-0.000246909765324397+0.0000486853795727097i</v>
      </c>
      <c r="AT495" s="64">
        <f t="shared" si="295"/>
        <v>-71.98358293244307</v>
      </c>
      <c r="AU495" s="61">
        <f t="shared" si="296"/>
        <v>168.84557547234226</v>
      </c>
    </row>
    <row r="496" spans="14:47" x14ac:dyDescent="0.4">
      <c r="N496" s="10">
        <v>78</v>
      </c>
      <c r="O496" s="50">
        <f t="shared" si="297"/>
        <v>602559.58607435878</v>
      </c>
      <c r="P496" s="48" t="str">
        <f t="shared" si="265"/>
        <v>5120.19230769231</v>
      </c>
      <c r="Q496" s="17" t="str">
        <f t="shared" si="266"/>
        <v>1+17692.2390329846i</v>
      </c>
      <c r="R496" s="17">
        <f t="shared" si="274"/>
        <v>17692.239061245575</v>
      </c>
      <c r="S496" s="17">
        <f t="shared" si="275"/>
        <v>1.5707398048364791</v>
      </c>
      <c r="T496" s="17" t="str">
        <f t="shared" si="267"/>
        <v>1+0.037822075443847i</v>
      </c>
      <c r="U496" s="17">
        <f t="shared" si="276"/>
        <v>1.0007149990835953</v>
      </c>
      <c r="V496" s="17">
        <f t="shared" si="277"/>
        <v>3.7804055962840734E-2</v>
      </c>
      <c r="W496" s="31" t="str">
        <f t="shared" si="268"/>
        <v>1-61.3330953143464i</v>
      </c>
      <c r="X496" s="17">
        <f t="shared" si="278"/>
        <v>61.341246978185076</v>
      </c>
      <c r="Y496" s="17">
        <f t="shared" si="279"/>
        <v>-1.5544933602197988</v>
      </c>
      <c r="Z496" s="31" t="str">
        <f t="shared" si="269"/>
        <v>-144.231221908041+373.42481206881i</v>
      </c>
      <c r="AA496" s="17">
        <f t="shared" si="280"/>
        <v>400.31079880726753</v>
      </c>
      <c r="AB496" s="17">
        <f t="shared" si="281"/>
        <v>1.9393837677597912</v>
      </c>
      <c r="AC496" s="66" t="str">
        <f t="shared" si="282"/>
        <v>0.0137247705890861+0.0422024966338422i</v>
      </c>
      <c r="AD496" s="64">
        <f t="shared" si="283"/>
        <v>-27.056616450212047</v>
      </c>
      <c r="AE496" s="61">
        <f t="shared" si="284"/>
        <v>71.984837754294361</v>
      </c>
      <c r="AF496" s="31" t="str">
        <f t="shared" si="270"/>
        <v>-1.39902068552014E-06</v>
      </c>
      <c r="AG496" s="31" t="str">
        <f t="shared" si="271"/>
        <v>0.125195234312025i</v>
      </c>
      <c r="AH496" s="31">
        <f t="shared" si="285"/>
        <v>0.12519523431202501</v>
      </c>
      <c r="AI496" s="31">
        <f t="shared" si="286"/>
        <v>1.5707963267948966</v>
      </c>
      <c r="AJ496" s="31" t="str">
        <f t="shared" si="272"/>
        <v>1+9.04351900230623i</v>
      </c>
      <c r="AK496" s="31">
        <f t="shared" si="287"/>
        <v>9.098639235900821</v>
      </c>
      <c r="AL496" s="31">
        <f t="shared" si="288"/>
        <v>1.4606673021937846</v>
      </c>
      <c r="AM496" s="31" t="str">
        <f t="shared" si="273"/>
        <v>1+4397.81009365092i</v>
      </c>
      <c r="AN496" s="31">
        <f t="shared" si="289"/>
        <v>4397.8102073438677</v>
      </c>
      <c r="AO496" s="31">
        <f t="shared" si="290"/>
        <v>1.5705689409002195</v>
      </c>
      <c r="AP496" s="58" t="str">
        <f t="shared" si="291"/>
        <v>-0.000592414841702524+0.00536868959017154i</v>
      </c>
      <c r="AQ496" s="49">
        <f t="shared" si="292"/>
        <v>-45.350072478571619</v>
      </c>
      <c r="AR496" s="61">
        <f t="shared" si="293"/>
        <v>96.296900059450294</v>
      </c>
      <c r="AS496" s="58" t="str">
        <f t="shared" si="294"/>
        <v>-0.000234702862153295+0.0000486826476263301i</v>
      </c>
      <c r="AT496" s="64">
        <f t="shared" si="295"/>
        <v>-72.406688928783666</v>
      </c>
      <c r="AU496" s="61">
        <f t="shared" si="296"/>
        <v>168.28173781374468</v>
      </c>
    </row>
    <row r="497" spans="14:47" x14ac:dyDescent="0.4">
      <c r="N497" s="10">
        <v>79</v>
      </c>
      <c r="O497" s="50">
        <f t="shared" si="297"/>
        <v>616595.00186148309</v>
      </c>
      <c r="P497" s="48" t="str">
        <f t="shared" si="265"/>
        <v>5120.19230769231</v>
      </c>
      <c r="Q497" s="17" t="str">
        <f t="shared" si="266"/>
        <v>1+18104.3442202091i</v>
      </c>
      <c r="R497" s="17">
        <f t="shared" si="274"/>
        <v>18104.344247826783</v>
      </c>
      <c r="S497" s="17">
        <f t="shared" si="275"/>
        <v>1.5707410914333271</v>
      </c>
      <c r="T497" s="17" t="str">
        <f t="shared" si="267"/>
        <v>1+0.0387030647552027i</v>
      </c>
      <c r="U497" s="17">
        <f t="shared" si="276"/>
        <v>1.0007486833473453</v>
      </c>
      <c r="V497" s="17">
        <f t="shared" si="277"/>
        <v>3.8683757313503112E-2</v>
      </c>
      <c r="W497" s="31" t="str">
        <f t="shared" si="268"/>
        <v>1-62.7617266300583i</v>
      </c>
      <c r="X497" s="17">
        <f t="shared" si="278"/>
        <v>62.769692763197185</v>
      </c>
      <c r="Y497" s="17">
        <f t="shared" si="279"/>
        <v>-1.5548643975209939</v>
      </c>
      <c r="Z497" s="31" t="str">
        <f t="shared" si="269"/>
        <v>-151.075758528225+382.122993333772i</v>
      </c>
      <c r="AA497" s="17">
        <f t="shared" si="280"/>
        <v>410.90371968289674</v>
      </c>
      <c r="AB497" s="17">
        <f t="shared" si="281"/>
        <v>1.9472954367022091</v>
      </c>
      <c r="AC497" s="66" t="str">
        <f t="shared" si="282"/>
        <v>0.0136753851280475+0.0410155411676292i</v>
      </c>
      <c r="AD497" s="64">
        <f t="shared" si="283"/>
        <v>-27.28323137118608</v>
      </c>
      <c r="AE497" s="61">
        <f t="shared" si="284"/>
        <v>71.560603101644347</v>
      </c>
      <c r="AF497" s="31" t="str">
        <f t="shared" si="270"/>
        <v>-1.39902068552014E-06</v>
      </c>
      <c r="AG497" s="31" t="str">
        <f t="shared" si="271"/>
        <v>0.128111405938443i</v>
      </c>
      <c r="AH497" s="31">
        <f t="shared" si="285"/>
        <v>0.128111405938443</v>
      </c>
      <c r="AI497" s="31">
        <f t="shared" si="286"/>
        <v>1.5707963267948966</v>
      </c>
      <c r="AJ497" s="31" t="str">
        <f t="shared" si="272"/>
        <v>1+9.25416962061781i</v>
      </c>
      <c r="AK497" s="31">
        <f t="shared" si="287"/>
        <v>9.3080425099569446</v>
      </c>
      <c r="AL497" s="31">
        <f t="shared" si="288"/>
        <v>1.4631546034117919</v>
      </c>
      <c r="AM497" s="31" t="str">
        <f t="shared" si="273"/>
        <v>1+4500.24825021455i</v>
      </c>
      <c r="AN497" s="31">
        <f t="shared" si="289"/>
        <v>4500.24836131953</v>
      </c>
      <c r="AO497" s="31">
        <f t="shared" si="290"/>
        <v>1.5705741168349254</v>
      </c>
      <c r="AP497" s="58" t="str">
        <f t="shared" si="291"/>
        <v>-0.000566059528282619+0.00524933123458096i</v>
      </c>
      <c r="AQ497" s="49">
        <f t="shared" si="292"/>
        <v>-45.547710740643836</v>
      </c>
      <c r="AR497" s="61">
        <f t="shared" si="293"/>
        <v>96.154684756494404</v>
      </c>
      <c r="AS497" s="58" t="str">
        <f t="shared" si="294"/>
        <v>-0.000223045243409143+0.0000485693884119792i</v>
      </c>
      <c r="AT497" s="64">
        <f t="shared" si="295"/>
        <v>-72.830942111829913</v>
      </c>
      <c r="AU497" s="61">
        <f t="shared" si="296"/>
        <v>167.71528785813877</v>
      </c>
    </row>
    <row r="498" spans="14:47" x14ac:dyDescent="0.4">
      <c r="N498" s="10">
        <v>80</v>
      </c>
      <c r="O498" s="50">
        <f t="shared" si="297"/>
        <v>630957.34448019415</v>
      </c>
      <c r="P498" s="48" t="str">
        <f t="shared" si="265"/>
        <v>5120.19230769231</v>
      </c>
      <c r="Q498" s="17" t="str">
        <f t="shared" si="266"/>
        <v>1+18526.0485703786i</v>
      </c>
      <c r="R498" s="17">
        <f t="shared" si="274"/>
        <v>18526.048597367622</v>
      </c>
      <c r="S498" s="17">
        <f t="shared" si="275"/>
        <v>1.5707423487436554</v>
      </c>
      <c r="T498" s="17" t="str">
        <f t="shared" si="267"/>
        <v>1+0.0396045749437871i</v>
      </c>
      <c r="U498" s="17">
        <f t="shared" si="276"/>
        <v>1.000783953886391</v>
      </c>
      <c r="V498" s="17">
        <f t="shared" si="277"/>
        <v>3.958388752243687E-2</v>
      </c>
      <c r="W498" s="31" t="str">
        <f t="shared" si="268"/>
        <v>1-64.223635043979i</v>
      </c>
      <c r="X498" s="17">
        <f t="shared" si="278"/>
        <v>64.231419868022599</v>
      </c>
      <c r="Y498" s="17">
        <f t="shared" si="279"/>
        <v>-1.5552269932212546</v>
      </c>
      <c r="Z498" s="31" t="str">
        <f t="shared" si="269"/>
        <v>-158.242868221399+391.023781267793i</v>
      </c>
      <c r="AA498" s="17">
        <f t="shared" si="280"/>
        <v>421.82982689693466</v>
      </c>
      <c r="AB498" s="17">
        <f t="shared" si="281"/>
        <v>1.9553380578773984</v>
      </c>
      <c r="AC498" s="66" t="str">
        <f t="shared" si="282"/>
        <v>0.0136210958599257+0.0398532281677632i</v>
      </c>
      <c r="AD498" s="64">
        <f t="shared" si="283"/>
        <v>-27.510919100058693</v>
      </c>
      <c r="AE498" s="61">
        <f t="shared" si="284"/>
        <v>71.130521272197669</v>
      </c>
      <c r="AF498" s="31" t="str">
        <f t="shared" si="270"/>
        <v>-1.39902068552014E-06</v>
      </c>
      <c r="AG498" s="31" t="str">
        <f t="shared" si="271"/>
        <v>0.131095503928043i</v>
      </c>
      <c r="AH498" s="31">
        <f t="shared" si="285"/>
        <v>0.13109550392804301</v>
      </c>
      <c r="AI498" s="31">
        <f t="shared" si="286"/>
        <v>1.5707963267948966</v>
      </c>
      <c r="AJ498" s="31" t="str">
        <f t="shared" si="272"/>
        <v>1+9.46972692215564i</v>
      </c>
      <c r="AK498" s="31">
        <f t="shared" si="287"/>
        <v>9.5223803736355421</v>
      </c>
      <c r="AL498" s="31">
        <f t="shared" si="288"/>
        <v>1.4655865794007585</v>
      </c>
      <c r="AM498" s="31" t="str">
        <f t="shared" si="273"/>
        <v>1+4605.07249796827i</v>
      </c>
      <c r="AN498" s="31">
        <f t="shared" si="289"/>
        <v>4605.0726065441931</v>
      </c>
      <c r="AO498" s="31">
        <f t="shared" si="290"/>
        <v>1.5705791749509848</v>
      </c>
      <c r="AP498" s="58" t="str">
        <f t="shared" si="291"/>
        <v>-0.000540863619627255+0.00513250254709681i</v>
      </c>
      <c r="AQ498" s="49">
        <f t="shared" si="292"/>
        <v>-45.745454098858367</v>
      </c>
      <c r="AR498" s="61">
        <f t="shared" si="293"/>
        <v>96.015632605151978</v>
      </c>
      <c r="AS498" s="58" t="str">
        <f t="shared" si="294"/>
        <v>-0.000211913950291164+0.0000483551479546712i</v>
      </c>
      <c r="AT498" s="64">
        <f t="shared" si="295"/>
        <v>-73.256373198917075</v>
      </c>
      <c r="AU498" s="61">
        <f t="shared" si="296"/>
        <v>167.14615387734963</v>
      </c>
    </row>
    <row r="499" spans="14:47" x14ac:dyDescent="0.4">
      <c r="N499" s="10">
        <v>81</v>
      </c>
      <c r="O499" s="50">
        <f t="shared" si="297"/>
        <v>645654.22903465747</v>
      </c>
      <c r="P499" s="48" t="str">
        <f t="shared" si="265"/>
        <v>5120.19230769231</v>
      </c>
      <c r="Q499" s="17" t="str">
        <f t="shared" si="266"/>
        <v>1+18957.5756767213i</v>
      </c>
      <c r="R499" s="17">
        <f t="shared" si="274"/>
        <v>18957.575703095979</v>
      </c>
      <c r="S499" s="17">
        <f t="shared" si="275"/>
        <v>1.5707435774341068</v>
      </c>
      <c r="T499" s="17" t="str">
        <f t="shared" si="267"/>
        <v>1+0.0405270840022353i</v>
      </c>
      <c r="U499" s="17">
        <f t="shared" si="276"/>
        <v>1.0008208853424894</v>
      </c>
      <c r="V499" s="17">
        <f t="shared" si="277"/>
        <v>4.0504918012733718E-2</v>
      </c>
      <c r="W499" s="31" t="str">
        <f t="shared" si="268"/>
        <v>1-65.7195956793005i</v>
      </c>
      <c r="X499" s="17">
        <f t="shared" si="278"/>
        <v>65.727203319863932</v>
      </c>
      <c r="Y499" s="17">
        <f t="shared" si="279"/>
        <v>-1.5555813391920219</v>
      </c>
      <c r="Z499" s="31" t="str">
        <f t="shared" si="269"/>
        <v>-165.747753388135+400.131895186456i</v>
      </c>
      <c r="AA499" s="17">
        <f t="shared" si="280"/>
        <v>433.10258749945029</v>
      </c>
      <c r="AB499" s="17">
        <f t="shared" si="281"/>
        <v>1.963511824618877</v>
      </c>
      <c r="AC499" s="66" t="str">
        <f t="shared" si="282"/>
        <v>0.0135619303621409+0.0387150902541592i</v>
      </c>
      <c r="AD499" s="64">
        <f t="shared" si="283"/>
        <v>-27.73971582434767</v>
      </c>
      <c r="AE499" s="61">
        <f t="shared" si="284"/>
        <v>70.694597167693814</v>
      </c>
      <c r="AF499" s="31" t="str">
        <f t="shared" si="270"/>
        <v>-1.39902068552014E-06</v>
      </c>
      <c r="AG499" s="31" t="str">
        <f t="shared" si="271"/>
        <v>0.134149110489081i</v>
      </c>
      <c r="AH499" s="31">
        <f t="shared" si="285"/>
        <v>0.13414911048908101</v>
      </c>
      <c r="AI499" s="31">
        <f t="shared" si="286"/>
        <v>1.5707963267948966</v>
      </c>
      <c r="AJ499" s="31" t="str">
        <f t="shared" si="272"/>
        <v>1+9.69030519825428i</v>
      </c>
      <c r="AK499" s="31">
        <f t="shared" si="287"/>
        <v>9.7417665151302977</v>
      </c>
      <c r="AL499" s="31">
        <f t="shared" si="288"/>
        <v>1.4679644044923259</v>
      </c>
      <c r="AM499" s="31" t="str">
        <f t="shared" si="273"/>
        <v>1+4712.33841611577i</v>
      </c>
      <c r="AN499" s="31">
        <f t="shared" si="289"/>
        <v>4712.3385222202023</v>
      </c>
      <c r="AO499" s="31">
        <f t="shared" si="290"/>
        <v>1.5705841179302766</v>
      </c>
      <c r="AP499" s="58" t="str">
        <f t="shared" si="291"/>
        <v>-0.000516777252124868+0.00501815814062675i</v>
      </c>
      <c r="AQ499" s="49">
        <f t="shared" si="292"/>
        <v>-45.943297927521122</v>
      </c>
      <c r="AR499" s="61">
        <f t="shared" si="293"/>
        <v>95.879676474836501</v>
      </c>
      <c r="AS499" s="58" t="str">
        <f t="shared" si="294"/>
        <v>-0.000201286942430064+0.0000480488332920798i</v>
      </c>
      <c r="AT499" s="64">
        <f t="shared" si="295"/>
        <v>-73.683013751868799</v>
      </c>
      <c r="AU499" s="61">
        <f t="shared" si="296"/>
        <v>166.5742736425303</v>
      </c>
    </row>
    <row r="500" spans="14:47" x14ac:dyDescent="0.4">
      <c r="N500" s="10">
        <v>82</v>
      </c>
      <c r="O500" s="50">
        <f t="shared" si="297"/>
        <v>660693.44800759677</v>
      </c>
      <c r="P500" s="48" t="str">
        <f t="shared" si="265"/>
        <v>5120.19230769231</v>
      </c>
      <c r="Q500" s="17" t="str">
        <f t="shared" si="266"/>
        <v>1+19399.154340621i</v>
      </c>
      <c r="R500" s="17">
        <f t="shared" si="274"/>
        <v>19399.154366395316</v>
      </c>
      <c r="S500" s="17">
        <f t="shared" si="275"/>
        <v>1.570744778156149</v>
      </c>
      <c r="T500" s="17" t="str">
        <f t="shared" si="267"/>
        <v>1+0.0414710810570608i</v>
      </c>
      <c r="U500" s="17">
        <f t="shared" si="276"/>
        <v>1.0008595558638791</v>
      </c>
      <c r="V500" s="17">
        <f t="shared" si="277"/>
        <v>4.1447330872925951E-2</v>
      </c>
      <c r="W500" s="31" t="str">
        <f t="shared" si="268"/>
        <v>1-67.2504017141526i</v>
      </c>
      <c r="X500" s="17">
        <f t="shared" si="278"/>
        <v>67.257836203039574</v>
      </c>
      <c r="Y500" s="17">
        <f t="shared" si="279"/>
        <v>-1.5559276229560792</v>
      </c>
      <c r="Z500" s="31" t="str">
        <f t="shared" si="269"/>
        <v>-173.606332896067+409.452164332317i</v>
      </c>
      <c r="AA500" s="17">
        <f t="shared" si="280"/>
        <v>444.73613941081823</v>
      </c>
      <c r="AB500" s="17">
        <f t="shared" si="281"/>
        <v>1.9718167937460107</v>
      </c>
      <c r="AC500" s="66" t="str">
        <f t="shared" si="282"/>
        <v>0.0134979155816124+0.0376006778899839i</v>
      </c>
      <c r="AD500" s="64">
        <f t="shared" si="283"/>
        <v>-27.969658332784391</v>
      </c>
      <c r="AE500" s="61">
        <f t="shared" si="284"/>
        <v>70.252844372670765</v>
      </c>
      <c r="AF500" s="31" t="str">
        <f t="shared" si="270"/>
        <v>-1.39902068552014E-06</v>
      </c>
      <c r="AG500" s="31" t="str">
        <f t="shared" si="271"/>
        <v>0.137273844684173i</v>
      </c>
      <c r="AH500" s="31">
        <f t="shared" si="285"/>
        <v>0.137273844684173</v>
      </c>
      <c r="AI500" s="31">
        <f t="shared" si="286"/>
        <v>1.5707963267948966</v>
      </c>
      <c r="AJ500" s="31" t="str">
        <f t="shared" si="272"/>
        <v>1+9.91602140243536i</v>
      </c>
      <c r="AK500" s="31">
        <f t="shared" si="287"/>
        <v>9.9663172964518907</v>
      </c>
      <c r="AL500" s="31">
        <f t="shared" si="288"/>
        <v>1.4702892318273075</v>
      </c>
      <c r="AM500" s="31" t="str">
        <f t="shared" si="273"/>
        <v>1+4822.10287846665i</v>
      </c>
      <c r="AN500" s="31">
        <f t="shared" si="289"/>
        <v>4822.1029821558504</v>
      </c>
      <c r="AO500" s="31">
        <f t="shared" si="290"/>
        <v>1.5705889483936331</v>
      </c>
      <c r="AP500" s="58" t="str">
        <f t="shared" si="291"/>
        <v>-0.000493752607272049+0.00490625287967628i</v>
      </c>
      <c r="AQ500" s="49">
        <f t="shared" si="292"/>
        <v>-46.141237800086444</v>
      </c>
      <c r="AR500" s="61">
        <f t="shared" si="293"/>
        <v>95.746750445608839</v>
      </c>
      <c r="AS500" s="58" t="str">
        <f t="shared" si="294"/>
        <v>-0.000191143065186673+0.0000476587544485371i</v>
      </c>
      <c r="AT500" s="64">
        <f t="shared" si="295"/>
        <v>-74.110896132870835</v>
      </c>
      <c r="AU500" s="61">
        <f t="shared" si="296"/>
        <v>165.99959481827963</v>
      </c>
    </row>
    <row r="501" spans="14:47" x14ac:dyDescent="0.4">
      <c r="N501" s="10">
        <v>83</v>
      </c>
      <c r="O501" s="50">
        <f t="shared" si="297"/>
        <v>676082.97539198259</v>
      </c>
      <c r="P501" s="48" t="str">
        <f t="shared" si="265"/>
        <v>5120.19230769231</v>
      </c>
      <c r="Q501" s="17" t="str">
        <f t="shared" si="266"/>
        <v>1+19851.0186929302i</v>
      </c>
      <c r="R501" s="17">
        <f t="shared" si="274"/>
        <v>19851.018718117823</v>
      </c>
      <c r="S501" s="17">
        <f t="shared" si="275"/>
        <v>1.5707459515464208</v>
      </c>
      <c r="T501" s="17" t="str">
        <f t="shared" si="267"/>
        <v>1+0.0424370666279975i</v>
      </c>
      <c r="U501" s="17">
        <f t="shared" si="276"/>
        <v>1.0009000472694509</v>
      </c>
      <c r="V501" s="17">
        <f t="shared" si="277"/>
        <v>4.2411619082997877E-2</v>
      </c>
      <c r="W501" s="31" t="str">
        <f t="shared" si="268"/>
        <v>1-68.816864802158i</v>
      </c>
      <c r="X501" s="17">
        <f t="shared" si="278"/>
        <v>68.824130079489507</v>
      </c>
      <c r="Y501" s="17">
        <f t="shared" si="279"/>
        <v>-1.5562660277852811</v>
      </c>
      <c r="Z501" s="31" t="str">
        <f t="shared" si="269"/>
        <v>-181.835275845951+418.989530435448i</v>
      </c>
      <c r="AA501" s="17">
        <f t="shared" si="280"/>
        <v>456.74532745994264</v>
      </c>
      <c r="AB501" s="17">
        <f t="shared" si="281"/>
        <v>1.9802528787161648</v>
      </c>
      <c r="AC501" s="66" t="str">
        <f t="shared" si="282"/>
        <v>0.0134290783812068+0.036509559069549i</v>
      </c>
      <c r="AD501" s="64">
        <f t="shared" si="283"/>
        <v>-28.200783975192259</v>
      </c>
      <c r="AE501" s="61">
        <f t="shared" si="284"/>
        <v>69.805285554148043</v>
      </c>
      <c r="AF501" s="31" t="str">
        <f t="shared" si="270"/>
        <v>-1.39902068552014E-06</v>
      </c>
      <c r="AG501" s="31" t="str">
        <f t="shared" si="271"/>
        <v>0.140471363288751i</v>
      </c>
      <c r="AH501" s="31">
        <f t="shared" si="285"/>
        <v>0.14047136328875101</v>
      </c>
      <c r="AI501" s="31">
        <f t="shared" si="286"/>
        <v>1.5707963267948966</v>
      </c>
      <c r="AJ501" s="31" t="str">
        <f t="shared" si="272"/>
        <v>1+10.1469952124181i</v>
      </c>
      <c r="AK501" s="31">
        <f t="shared" si="287"/>
        <v>10.196151815309335</v>
      </c>
      <c r="AL501" s="31">
        <f t="shared" si="288"/>
        <v>1.4725621934826723</v>
      </c>
      <c r="AM501" s="31" t="str">
        <f t="shared" si="273"/>
        <v>1+4934.42408359178i</v>
      </c>
      <c r="AN501" s="31">
        <f t="shared" si="289"/>
        <v>4934.4241849207274</v>
      </c>
      <c r="AO501" s="31">
        <f t="shared" si="290"/>
        <v>1.5705936689022288</v>
      </c>
      <c r="AP501" s="58" t="str">
        <f t="shared" si="291"/>
        <v>-0.000471743836534349+0.00479674192334313i</v>
      </c>
      <c r="AQ501" s="49">
        <f t="shared" si="292"/>
        <v>-46.339269480971566</v>
      </c>
      <c r="AR501" s="61">
        <f t="shared" si="293"/>
        <v>95.616789800981081</v>
      </c>
      <c r="AS501" s="58" t="str">
        <f t="shared" si="294"/>
        <v>-0.000181462017548349+0.0000471926637973491i</v>
      </c>
      <c r="AT501" s="64">
        <f t="shared" si="295"/>
        <v>-74.540053456163832</v>
      </c>
      <c r="AU501" s="61">
        <f t="shared" si="296"/>
        <v>165.4220753551291</v>
      </c>
    </row>
    <row r="502" spans="14:47" x14ac:dyDescent="0.4">
      <c r="N502" s="10">
        <v>84</v>
      </c>
      <c r="O502" s="50">
        <f t="shared" si="297"/>
        <v>691830.97091893724</v>
      </c>
      <c r="P502" s="48" t="str">
        <f t="shared" si="265"/>
        <v>5120.19230769231</v>
      </c>
      <c r="Q502" s="17" t="str">
        <f t="shared" si="266"/>
        <v>1+20313.4083181097i</v>
      </c>
      <c r="R502" s="17">
        <f t="shared" si="274"/>
        <v>20313.408342723982</v>
      </c>
      <c r="S502" s="17">
        <f t="shared" si="275"/>
        <v>1.5707470982270693</v>
      </c>
      <c r="T502" s="17" t="str">
        <f t="shared" si="267"/>
        <v>1+0.0434255528933813i</v>
      </c>
      <c r="U502" s="17">
        <f t="shared" si="276"/>
        <v>1.0009424452205511</v>
      </c>
      <c r="V502" s="17">
        <f t="shared" si="277"/>
        <v>4.3398286744073929E-2</v>
      </c>
      <c r="W502" s="31" t="str">
        <f t="shared" si="268"/>
        <v>1-70.4198155027803i</v>
      </c>
      <c r="X502" s="17">
        <f t="shared" si="278"/>
        <v>70.426915419075513</v>
      </c>
      <c r="Y502" s="17">
        <f t="shared" si="279"/>
        <v>-1.5565967327961425</v>
      </c>
      <c r="Z502" s="31" t="str">
        <f t="shared" si="269"/>
        <v>-190.452036929056+428.749050333597i</v>
      </c>
      <c r="AA502" s="17">
        <f t="shared" si="280"/>
        <v>469.14574124933478</v>
      </c>
      <c r="AB502" s="17">
        <f t="shared" si="281"/>
        <v>1.9888198428258268</v>
      </c>
      <c r="AC502" s="66" t="str">
        <f t="shared" si="282"/>
        <v>0.0133554460905263+0.0354413189853638i</v>
      </c>
      <c r="AD502" s="64">
        <f t="shared" si="283"/>
        <v>-28.433130617720987</v>
      </c>
      <c r="AE502" s="61">
        <f t="shared" si="284"/>
        <v>69.351952858838217</v>
      </c>
      <c r="AF502" s="31" t="str">
        <f t="shared" si="270"/>
        <v>-1.39902068552014E-06</v>
      </c>
      <c r="AG502" s="31" t="str">
        <f t="shared" si="271"/>
        <v>0.143743361669503i</v>
      </c>
      <c r="AH502" s="31">
        <f t="shared" si="285"/>
        <v>0.14374336166950299</v>
      </c>
      <c r="AI502" s="31">
        <f t="shared" si="286"/>
        <v>1.5707963267948966</v>
      </c>
      <c r="AJ502" s="31" t="str">
        <f t="shared" si="272"/>
        <v>1+10.3833490935738i</v>
      </c>
      <c r="AK502" s="31">
        <f t="shared" si="287"/>
        <v>10.431391968429709</v>
      </c>
      <c r="AL502" s="31">
        <f t="shared" si="288"/>
        <v>1.4747844006178248</v>
      </c>
      <c r="AM502" s="31" t="str">
        <f t="shared" si="273"/>
        <v>1+5049.36158568084i</v>
      </c>
      <c r="AN502" s="31">
        <f t="shared" si="289"/>
        <v>5049.361684703259</v>
      </c>
      <c r="AO502" s="31">
        <f t="shared" si="290"/>
        <v>1.5705982819589392</v>
      </c>
      <c r="AP502" s="58" t="str">
        <f t="shared" si="291"/>
        <v>-0.000450706988178906+0.0046895807644433i</v>
      </c>
      <c r="AQ502" s="49">
        <f t="shared" si="292"/>
        <v>-46.537388917672743</v>
      </c>
      <c r="AR502" s="61">
        <f t="shared" si="293"/>
        <v>95.489731019613146</v>
      </c>
      <c r="AS502" s="58" t="str">
        <f t="shared" si="294"/>
        <v>-0.000172224320663508+0.0000466577929497104i</v>
      </c>
      <c r="AT502" s="64">
        <f t="shared" si="295"/>
        <v>-74.97051953539372</v>
      </c>
      <c r="AU502" s="61">
        <f t="shared" si="296"/>
        <v>164.84168387845133</v>
      </c>
    </row>
    <row r="503" spans="14:47" x14ac:dyDescent="0.4">
      <c r="N503" s="10">
        <v>85</v>
      </c>
      <c r="O503" s="50">
        <f t="shared" si="297"/>
        <v>707945.78438413853</v>
      </c>
      <c r="P503" s="48" t="str">
        <f t="shared" si="265"/>
        <v>5120.19230769231</v>
      </c>
      <c r="Q503" s="17" t="str">
        <f t="shared" si="266"/>
        <v>1+20786.5683812593i</v>
      </c>
      <c r="R503" s="17">
        <f t="shared" si="274"/>
        <v>20786.568405313294</v>
      </c>
      <c r="S503" s="17">
        <f t="shared" si="275"/>
        <v>1.5707482188060797</v>
      </c>
      <c r="T503" s="17" t="str">
        <f t="shared" si="267"/>
        <v>1+0.0444370639617143i</v>
      </c>
      <c r="U503" s="17">
        <f t="shared" si="276"/>
        <v>1.0009868394007673</v>
      </c>
      <c r="V503" s="17">
        <f t="shared" si="277"/>
        <v>4.4407849311759999E-2</v>
      </c>
      <c r="W503" s="31" t="str">
        <f t="shared" si="268"/>
        <v>1-72.0601037216988i</v>
      </c>
      <c r="X503" s="17">
        <f t="shared" si="278"/>
        <v>72.067042039908856</v>
      </c>
      <c r="Y503" s="17">
        <f t="shared" si="279"/>
        <v>-1.5569199130433289</v>
      </c>
      <c r="Z503" s="31" t="str">
        <f t="shared" si="269"/>
        <v>-199.47489345091+438.735898653399i</v>
      </c>
      <c r="AA503" s="17">
        <f t="shared" si="280"/>
        <v>481.95375492308131</v>
      </c>
      <c r="AB503" s="17">
        <f t="shared" si="281"/>
        <v>1.9975172924994555</v>
      </c>
      <c r="AC503" s="66" t="str">
        <f t="shared" si="282"/>
        <v>0.0132770470596233+0.0343955596721146i</v>
      </c>
      <c r="AD503" s="64">
        <f t="shared" si="283"/>
        <v>-28.666736593303082</v>
      </c>
      <c r="AE503" s="61">
        <f t="shared" si="284"/>
        <v>68.892888305661018</v>
      </c>
      <c r="AF503" s="31" t="str">
        <f t="shared" si="270"/>
        <v>-1.39902068552014E-06</v>
      </c>
      <c r="AG503" s="31" t="str">
        <f t="shared" si="271"/>
        <v>0.14709157468328i</v>
      </c>
      <c r="AH503" s="31">
        <f t="shared" si="285"/>
        <v>0.14709157468327999</v>
      </c>
      <c r="AI503" s="31">
        <f t="shared" si="286"/>
        <v>1.5707963267948966</v>
      </c>
      <c r="AJ503" s="31" t="str">
        <f t="shared" si="272"/>
        <v>1+10.6252083638588i</v>
      </c>
      <c r="AK503" s="31">
        <f t="shared" si="287"/>
        <v>10.67216251635136</v>
      </c>
      <c r="AL503" s="31">
        <f t="shared" si="288"/>
        <v>1.4769569436384302</v>
      </c>
      <c r="AM503" s="31" t="str">
        <f t="shared" si="273"/>
        <v>1+5166.97632611885i</v>
      </c>
      <c r="AN503" s="31">
        <f t="shared" si="289"/>
        <v>5166.9764228872427</v>
      </c>
      <c r="AO503" s="31">
        <f t="shared" si="290"/>
        <v>1.5706027900096671</v>
      </c>
      <c r="AP503" s="58" t="str">
        <f t="shared" si="291"/>
        <v>-0.000430599936104452+0.00458472526501177i</v>
      </c>
      <c r="AQ503" s="49">
        <f t="shared" si="292"/>
        <v>-46.73559223317595</v>
      </c>
      <c r="AR503" s="61">
        <f t="shared" si="293"/>
        <v>95.365511766002356</v>
      </c>
      <c r="AS503" s="58" t="str">
        <f t="shared" si="294"/>
        <v>-0.000163411287048493+0.0000460608873019158i</v>
      </c>
      <c r="AT503" s="64">
        <f t="shared" si="295"/>
        <v>-75.402328826479049</v>
      </c>
      <c r="AU503" s="61">
        <f t="shared" si="296"/>
        <v>164.25840007166335</v>
      </c>
    </row>
    <row r="504" spans="14:47" x14ac:dyDescent="0.4">
      <c r="N504" s="10">
        <v>86</v>
      </c>
      <c r="O504" s="50">
        <f t="shared" si="297"/>
        <v>724435.96007499192</v>
      </c>
      <c r="P504" s="48" t="str">
        <f t="shared" si="265"/>
        <v>5120.19230769231</v>
      </c>
      <c r="Q504" s="17" t="str">
        <f t="shared" si="266"/>
        <v>1+21270.7497581074i</v>
      </c>
      <c r="R504" s="17">
        <f t="shared" si="274"/>
        <v>21270.749781613857</v>
      </c>
      <c r="S504" s="17">
        <f t="shared" si="275"/>
        <v>1.5707493138775976</v>
      </c>
      <c r="T504" s="17" t="str">
        <f t="shared" si="267"/>
        <v>1+0.045472136149554i</v>
      </c>
      <c r="U504" s="17">
        <f t="shared" si="276"/>
        <v>1.0010333237040632</v>
      </c>
      <c r="V504" s="17">
        <f t="shared" si="277"/>
        <v>4.5440833833102344E-2</v>
      </c>
      <c r="W504" s="31" t="str">
        <f t="shared" si="268"/>
        <v>1-73.7385991614388i</v>
      </c>
      <c r="X504" s="17">
        <f t="shared" si="278"/>
        <v>73.745379558934687</v>
      </c>
      <c r="Y504" s="17">
        <f t="shared" si="279"/>
        <v>-1.5572357396110925</v>
      </c>
      <c r="Z504" s="31" t="str">
        <f t="shared" si="269"/>
        <v>-208.922984099911+448.955370554023i</v>
      </c>
      <c r="AA504" s="17">
        <f t="shared" si="280"/>
        <v>495.18656891570851</v>
      </c>
      <c r="AB504" s="17">
        <f t="shared" si="281"/>
        <v>2.0063446707075938</v>
      </c>
      <c r="AC504" s="66" t="str">
        <f t="shared" si="282"/>
        <v>0.013193911213929+0.0333718996254109i</v>
      </c>
      <c r="AD504" s="64">
        <f t="shared" si="283"/>
        <v>-28.901640647221434</v>
      </c>
      <c r="AE504" s="61">
        <f t="shared" si="284"/>
        <v>68.428144171176982</v>
      </c>
      <c r="AF504" s="31" t="str">
        <f t="shared" si="270"/>
        <v>-1.39902068552014E-06</v>
      </c>
      <c r="AG504" s="31" t="str">
        <f t="shared" si="271"/>
        <v>0.150517777596942i</v>
      </c>
      <c r="AH504" s="31">
        <f t="shared" si="285"/>
        <v>0.15051777759694199</v>
      </c>
      <c r="AI504" s="31">
        <f t="shared" si="286"/>
        <v>1.5707963267948966</v>
      </c>
      <c r="AJ504" s="31" t="str">
        <f t="shared" si="272"/>
        <v>1+10.8727012602596i</v>
      </c>
      <c r="AK504" s="31">
        <f t="shared" si="287"/>
        <v>10.91859114972489</v>
      </c>
      <c r="AL504" s="31">
        <f t="shared" si="288"/>
        <v>1.4790808923761269</v>
      </c>
      <c r="AM504" s="31" t="str">
        <f t="shared" si="273"/>
        <v>1+5287.33066579799i</v>
      </c>
      <c r="AN504" s="31">
        <f t="shared" si="289"/>
        <v>5287.3307603636658</v>
      </c>
      <c r="AO504" s="31">
        <f t="shared" si="290"/>
        <v>1.5706071954446399</v>
      </c>
      <c r="AP504" s="58" t="str">
        <f t="shared" si="291"/>
        <v>-0.00041138231068437+0.00448213168840936i</v>
      </c>
      <c r="AQ504" s="49">
        <f t="shared" si="292"/>
        <v>-46.933875718653447</v>
      </c>
      <c r="AR504" s="61">
        <f t="shared" si="293"/>
        <v>95.244070880261049</v>
      </c>
      <c r="AS504" s="58" t="str">
        <f t="shared" si="294"/>
        <v>-0.000155004990495621+0.0000454082383661824i</v>
      </c>
      <c r="AT504" s="64">
        <f t="shared" si="295"/>
        <v>-75.835516365874895</v>
      </c>
      <c r="AU504" s="61">
        <f t="shared" si="296"/>
        <v>163.672215051438</v>
      </c>
    </row>
    <row r="505" spans="14:47" x14ac:dyDescent="0.4">
      <c r="N505" s="10">
        <v>87</v>
      </c>
      <c r="O505" s="50">
        <f t="shared" si="297"/>
        <v>741310.24130091805</v>
      </c>
      <c r="P505" s="48" t="str">
        <f t="shared" si="265"/>
        <v>5120.19230769231</v>
      </c>
      <c r="Q505" s="17" t="str">
        <f t="shared" si="266"/>
        <v>1+21766.2091680287i</v>
      </c>
      <c r="R505" s="17">
        <f t="shared" si="274"/>
        <v>21766.209191000085</v>
      </c>
      <c r="S505" s="17">
        <f t="shared" si="275"/>
        <v>1.570750384022245</v>
      </c>
      <c r="T505" s="17" t="str">
        <f t="shared" si="267"/>
        <v>1+0.0465313182658748i</v>
      </c>
      <c r="U505" s="17">
        <f t="shared" si="276"/>
        <v>1.0010819964316411</v>
      </c>
      <c r="V505" s="17">
        <f t="shared" si="277"/>
        <v>4.6497779187120988E-2</v>
      </c>
      <c r="W505" s="31" t="str">
        <f t="shared" si="268"/>
        <v>1-75.4561917824996i</v>
      </c>
      <c r="X505" s="17">
        <f t="shared" si="278"/>
        <v>75.462817853015267</v>
      </c>
      <c r="Y505" s="17">
        <f t="shared" si="279"/>
        <v>-1.5575443797026947</v>
      </c>
      <c r="Z505" s="31" t="str">
        <f t="shared" si="269"/>
        <v>-218.81634954305+459.41288453474i</v>
      </c>
      <c r="AA505" s="17">
        <f t="shared" si="280"/>
        <v>508.86225376213213</v>
      </c>
      <c r="AB505" s="17">
        <f t="shared" si="281"/>
        <v>2.0153012505585002</v>
      </c>
      <c r="AC505" s="66" t="str">
        <f t="shared" si="282"/>
        <v>0.0131060706083832+0.032369973393243i</v>
      </c>
      <c r="AD505" s="64">
        <f t="shared" si="283"/>
        <v>-29.137881877703173</v>
      </c>
      <c r="AE505" s="61">
        <f t="shared" si="284"/>
        <v>67.957783365400232</v>
      </c>
      <c r="AF505" s="31" t="str">
        <f t="shared" si="270"/>
        <v>-1.39902068552014E-06</v>
      </c>
      <c r="AG505" s="31" t="str">
        <f t="shared" si="271"/>
        <v>0.154023787028623i</v>
      </c>
      <c r="AH505" s="31">
        <f t="shared" si="285"/>
        <v>0.15402378702862299</v>
      </c>
      <c r="AI505" s="31">
        <f t="shared" si="286"/>
        <v>1.5707963267948966</v>
      </c>
      <c r="AJ505" s="31" t="str">
        <f t="shared" si="272"/>
        <v>1+11.1259590067857i</v>
      </c>
      <c r="AK505" s="31">
        <f t="shared" si="287"/>
        <v>11.170808557158066</v>
      </c>
      <c r="AL505" s="31">
        <f t="shared" si="288"/>
        <v>1.4811572962825916</v>
      </c>
      <c r="AM505" s="31" t="str">
        <f t="shared" si="273"/>
        <v>1+5410.4884181822i</v>
      </c>
      <c r="AN505" s="31">
        <f t="shared" si="289"/>
        <v>5410.4885105952972</v>
      </c>
      <c r="AO505" s="31">
        <f t="shared" si="290"/>
        <v>1.5706115005996768</v>
      </c>
      <c r="AP505" s="58" t="str">
        <f t="shared" si="291"/>
        <v>-0.000393015431629417+0.00438175672825505i</v>
      </c>
      <c r="AQ505" s="49">
        <f t="shared" si="292"/>
        <v>-47.132235826438489</v>
      </c>
      <c r="AR505" s="61">
        <f t="shared" si="293"/>
        <v>95.125348367069947</v>
      </c>
      <c r="AS505" s="58" t="str">
        <f t="shared" si="294"/>
        <v>-0.000146988236706399+0.0000447057140042907i</v>
      </c>
      <c r="AT505" s="64">
        <f t="shared" si="295"/>
        <v>-76.270117704141654</v>
      </c>
      <c r="AU505" s="61">
        <f t="shared" si="296"/>
        <v>163.08313173247018</v>
      </c>
    </row>
    <row r="506" spans="14:47" x14ac:dyDescent="0.4">
      <c r="N506" s="10">
        <v>88</v>
      </c>
      <c r="O506" s="50">
        <f t="shared" si="297"/>
        <v>758577.57502918423</v>
      </c>
      <c r="P506" s="48" t="str">
        <f t="shared" si="265"/>
        <v>5120.19230769231</v>
      </c>
      <c r="Q506" s="17" t="str">
        <f t="shared" si="266"/>
        <v>1+22273.2093101609i</v>
      </c>
      <c r="R506" s="17">
        <f t="shared" si="274"/>
        <v>22273.209332609393</v>
      </c>
      <c r="S506" s="17">
        <f t="shared" si="275"/>
        <v>1.5707514298074261</v>
      </c>
      <c r="T506" s="17" t="str">
        <f t="shared" si="267"/>
        <v>1+0.0476151719030552i</v>
      </c>
      <c r="U506" s="17">
        <f t="shared" si="276"/>
        <v>1.0011329604979338</v>
      </c>
      <c r="V506" s="17">
        <f t="shared" si="277"/>
        <v>4.7579236328867153E-2</v>
      </c>
      <c r="W506" s="31" t="str">
        <f t="shared" si="268"/>
        <v>1-77.2137922752245i</v>
      </c>
      <c r="X506" s="17">
        <f t="shared" si="278"/>
        <v>77.220267530755933</v>
      </c>
      <c r="Y506" s="17">
        <f t="shared" si="279"/>
        <v>-1.5578459967278568</v>
      </c>
      <c r="Z506" s="31" t="str">
        <f t="shared" si="269"/>
        <v>-229.175974934864+470.113985307887i</v>
      </c>
      <c r="AA506" s="17">
        <f t="shared" si="280"/>
        <v>522.99979605102101</v>
      </c>
      <c r="AB506" s="17">
        <f t="shared" si="281"/>
        <v>2.0243861291101197</v>
      </c>
      <c r="AC506" s="66" t="str">
        <f t="shared" si="282"/>
        <v>0.0130135599784515+0.0313894311382393i</v>
      </c>
      <c r="AD506" s="64">
        <f t="shared" si="283"/>
        <v>-29.375499671483819</v>
      </c>
      <c r="AE506" s="61">
        <f t="shared" si="284"/>
        <v>67.481879795301623</v>
      </c>
      <c r="AF506" s="31" t="str">
        <f t="shared" si="270"/>
        <v>-1.39902068552014E-06</v>
      </c>
      <c r="AG506" s="31" t="str">
        <f t="shared" si="271"/>
        <v>0.157611461910934i</v>
      </c>
      <c r="AH506" s="31">
        <f t="shared" si="285"/>
        <v>0.157611461910934</v>
      </c>
      <c r="AI506" s="31">
        <f t="shared" si="286"/>
        <v>1.5707963267948966</v>
      </c>
      <c r="AJ506" s="31" t="str">
        <f t="shared" si="272"/>
        <v>1+11.3851158840467i</v>
      </c>
      <c r="AK506" s="31">
        <f t="shared" si="287"/>
        <v>11.428948494641686</v>
      </c>
      <c r="AL506" s="31">
        <f t="shared" si="288"/>
        <v>1.4831871846365154</v>
      </c>
      <c r="AM506" s="31" t="str">
        <f t="shared" si="273"/>
        <v>1+5536.51488314203i</v>
      </c>
      <c r="AN506" s="31">
        <f t="shared" si="289"/>
        <v>5536.5149734515489</v>
      </c>
      <c r="AO506" s="31">
        <f t="shared" si="290"/>
        <v>1.5706157077574276</v>
      </c>
      <c r="AP506" s="58" t="str">
        <f t="shared" si="291"/>
        <v>-0.000375462242868865+0.00428355753439192i</v>
      </c>
      <c r="AQ506" s="49">
        <f t="shared" si="292"/>
        <v>-47.330669163270016</v>
      </c>
      <c r="AR506" s="61">
        <f t="shared" si="293"/>
        <v>95.009285383890187</v>
      </c>
      <c r="AS506" s="58" t="str">
        <f t="shared" si="294"/>
        <v>-0.000139344534669699+0.000043958786677416i</v>
      </c>
      <c r="AT506" s="64">
        <f t="shared" si="295"/>
        <v>-76.706168834753854</v>
      </c>
      <c r="AU506" s="61">
        <f t="shared" si="296"/>
        <v>162.49116517919177</v>
      </c>
    </row>
    <row r="507" spans="14:47" x14ac:dyDescent="0.4">
      <c r="N507" s="10">
        <v>89</v>
      </c>
      <c r="O507" s="50">
        <f t="shared" si="297"/>
        <v>776247.11662869214</v>
      </c>
      <c r="P507" s="48" t="str">
        <f t="shared" si="265"/>
        <v>5120.19230769231</v>
      </c>
      <c r="Q507" s="17" t="str">
        <f t="shared" si="266"/>
        <v>1+22792.0190026901i</v>
      </c>
      <c r="R507" s="17">
        <f t="shared" si="274"/>
        <v>22792.019024627603</v>
      </c>
      <c r="S507" s="17">
        <f t="shared" si="275"/>
        <v>1.5707524517876303</v>
      </c>
      <c r="T507" s="17" t="str">
        <f t="shared" si="267"/>
        <v>1+0.0487242717346398i</v>
      </c>
      <c r="U507" s="17">
        <f t="shared" si="276"/>
        <v>1.0011863236461389</v>
      </c>
      <c r="V507" s="17">
        <f t="shared" si="277"/>
        <v>4.8685768536936236E-2</v>
      </c>
      <c r="W507" s="31" t="str">
        <f t="shared" si="268"/>
        <v>1-79.0123325426591i</v>
      </c>
      <c r="X507" s="17">
        <f t="shared" si="278"/>
        <v>79.018660415320539</v>
      </c>
      <c r="Y507" s="17">
        <f t="shared" si="279"/>
        <v>-1.5581407503882809</v>
      </c>
      <c r="Z507" s="31" t="str">
        <f t="shared" si="269"/>
        <v>-240.023834429744+481.064346738738i</v>
      </c>
      <c r="AA507" s="17">
        <f t="shared" si="280"/>
        <v>537.61914660615093</v>
      </c>
      <c r="AB507" s="17">
        <f t="shared" si="281"/>
        <v>2.033598221451423</v>
      </c>
      <c r="AC507" s="66" t="str">
        <f t="shared" si="282"/>
        <v>0.012916417285413+0.0304299381690004i</v>
      </c>
      <c r="AD507" s="64">
        <f t="shared" si="283"/>
        <v>-29.614533634317056</v>
      </c>
      <c r="AE507" s="61">
        <f t="shared" si="284"/>
        <v>67.000518713186935</v>
      </c>
      <c r="AF507" s="31" t="str">
        <f t="shared" si="270"/>
        <v>-1.39902068552014E-06</v>
      </c>
      <c r="AG507" s="31" t="str">
        <f t="shared" si="271"/>
        <v>0.161282704476583i</v>
      </c>
      <c r="AH507" s="31">
        <f t="shared" si="285"/>
        <v>0.16128270447658299</v>
      </c>
      <c r="AI507" s="31">
        <f t="shared" si="286"/>
        <v>1.5707963267948966</v>
      </c>
      <c r="AJ507" s="31" t="str">
        <f t="shared" si="272"/>
        <v>1+11.6503093004493i</v>
      </c>
      <c r="AK507" s="31">
        <f t="shared" si="287"/>
        <v>11.693147856592571</v>
      </c>
      <c r="AL507" s="31">
        <f t="shared" si="288"/>
        <v>1.4851715667621364</v>
      </c>
      <c r="AM507" s="31" t="str">
        <f t="shared" si="273"/>
        <v>1+5665.47688157734i</v>
      </c>
      <c r="AN507" s="31">
        <f t="shared" si="289"/>
        <v>5665.4769698311629</v>
      </c>
      <c r="AO507" s="31">
        <f t="shared" si="290"/>
        <v>1.5706198191485823</v>
      </c>
      <c r="AP507" s="58" t="str">
        <f t="shared" si="291"/>
        <v>-0.00035868724944193+0.00418749173608456i</v>
      </c>
      <c r="AQ507" s="49">
        <f t="shared" si="292"/>
        <v>-47.529172483797701</v>
      </c>
      <c r="AR507" s="61">
        <f t="shared" si="293"/>
        <v>94.895824228512041</v>
      </c>
      <c r="AS507" s="58" t="str">
        <f t="shared" si="294"/>
        <v>-0.000132058068801002+0.00004317255981996i</v>
      </c>
      <c r="AT507" s="64">
        <f t="shared" si="295"/>
        <v>-77.143706118114778</v>
      </c>
      <c r="AU507" s="61">
        <f t="shared" si="296"/>
        <v>161.89634294169892</v>
      </c>
    </row>
    <row r="508" spans="14:47" x14ac:dyDescent="0.4">
      <c r="N508" s="10">
        <v>90</v>
      </c>
      <c r="O508" s="50">
        <f t="shared" si="297"/>
        <v>794328.23472428333</v>
      </c>
      <c r="P508" s="48" t="str">
        <f t="shared" si="265"/>
        <v>5120.19230769231</v>
      </c>
      <c r="Q508" s="17" t="str">
        <f t="shared" si="266"/>
        <v>1+23322.9133253827i</v>
      </c>
      <c r="R508" s="17">
        <f t="shared" si="274"/>
        <v>23322.913346820842</v>
      </c>
      <c r="S508" s="17">
        <f t="shared" si="275"/>
        <v>1.5707534505047249</v>
      </c>
      <c r="T508" s="17" t="str">
        <f t="shared" si="267"/>
        <v>1+0.0498592058200403i</v>
      </c>
      <c r="U508" s="17">
        <f t="shared" si="276"/>
        <v>1.0012421986737301</v>
      </c>
      <c r="V508" s="17">
        <f t="shared" si="277"/>
        <v>4.9817951664367408E-2</v>
      </c>
      <c r="W508" s="31" t="str">
        <f t="shared" si="268"/>
        <v>1-80.8527661946598i</v>
      </c>
      <c r="X508" s="17">
        <f t="shared" si="278"/>
        <v>80.858950038498037</v>
      </c>
      <c r="Y508" s="17">
        <f t="shared" si="279"/>
        <v>-1.5584287967612767</v>
      </c>
      <c r="Z508" s="31" t="str">
        <f t="shared" si="269"/>
        <v>-251.382937792079+492.269774853871i</v>
      </c>
      <c r="AA508" s="17">
        <f t="shared" si="280"/>
        <v>552.74127098277836</v>
      </c>
      <c r="AB508" s="17">
        <f t="shared" si="281"/>
        <v>2.0429362551043662</v>
      </c>
      <c r="AC508" s="66" t="str">
        <f t="shared" si="282"/>
        <v>0.0128146842530082+0.0294911744389965i</v>
      </c>
      <c r="AD508" s="64">
        <f t="shared" si="283"/>
        <v>-29.855023516444291</v>
      </c>
      <c r="AE508" s="61">
        <f t="shared" si="284"/>
        <v>66.51379704700885</v>
      </c>
      <c r="AF508" s="31" t="str">
        <f t="shared" si="270"/>
        <v>-1.39902068552014E-06</v>
      </c>
      <c r="AG508" s="31" t="str">
        <f t="shared" si="271"/>
        <v>0.165039461266976i</v>
      </c>
      <c r="AH508" s="31">
        <f t="shared" si="285"/>
        <v>0.165039461266976</v>
      </c>
      <c r="AI508" s="31">
        <f t="shared" si="286"/>
        <v>1.5707963267948966</v>
      </c>
      <c r="AJ508" s="31" t="str">
        <f t="shared" si="272"/>
        <v>1+11.9216798650531i</v>
      </c>
      <c r="AK508" s="31">
        <f t="shared" si="287"/>
        <v>11.963546748552977</v>
      </c>
      <c r="AL508" s="31">
        <f t="shared" si="288"/>
        <v>1.4871114322580803</v>
      </c>
      <c r="AM508" s="31" t="str">
        <f t="shared" si="273"/>
        <v>1+5797.44279084672i</v>
      </c>
      <c r="AN508" s="31">
        <f t="shared" si="289"/>
        <v>5797.4428770916411</v>
      </c>
      <c r="AO508" s="31">
        <f t="shared" si="290"/>
        <v>1.5706238369530543</v>
      </c>
      <c r="AP508" s="58" t="str">
        <f t="shared" si="291"/>
        <v>-0.000342656456384776+0.0040935174626332i</v>
      </c>
      <c r="AQ508" s="49">
        <f t="shared" si="292"/>
        <v>-47.727742684341699</v>
      </c>
      <c r="AR508" s="61">
        <f t="shared" si="293"/>
        <v>94.784908326010537</v>
      </c>
      <c r="AS508" s="58" t="str">
        <f t="shared" si="294"/>
        <v>-0.00012511367185542+0.0000423517924399279i</v>
      </c>
      <c r="AT508" s="64">
        <f t="shared" si="295"/>
        <v>-77.582766200785969</v>
      </c>
      <c r="AU508" s="61">
        <f t="shared" si="296"/>
        <v>161.29870537301946</v>
      </c>
    </row>
    <row r="509" spans="14:47" x14ac:dyDescent="0.4">
      <c r="N509" s="10">
        <v>91</v>
      </c>
      <c r="O509" s="50">
        <f t="shared" si="297"/>
        <v>812830.51616410096</v>
      </c>
      <c r="P509" s="48" t="str">
        <f t="shared" si="265"/>
        <v>5120.19230769231</v>
      </c>
      <c r="Q509" s="17" t="str">
        <f t="shared" si="266"/>
        <v>1+23866.1737654355i</v>
      </c>
      <c r="R509" s="17">
        <f t="shared" si="274"/>
        <v>23866.173786385651</v>
      </c>
      <c r="S509" s="17">
        <f t="shared" si="275"/>
        <v>1.5707544264882431</v>
      </c>
      <c r="T509" s="17" t="str">
        <f t="shared" si="267"/>
        <v>1+0.051020575916331i</v>
      </c>
      <c r="U509" s="17">
        <f t="shared" si="276"/>
        <v>1.0013007036684005</v>
      </c>
      <c r="V509" s="17">
        <f t="shared" si="277"/>
        <v>5.0976374392836428E-2</v>
      </c>
      <c r="W509" s="31" t="str">
        <f t="shared" si="268"/>
        <v>1-82.7360690535096i</v>
      </c>
      <c r="X509" s="17">
        <f t="shared" si="278"/>
        <v>82.742112146277179</v>
      </c>
      <c r="Y509" s="17">
        <f t="shared" si="279"/>
        <v>-1.5587102883815382</v>
      </c>
      <c r="Z509" s="31" t="str">
        <f t="shared" si="269"/>
        <v>-263.27737920304+503.73621091959i</v>
      </c>
      <c r="AA509" s="17">
        <f t="shared" si="280"/>
        <v>568.38820236845788</v>
      </c>
      <c r="AB509" s="17">
        <f t="shared" si="281"/>
        <v>2.0523987647992303</v>
      </c>
      <c r="AC509" s="66" t="str">
        <f t="shared" si="282"/>
        <v>0.0127084068922572+0.0285728340117953i</v>
      </c>
      <c r="AD509" s="64">
        <f t="shared" si="283"/>
        <v>-30.097009133073627</v>
      </c>
      <c r="AE509" s="61">
        <f t="shared" si="284"/>
        <v>66.021823709578996</v>
      </c>
      <c r="AF509" s="31" t="str">
        <f t="shared" si="270"/>
        <v>-1.39902068552014E-06</v>
      </c>
      <c r="AG509" s="31" t="str">
        <f t="shared" si="271"/>
        <v>0.168883724164287i</v>
      </c>
      <c r="AH509" s="31">
        <f t="shared" si="285"/>
        <v>0.16888372416428701</v>
      </c>
      <c r="AI509" s="31">
        <f t="shared" si="286"/>
        <v>1.5707963267948966</v>
      </c>
      <c r="AJ509" s="31" t="str">
        <f t="shared" si="272"/>
        <v>1+12.1993714621234i</v>
      </c>
      <c r="AK509" s="31">
        <f t="shared" si="287"/>
        <v>12.240288561585093</v>
      </c>
      <c r="AL509" s="31">
        <f t="shared" si="288"/>
        <v>1.4890077512353357</v>
      </c>
      <c r="AM509" s="31" t="str">
        <f t="shared" si="273"/>
        <v>1+5932.48258102202i</v>
      </c>
      <c r="AN509" s="31">
        <f t="shared" si="289"/>
        <v>5932.4826653037671</v>
      </c>
      <c r="AO509" s="31">
        <f t="shared" si="290"/>
        <v>1.5706277633011363</v>
      </c>
      <c r="AP509" s="58" t="str">
        <f t="shared" si="291"/>
        <v>-0.00032733730959349+0.00400159336158226i</v>
      </c>
      <c r="AQ509" s="49">
        <f t="shared" si="292"/>
        <v>-47.926376796896228</v>
      </c>
      <c r="AR509" s="61">
        <f t="shared" si="293"/>
        <v>94.676482215177231</v>
      </c>
      <c r="AS509" s="58" t="str">
        <f t="shared" si="294"/>
        <v>-0.000118496798624523+0.0000415009220434602i</v>
      </c>
      <c r="AT509" s="64">
        <f t="shared" si="295"/>
        <v>-78.023385929969834</v>
      </c>
      <c r="AU509" s="61">
        <f t="shared" si="296"/>
        <v>160.69830592475628</v>
      </c>
    </row>
    <row r="510" spans="14:47" x14ac:dyDescent="0.4">
      <c r="N510" s="10">
        <v>92</v>
      </c>
      <c r="O510" s="50">
        <f t="shared" si="297"/>
        <v>831763.77110267128</v>
      </c>
      <c r="P510" s="48" t="str">
        <f t="shared" si="265"/>
        <v>5120.19230769231</v>
      </c>
      <c r="Q510" s="17" t="str">
        <f t="shared" si="266"/>
        <v>1+24422.0883667248i</v>
      </c>
      <c r="R510" s="17">
        <f t="shared" si="274"/>
        <v>24422.08838719807</v>
      </c>
      <c r="S510" s="17">
        <f t="shared" si="275"/>
        <v>1.5707553802556644</v>
      </c>
      <c r="T510" s="17" t="str">
        <f t="shared" si="267"/>
        <v>1+0.0522089977973096i</v>
      </c>
      <c r="U510" s="17">
        <f t="shared" si="276"/>
        <v>1.0013619622549077</v>
      </c>
      <c r="V510" s="17">
        <f t="shared" si="277"/>
        <v>5.2161638490046215E-2</v>
      </c>
      <c r="W510" s="31" t="str">
        <f t="shared" si="268"/>
        <v>1-84.6632396713128i</v>
      </c>
      <c r="X510" s="17">
        <f t="shared" si="278"/>
        <v>84.669145216201116</v>
      </c>
      <c r="Y510" s="17">
        <f t="shared" si="279"/>
        <v>-1.5589853743211088</v>
      </c>
      <c r="Z510" s="31" t="str">
        <f t="shared" si="269"/>
        <v>-275.732388367576+515.469734592075i</v>
      </c>
      <c r="AA510" s="17">
        <f t="shared" si="280"/>
        <v>584.58309698049948</v>
      </c>
      <c r="AB510" s="17">
        <f t="shared" si="281"/>
        <v>2.0619840876775841</v>
      </c>
      <c r="AC510" s="66" t="str">
        <f t="shared" si="282"/>
        <v>0.0125976360109901+0.0276746244916804i</v>
      </c>
      <c r="AD510" s="64">
        <f t="shared" si="283"/>
        <v>-30.34053027996411</v>
      </c>
      <c r="AE510" s="61">
        <f t="shared" si="284"/>
        <v>65.524719883568977</v>
      </c>
      <c r="AF510" s="31" t="str">
        <f t="shared" si="270"/>
        <v>-1.39902068552014E-06</v>
      </c>
      <c r="AG510" s="31" t="str">
        <f t="shared" si="271"/>
        <v>0.172817531447591i</v>
      </c>
      <c r="AH510" s="31">
        <f t="shared" si="285"/>
        <v>0.17281753144759099</v>
      </c>
      <c r="AI510" s="31">
        <f t="shared" si="286"/>
        <v>1.5707963267948966</v>
      </c>
      <c r="AJ510" s="31" t="str">
        <f t="shared" si="272"/>
        <v>1+12.4835313274207i</v>
      </c>
      <c r="AK510" s="31">
        <f t="shared" si="287"/>
        <v>12.523520048400689</v>
      </c>
      <c r="AL510" s="31">
        <f t="shared" si="288"/>
        <v>1.4908614745632724</v>
      </c>
      <c r="AM510" s="31" t="str">
        <f t="shared" si="273"/>
        <v>1+6070.66785198747i</v>
      </c>
      <c r="AN510" s="31">
        <f t="shared" si="289"/>
        <v>6070.6679343507312</v>
      </c>
      <c r="AO510" s="31">
        <f t="shared" si="290"/>
        <v>1.5706316002746294</v>
      </c>
      <c r="AP510" s="58" t="str">
        <f t="shared" si="291"/>
        <v>-0.00031269863863821+0.0039116786146884i</v>
      </c>
      <c r="AQ510" s="49">
        <f t="shared" si="292"/>
        <v>-48.125071983371726</v>
      </c>
      <c r="AR510" s="61">
        <f t="shared" si="293"/>
        <v>94.570491534488781</v>
      </c>
      <c r="AS510" s="58" t="str">
        <f t="shared" si="294"/>
        <v>-0.000112193500424334+0.0000406240859764463i</v>
      </c>
      <c r="AT510" s="64">
        <f t="shared" si="295"/>
        <v>-78.465602263335867</v>
      </c>
      <c r="AU510" s="61">
        <f t="shared" si="296"/>
        <v>160.09521141805772</v>
      </c>
    </row>
    <row r="511" spans="14:47" x14ac:dyDescent="0.4">
      <c r="N511" s="10">
        <v>93</v>
      </c>
      <c r="O511" s="50">
        <f t="shared" si="297"/>
        <v>851138.03820237669</v>
      </c>
      <c r="P511" s="48" t="str">
        <f t="shared" si="265"/>
        <v>5120.19230769231</v>
      </c>
      <c r="Q511" s="17" t="str">
        <f t="shared" si="266"/>
        <v>1+24990.9518825309i</v>
      </c>
      <c r="R511" s="17">
        <f t="shared" si="274"/>
        <v>24990.951902538138</v>
      </c>
      <c r="S511" s="17">
        <f t="shared" si="275"/>
        <v>1.5707563123126886</v>
      </c>
      <c r="T511" s="17" t="str">
        <f t="shared" si="267"/>
        <v>1+0.0534251015799882i</v>
      </c>
      <c r="U511" s="17">
        <f t="shared" si="276"/>
        <v>1.0014261038533157</v>
      </c>
      <c r="V511" s="17">
        <f t="shared" si="277"/>
        <v>5.3374359070195408E-2</v>
      </c>
      <c r="W511" s="31" t="str">
        <f t="shared" si="268"/>
        <v>1-86.6352998594402i</v>
      </c>
      <c r="X511" s="17">
        <f t="shared" si="278"/>
        <v>86.641070986773471</v>
      </c>
      <c r="Y511" s="17">
        <f t="shared" si="279"/>
        <v>-1.5592542002675684</v>
      </c>
      <c r="Z511" s="31" t="str">
        <f t="shared" si="269"/>
        <v>-288.774384029997+527.476567140891i</v>
      </c>
      <c r="AA511" s="17">
        <f t="shared" si="280"/>
        <v>601.35029205500769</v>
      </c>
      <c r="AB511" s="17">
        <f t="shared" si="281"/>
        <v>2.0716903589779099</v>
      </c>
      <c r="AC511" s="66" t="str">
        <f t="shared" si="282"/>
        <v>0.0124824277044007+0.0267962664190817i</v>
      </c>
      <c r="AD511" s="64">
        <f t="shared" si="283"/>
        <v>-30.585626644252542</v>
      </c>
      <c r="AE511" s="61">
        <f t="shared" si="284"/>
        <v>65.022619279133195</v>
      </c>
      <c r="AF511" s="31" t="str">
        <f t="shared" si="270"/>
        <v>-1.39902068552014E-06</v>
      </c>
      <c r="AG511" s="31" t="str">
        <f t="shared" si="271"/>
        <v>0.176842968873578i</v>
      </c>
      <c r="AH511" s="31">
        <f t="shared" si="285"/>
        <v>0.176842968873578</v>
      </c>
      <c r="AI511" s="31">
        <f t="shared" si="286"/>
        <v>1.5707963267948966</v>
      </c>
      <c r="AJ511" s="31" t="str">
        <f t="shared" si="272"/>
        <v>1+12.7743101262669i</v>
      </c>
      <c r="AK511" s="31">
        <f t="shared" si="287"/>
        <v>12.813391401266298</v>
      </c>
      <c r="AL511" s="31">
        <f t="shared" si="288"/>
        <v>1.4926735341226858</v>
      </c>
      <c r="AM511" s="31" t="str">
        <f t="shared" si="273"/>
        <v>1+6212.07187140283i</v>
      </c>
      <c r="AN511" s="31">
        <f t="shared" si="289"/>
        <v>6212.0719518912738</v>
      </c>
      <c r="AO511" s="31">
        <f t="shared" si="290"/>
        <v>1.5706353499079475</v>
      </c>
      <c r="AP511" s="58" t="str">
        <f t="shared" si="291"/>
        <v>-0.000298710601499941+0.00382373295180652i</v>
      </c>
      <c r="AQ511" s="49">
        <f t="shared" si="292"/>
        <v>-48.323825530064887</v>
      </c>
      <c r="AR511" s="61">
        <f t="shared" si="293"/>
        <v>94.466883007671896</v>
      </c>
      <c r="AS511" s="58" t="str">
        <f t="shared" si="294"/>
        <v>-0.00010619040037979+0.000039725141271863i</v>
      </c>
      <c r="AT511" s="64">
        <f t="shared" si="295"/>
        <v>-78.909452174317437</v>
      </c>
      <c r="AU511" s="61">
        <f t="shared" si="296"/>
        <v>159.48950228680505</v>
      </c>
    </row>
    <row r="512" spans="14:47" x14ac:dyDescent="0.4">
      <c r="N512" s="10">
        <v>94</v>
      </c>
      <c r="O512" s="50">
        <f t="shared" si="297"/>
        <v>870963.58995608077</v>
      </c>
      <c r="P512" s="48" t="str">
        <f t="shared" si="265"/>
        <v>5120.19230769231</v>
      </c>
      <c r="Q512" s="17" t="str">
        <f t="shared" si="266"/>
        <v>1+25573.0659318193i</v>
      </c>
      <c r="R512" s="17">
        <f t="shared" si="274"/>
        <v>25573.065951371118</v>
      </c>
      <c r="S512" s="17">
        <f t="shared" si="275"/>
        <v>1.5707572231535047</v>
      </c>
      <c r="T512" s="17" t="str">
        <f t="shared" si="267"/>
        <v>1+0.0546695320586894i</v>
      </c>
      <c r="U512" s="17">
        <f t="shared" si="276"/>
        <v>1.0014932639491472</v>
      </c>
      <c r="V512" s="17">
        <f t="shared" si="277"/>
        <v>5.4615164857395745E-2</v>
      </c>
      <c r="W512" s="31" t="str">
        <f t="shared" si="268"/>
        <v>1-88.653295230307i</v>
      </c>
      <c r="X512" s="17">
        <f t="shared" si="278"/>
        <v>88.658934999197768</v>
      </c>
      <c r="Y512" s="17">
        <f t="shared" si="279"/>
        <v>-1.5595169086004839</v>
      </c>
      <c r="Z512" s="31" t="str">
        <f t="shared" si="269"/>
        <v>-302.431030011674+539.763074747582i</v>
      </c>
      <c r="AA512" s="17">
        <f t="shared" si="280"/>
        <v>618.71536652558245</v>
      </c>
      <c r="AB512" s="17">
        <f t="shared" si="281"/>
        <v>2.0815155082593311</v>
      </c>
      <c r="AC512" s="66" t="str">
        <f t="shared" si="282"/>
        <v>0.0123628438227211+0.0259374926306238i</v>
      </c>
      <c r="AD512" s="64">
        <f t="shared" si="283"/>
        <v>-30.832337710710064</v>
      </c>
      <c r="AE512" s="61">
        <f t="shared" si="284"/>
        <v>64.515668360970167</v>
      </c>
      <c r="AF512" s="31" t="str">
        <f t="shared" si="270"/>
        <v>-1.39902068552014E-06</v>
      </c>
      <c r="AG512" s="31" t="str">
        <f t="shared" si="271"/>
        <v>0.180962170782456i</v>
      </c>
      <c r="AH512" s="31">
        <f t="shared" si="285"/>
        <v>0.18096217078245599</v>
      </c>
      <c r="AI512" s="31">
        <f t="shared" si="286"/>
        <v>1.5707963267948966</v>
      </c>
      <c r="AJ512" s="31" t="str">
        <f t="shared" si="272"/>
        <v>1+13.0718620334299i</v>
      </c>
      <c r="AK512" s="31">
        <f t="shared" si="287"/>
        <v>13.110056331725888</v>
      </c>
      <c r="AL512" s="31">
        <f t="shared" si="288"/>
        <v>1.4944448430649266</v>
      </c>
      <c r="AM512" s="31" t="str">
        <f t="shared" si="273"/>
        <v>1+6356.7696135509i</v>
      </c>
      <c r="AN512" s="31">
        <f t="shared" si="289"/>
        <v>6356.7696922072037</v>
      </c>
      <c r="AO512" s="31">
        <f t="shared" si="290"/>
        <v>1.5706390141891953</v>
      </c>
      <c r="AP512" s="58" t="str">
        <f t="shared" si="291"/>
        <v>-0.000285344631197777+0.00373771666284063i</v>
      </c>
      <c r="AQ512" s="49">
        <f t="shared" si="292"/>
        <v>-48.52263484235101</v>
      </c>
      <c r="AR512" s="61">
        <f t="shared" si="293"/>
        <v>94.365604428918175</v>
      </c>
      <c r="AS512" s="58" t="str">
        <f t="shared" si="294"/>
        <v>-0.000100474669508939+0.0000388076830874006i</v>
      </c>
      <c r="AT512" s="64">
        <f t="shared" si="295"/>
        <v>-79.354972553061046</v>
      </c>
      <c r="AU512" s="61">
        <f t="shared" si="296"/>
        <v>158.88127278988838</v>
      </c>
    </row>
    <row r="513" spans="14:47" x14ac:dyDescent="0.4">
      <c r="N513" s="10">
        <v>95</v>
      </c>
      <c r="O513" s="50">
        <f t="shared" si="297"/>
        <v>891250.93813374708</v>
      </c>
      <c r="P513" s="48" t="str">
        <f t="shared" si="265"/>
        <v>5120.19230769231</v>
      </c>
      <c r="Q513" s="17" t="str">
        <f t="shared" si="266"/>
        <v>1+26168.7391591645i</v>
      </c>
      <c r="R513" s="17">
        <f t="shared" si="274"/>
        <v>26168.739178271266</v>
      </c>
      <c r="S513" s="17">
        <f t="shared" si="275"/>
        <v>1.5707581132610526</v>
      </c>
      <c r="T513" s="17" t="str">
        <f t="shared" si="267"/>
        <v>1+0.0559429490469249i</v>
      </c>
      <c r="U513" s="17">
        <f t="shared" si="276"/>
        <v>1.0015635843759829</v>
      </c>
      <c r="V513" s="17">
        <f t="shared" si="277"/>
        <v>5.5884698451890487E-2</v>
      </c>
      <c r="W513" s="31" t="str">
        <f t="shared" si="268"/>
        <v>1-90.7182957517701i</v>
      </c>
      <c r="X513" s="17">
        <f t="shared" si="278"/>
        <v>90.723807151737361</v>
      </c>
      <c r="Y513" s="17">
        <f t="shared" si="279"/>
        <v>-1.5597736384661596</v>
      </c>
      <c r="Z513" s="31" t="str">
        <f t="shared" si="269"/>
        <v>-316.731293889714+552.335771881115i</v>
      </c>
      <c r="AA513" s="17">
        <f t="shared" si="280"/>
        <v>636.70520449306798</v>
      </c>
      <c r="AB513" s="17">
        <f t="shared" si="281"/>
        <v>2.0914572562186944</v>
      </c>
      <c r="AC513" s="66" t="str">
        <f t="shared" si="282"/>
        <v>0.0122389524119457+0.025098047584027i</v>
      </c>
      <c r="AD513" s="64">
        <f t="shared" si="283"/>
        <v>-31.080702663666038</v>
      </c>
      <c r="AE513" s="61">
        <f t="shared" si="284"/>
        <v>64.004026541646425</v>
      </c>
      <c r="AF513" s="31" t="str">
        <f t="shared" si="270"/>
        <v>-1.39902068552014E-06</v>
      </c>
      <c r="AG513" s="31" t="str">
        <f t="shared" si="271"/>
        <v>0.185177321229601i</v>
      </c>
      <c r="AH513" s="31">
        <f t="shared" si="285"/>
        <v>0.18517732122960101</v>
      </c>
      <c r="AI513" s="31">
        <f t="shared" si="286"/>
        <v>1.5707963267948966</v>
      </c>
      <c r="AJ513" s="31" t="str">
        <f t="shared" si="272"/>
        <v>1+13.3763448148697i</v>
      </c>
      <c r="AK513" s="31">
        <f t="shared" si="287"/>
        <v>13.413672152184558</v>
      </c>
      <c r="AL513" s="31">
        <f t="shared" si="288"/>
        <v>1.4961762960762435</v>
      </c>
      <c r="AM513" s="31" t="str">
        <f t="shared" si="273"/>
        <v>1+6504.83779908989i</v>
      </c>
      <c r="AN513" s="31">
        <f t="shared" si="289"/>
        <v>6504.8378759557572</v>
      </c>
      <c r="AO513" s="31">
        <f t="shared" si="290"/>
        <v>1.5706425950612226</v>
      </c>
      <c r="AP513" s="58" t="str">
        <f t="shared" si="291"/>
        <v>-0.00027257338427141+0.00365359060789934i</v>
      </c>
      <c r="AQ513" s="49">
        <f t="shared" si="292"/>
        <v>-48.721497439590486</v>
      </c>
      <c r="AR513" s="61">
        <f t="shared" si="293"/>
        <v>94.266604647798644</v>
      </c>
      <c r="AS513" s="58" t="str">
        <f t="shared" si="294"/>
        <v>-0.0000950340036084725+0.0000378750618142287i</v>
      </c>
      <c r="AT513" s="64">
        <f t="shared" si="295"/>
        <v>-79.802200103256538</v>
      </c>
      <c r="AU513" s="61">
        <f t="shared" si="296"/>
        <v>158.27063118944503</v>
      </c>
    </row>
    <row r="514" spans="14:47" x14ac:dyDescent="0.4">
      <c r="N514" s="10">
        <v>96</v>
      </c>
      <c r="O514" s="50">
        <f t="shared" si="297"/>
        <v>912010.83935591124</v>
      </c>
      <c r="P514" s="48" t="str">
        <f t="shared" si="265"/>
        <v>5120.19230769231</v>
      </c>
      <c r="Q514" s="17" t="str">
        <f t="shared" si="266"/>
        <v>1+26778.2873983959i</v>
      </c>
      <c r="R514" s="17">
        <f t="shared" si="274"/>
        <v>26778.287417067739</v>
      </c>
      <c r="S514" s="17">
        <f t="shared" si="275"/>
        <v>1.5707589831072792</v>
      </c>
      <c r="T514" s="17" t="str">
        <f t="shared" si="267"/>
        <v>1+0.0572460277272376i</v>
      </c>
      <c r="U514" s="17">
        <f t="shared" si="276"/>
        <v>1.0016372136110696</v>
      </c>
      <c r="V514" s="17">
        <f t="shared" si="277"/>
        <v>5.7183616598907486E-2</v>
      </c>
      <c r="W514" s="31" t="str">
        <f t="shared" si="268"/>
        <v>1-92.8313963144392i</v>
      </c>
      <c r="X514" s="17">
        <f t="shared" si="278"/>
        <v>92.836782266989829</v>
      </c>
      <c r="Y514" s="17">
        <f t="shared" si="279"/>
        <v>-1.5600245258507217</v>
      </c>
      <c r="Z514" s="31" t="str">
        <f t="shared" si="269"/>
        <v>-331.70550844107+565.201324751925i</v>
      </c>
      <c r="AA514" s="17">
        <f t="shared" si="280"/>
        <v>655.34806159130414</v>
      </c>
      <c r="AB514" s="17">
        <f t="shared" si="281"/>
        <v>2.1015131121554669</v>
      </c>
      <c r="AC514" s="66" t="str">
        <f t="shared" si="282"/>
        <v>0.0121108281234149+0.0242776866485704i</v>
      </c>
      <c r="AD514" s="64">
        <f t="shared" si="283"/>
        <v>-31.330760284884786</v>
      </c>
      <c r="AE514" s="61">
        <f t="shared" si="284"/>
        <v>63.487866338048718</v>
      </c>
      <c r="AF514" s="31" t="str">
        <f t="shared" si="270"/>
        <v>-1.39902068552014E-06</v>
      </c>
      <c r="AG514" s="31" t="str">
        <f t="shared" si="271"/>
        <v>0.189490655143573i</v>
      </c>
      <c r="AH514" s="31">
        <f t="shared" si="285"/>
        <v>0.18949065514357299</v>
      </c>
      <c r="AI514" s="31">
        <f t="shared" si="286"/>
        <v>1.5707963267948966</v>
      </c>
      <c r="AJ514" s="31" t="str">
        <f t="shared" si="272"/>
        <v>1+13.6879199113872i</v>
      </c>
      <c r="AK514" s="31">
        <f t="shared" si="287"/>
        <v>13.724399859394586</v>
      </c>
      <c r="AL514" s="31">
        <f t="shared" si="288"/>
        <v>1.4978687696465136</v>
      </c>
      <c r="AM514" s="31" t="str">
        <f t="shared" si="273"/>
        <v>1+6656.35493573164i</v>
      </c>
      <c r="AN514" s="31">
        <f t="shared" si="289"/>
        <v>6656.3550108478266</v>
      </c>
      <c r="AO514" s="31">
        <f t="shared" si="290"/>
        <v>1.570646094422655</v>
      </c>
      <c r="AP514" s="58" t="str">
        <f t="shared" si="291"/>
        <v>-0.000260370691081414+0.00357131622578778i</v>
      </c>
      <c r="AQ514" s="49">
        <f t="shared" si="292"/>
        <v>-48.920410950240523</v>
      </c>
      <c r="AR514" s="61">
        <f t="shared" si="293"/>
        <v>94.169833553925798</v>
      </c>
      <c r="AS514" s="58" t="str">
        <f t="shared" si="294"/>
        <v>-0.0000898566009406926+0.0000369303989343323i</v>
      </c>
      <c r="AT514" s="64">
        <f t="shared" si="295"/>
        <v>-80.251171235125298</v>
      </c>
      <c r="AU514" s="61">
        <f t="shared" si="296"/>
        <v>157.65769989197452</v>
      </c>
    </row>
    <row r="515" spans="14:47" x14ac:dyDescent="0.4">
      <c r="N515" s="10">
        <v>97</v>
      </c>
      <c r="O515" s="50">
        <f t="shared" si="297"/>
        <v>933254.30079699249</v>
      </c>
      <c r="P515" s="48" t="str">
        <f t="shared" si="265"/>
        <v>5120.19230769231</v>
      </c>
      <c r="Q515" s="17" t="str">
        <f t="shared" si="266"/>
        <v>1+27402.0338400586i</v>
      </c>
      <c r="R515" s="17">
        <f t="shared" si="274"/>
        <v>27402.033858305422</v>
      </c>
      <c r="S515" s="17">
        <f t="shared" si="275"/>
        <v>1.5707598331533883</v>
      </c>
      <c r="T515" s="17" t="str">
        <f t="shared" si="267"/>
        <v>1+0.058579459009192i</v>
      </c>
      <c r="U515" s="17">
        <f t="shared" si="276"/>
        <v>1.0017143070845147</v>
      </c>
      <c r="V515" s="17">
        <f t="shared" si="277"/>
        <v>5.8512590459960635E-2</v>
      </c>
      <c r="W515" s="31" t="str">
        <f t="shared" si="268"/>
        <v>1-94.9937173122031i</v>
      </c>
      <c r="X515" s="17">
        <f t="shared" si="278"/>
        <v>94.998980672377513</v>
      </c>
      <c r="Y515" s="17">
        <f t="shared" si="279"/>
        <v>-1.5602697036515742</v>
      </c>
      <c r="Z515" s="31" t="str">
        <f t="shared" si="269"/>
        <v>-347.385435982434+578.366554846444i</v>
      </c>
      <c r="AA515" s="17">
        <f t="shared" si="280"/>
        <v>674.67363435786535</v>
      </c>
      <c r="AB515" s="17">
        <f t="shared" si="281"/>
        <v>2.1116803721374677</v>
      </c>
      <c r="AC515" s="66" t="str">
        <f t="shared" si="282"/>
        <v>0.0119785525879865+0.0234761753623106i</v>
      </c>
      <c r="AD515" s="64">
        <f t="shared" si="283"/>
        <v>-31.58254884773827</v>
      </c>
      <c r="AE515" s="61">
        <f t="shared" si="284"/>
        <v>62.967373487915935</v>
      </c>
      <c r="AF515" s="31" t="str">
        <f t="shared" si="270"/>
        <v>-1.39902068552014E-06</v>
      </c>
      <c r="AG515" s="31" t="str">
        <f t="shared" si="271"/>
        <v>0.193904459511107i</v>
      </c>
      <c r="AH515" s="31">
        <f t="shared" si="285"/>
        <v>0.19390445951110699</v>
      </c>
      <c r="AI515" s="31">
        <f t="shared" si="286"/>
        <v>1.5707963267948966</v>
      </c>
      <c r="AJ515" s="31" t="str">
        <f t="shared" si="272"/>
        <v>1+14.0067525242227i</v>
      </c>
      <c r="AK515" s="31">
        <f t="shared" si="287"/>
        <v>14.042404219891228</v>
      </c>
      <c r="AL515" s="31">
        <f t="shared" si="288"/>
        <v>1.4995231223416263</v>
      </c>
      <c r="AM515" s="31" t="str">
        <f t="shared" si="273"/>
        <v>1+6811.4013598676i</v>
      </c>
      <c r="AN515" s="31">
        <f t="shared" si="289"/>
        <v>6811.4014332739334</v>
      </c>
      <c r="AO515" s="31">
        <f t="shared" si="290"/>
        <v>1.5706495141289001</v>
      </c>
      <c r="AP515" s="58" t="str">
        <f t="shared" si="291"/>
        <v>-0.000248711507887465+0.00349085554095832i</v>
      </c>
      <c r="AQ515" s="49">
        <f t="shared" si="292"/>
        <v>-49.119373107166872</v>
      </c>
      <c r="AR515" s="61">
        <f t="shared" si="293"/>
        <v>94.075242061404737</v>
      </c>
      <c r="AS515" s="58" t="str">
        <f t="shared" si="294"/>
        <v>-0.0000849311407204986+0.0000359766017006425i</v>
      </c>
      <c r="AT515" s="64">
        <f t="shared" si="295"/>
        <v>-80.701921954905131</v>
      </c>
      <c r="AU515" s="61">
        <f t="shared" si="296"/>
        <v>157.04261554932066</v>
      </c>
    </row>
    <row r="516" spans="14:47" x14ac:dyDescent="0.4">
      <c r="N516" s="10">
        <v>98</v>
      </c>
      <c r="O516" s="50">
        <f t="shared" si="297"/>
        <v>954992.58602143743</v>
      </c>
      <c r="P516" s="48" t="str">
        <f t="shared" si="265"/>
        <v>5120.19230769231</v>
      </c>
      <c r="Q516" s="17" t="str">
        <f t="shared" si="266"/>
        <v>1+28040.309202772i</v>
      </c>
      <c r="R516" s="17">
        <f t="shared" si="274"/>
        <v>28040.309220603474</v>
      </c>
      <c r="S516" s="17">
        <f t="shared" si="275"/>
        <v>1.5707606638500857</v>
      </c>
      <c r="T516" s="17" t="str">
        <f t="shared" si="267"/>
        <v>1+0.0599439498957038i</v>
      </c>
      <c r="U516" s="17">
        <f t="shared" si="276"/>
        <v>1.0017950275026817</v>
      </c>
      <c r="V516" s="17">
        <f t="shared" si="277"/>
        <v>5.9872305886393966E-2</v>
      </c>
      <c r="W516" s="31" t="str">
        <f t="shared" si="268"/>
        <v>1-97.2064052362763i</v>
      </c>
      <c r="X516" s="17">
        <f t="shared" si="278"/>
        <v>97.211548794159057</v>
      </c>
      <c r="Y516" s="17">
        <f t="shared" si="279"/>
        <v>-1.5605093017472593</v>
      </c>
      <c r="Z516" s="31" t="str">
        <f t="shared" si="269"/>
        <v>-363.804335742365+591.838442543929i</v>
      </c>
      <c r="AA516" s="17">
        <f t="shared" si="280"/>
        <v>694.713132722973</v>
      </c>
      <c r="AB516" s="17">
        <f t="shared" si="281"/>
        <v>2.1219561179183</v>
      </c>
      <c r="AC516" s="66" t="str">
        <f t="shared" si="282"/>
        <v>0.011842214750517+0.0226932886577886i</v>
      </c>
      <c r="AD516" s="64">
        <f t="shared" si="283"/>
        <v>-31.836106008065073</v>
      </c>
      <c r="AE516" s="61">
        <f t="shared" si="284"/>
        <v>62.442747023521427</v>
      </c>
      <c r="AF516" s="31" t="str">
        <f t="shared" si="270"/>
        <v>-1.39902068552014E-06</v>
      </c>
      <c r="AG516" s="31" t="str">
        <f t="shared" si="271"/>
        <v>0.198421074589703i</v>
      </c>
      <c r="AH516" s="31">
        <f t="shared" si="285"/>
        <v>0.19842107458970301</v>
      </c>
      <c r="AI516" s="31">
        <f t="shared" si="286"/>
        <v>1.5707963267948966</v>
      </c>
      <c r="AJ516" s="31" t="str">
        <f t="shared" si="272"/>
        <v>1+14.3330117026479i</v>
      </c>
      <c r="AK516" s="31">
        <f t="shared" si="287"/>
        <v>14.367853857422189</v>
      </c>
      <c r="AL516" s="31">
        <f t="shared" si="288"/>
        <v>1.5011401950788095</v>
      </c>
      <c r="AM516" s="31" t="str">
        <f t="shared" si="273"/>
        <v>1+6970.05927916411i</v>
      </c>
      <c r="AN516" s="31">
        <f t="shared" si="289"/>
        <v>6970.0593508995107</v>
      </c>
      <c r="AO516" s="31">
        <f t="shared" si="290"/>
        <v>1.5706528559931305</v>
      </c>
      <c r="AP516" s="58" t="str">
        <f t="shared" si="291"/>
        <v>-0.000237571870663244+0.00341217116903657i</v>
      </c>
      <c r="AQ516" s="49">
        <f t="shared" si="292"/>
        <v>-49.318381743147469</v>
      </c>
      <c r="AR516" s="61">
        <f t="shared" si="293"/>
        <v>93.982782093114594</v>
      </c>
      <c r="AS516" s="58" t="str">
        <f t="shared" si="294"/>
        <v>-0.0000802467623998071+0.0000350163767113219i</v>
      </c>
      <c r="AT516" s="64">
        <f t="shared" si="295"/>
        <v>-81.154487751212528</v>
      </c>
      <c r="AU516" s="61">
        <f t="shared" si="296"/>
        <v>156.42552911663603</v>
      </c>
    </row>
    <row r="517" spans="14:47" x14ac:dyDescent="0.4">
      <c r="N517" s="10">
        <v>99</v>
      </c>
      <c r="O517" s="50">
        <f t="shared" si="297"/>
        <v>977237.22095581202</v>
      </c>
      <c r="P517" s="48" t="str">
        <f t="shared" si="265"/>
        <v>5120.19230769231</v>
      </c>
      <c r="Q517" s="17" t="str">
        <f t="shared" si="266"/>
        <v>1+28693.4519085822i</v>
      </c>
      <c r="R517" s="17">
        <f t="shared" si="274"/>
        <v>28693.451926007776</v>
      </c>
      <c r="S517" s="17">
        <f t="shared" si="275"/>
        <v>1.5707614756378179</v>
      </c>
      <c r="T517" s="17" t="str">
        <f t="shared" si="267"/>
        <v>1+0.0613402238579024i</v>
      </c>
      <c r="U517" s="17">
        <f t="shared" si="276"/>
        <v>1.0018795451864149</v>
      </c>
      <c r="V517" s="17">
        <f t="shared" si="277"/>
        <v>6.1263463694938673E-2</v>
      </c>
      <c r="W517" s="31" t="str">
        <f t="shared" si="268"/>
        <v>1-99.4706332830848i</v>
      </c>
      <c r="X517" s="17">
        <f t="shared" si="278"/>
        <v>99.475659765280952</v>
      </c>
      <c r="Y517" s="17">
        <f t="shared" si="279"/>
        <v>-1.5607434470657582</v>
      </c>
      <c r="Z517" s="31" t="str">
        <f t="shared" si="269"/>
        <v>-380.997034408576+605.624130817558i</v>
      </c>
      <c r="AA517" s="17">
        <f t="shared" si="280"/>
        <v>715.4993557346171</v>
      </c>
      <c r="AB517" s="17">
        <f t="shared" si="281"/>
        <v>2.132337216654479</v>
      </c>
      <c r="AC517" s="66" t="str">
        <f t="shared" si="282"/>
        <v>0.0117019111604137+0.021928810058485i</v>
      </c>
      <c r="AD517" s="64">
        <f t="shared" si="283"/>
        <v>-32.091468692164142</v>
      </c>
      <c r="AE517" s="61">
        <f t="shared" si="284"/>
        <v>61.91419929974235</v>
      </c>
      <c r="AF517" s="31" t="str">
        <f t="shared" si="270"/>
        <v>-1.39902068552014E-06</v>
      </c>
      <c r="AG517" s="31" t="str">
        <f t="shared" si="271"/>
        <v>0.20304289514846i</v>
      </c>
      <c r="AH517" s="31">
        <f t="shared" si="285"/>
        <v>0.20304289514846</v>
      </c>
      <c r="AI517" s="31">
        <f t="shared" si="286"/>
        <v>1.5707963267948966</v>
      </c>
      <c r="AJ517" s="31" t="str">
        <f t="shared" si="272"/>
        <v>1+14.6668704335976i</v>
      </c>
      <c r="AK517" s="31">
        <f t="shared" si="287"/>
        <v>14.700921342417265</v>
      </c>
      <c r="AL517" s="31">
        <f t="shared" si="288"/>
        <v>1.5027208114042585</v>
      </c>
      <c r="AM517" s="31" t="str">
        <f t="shared" si="273"/>
        <v>1+7132.41281615009i</v>
      </c>
      <c r="AN517" s="31">
        <f t="shared" si="289"/>
        <v>7132.4128862525931</v>
      </c>
      <c r="AO517" s="31">
        <f t="shared" si="290"/>
        <v>1.5706561217872472</v>
      </c>
      <c r="AP517" s="58" t="str">
        <f t="shared" si="291"/>
        <v>-0.000226928850605331+0.00333522632103174i</v>
      </c>
      <c r="AQ517" s="49">
        <f t="shared" si="292"/>
        <v>-49.517434786560045</v>
      </c>
      <c r="AR517" s="61">
        <f t="shared" si="293"/>
        <v>93.892406564856515</v>
      </c>
      <c r="AS517" s="58" t="str">
        <f t="shared" si="294"/>
        <v>-0.0000757930457454831+0.0000340522424468722i</v>
      </c>
      <c r="AT517" s="64">
        <f t="shared" si="295"/>
        <v>-81.608903478724187</v>
      </c>
      <c r="AU517" s="61">
        <f t="shared" si="296"/>
        <v>155.80660586459888</v>
      </c>
    </row>
    <row r="518" spans="14:47" x14ac:dyDescent="0.4">
      <c r="N518" s="10">
        <v>100</v>
      </c>
      <c r="O518" s="50">
        <f t="shared" si="297"/>
        <v>1000000</v>
      </c>
      <c r="P518" s="48" t="str">
        <f t="shared" si="265"/>
        <v>5120.19230769231</v>
      </c>
      <c r="Q518" s="17" t="str">
        <f t="shared" si="266"/>
        <v>1+29361.8082623969i</v>
      </c>
      <c r="R518" s="17">
        <f t="shared" si="274"/>
        <v>29361.808279425823</v>
      </c>
      <c r="S518" s="17">
        <f t="shared" si="275"/>
        <v>1.5707622689470053</v>
      </c>
      <c r="T518" s="17" t="str">
        <f t="shared" si="267"/>
        <v>1+0.0627690212187242i</v>
      </c>
      <c r="U518" s="17">
        <f t="shared" si="276"/>
        <v>1.0019680384247576</v>
      </c>
      <c r="V518" s="17">
        <f t="shared" si="277"/>
        <v>6.2686779945028567E-2</v>
      </c>
      <c r="W518" s="31" t="str">
        <f t="shared" si="268"/>
        <v>1-101.787601976309i</v>
      </c>
      <c r="X518" s="17">
        <f t="shared" si="278"/>
        <v>101.79251404738712</v>
      </c>
      <c r="Y518" s="17">
        <f t="shared" si="279"/>
        <v>-1.5609722636512648</v>
      </c>
      <c r="Z518" s="31" t="str">
        <f t="shared" si="269"/>
        <v>-399.000000000001+619.730929021729i</v>
      </c>
      <c r="AA518" s="17">
        <f t="shared" si="280"/>
        <v>737.06677064302403</v>
      </c>
      <c r="AB518" s="17">
        <f t="shared" si="281"/>
        <v>2.1428203214666355</v>
      </c>
      <c r="AC518" s="66" t="str">
        <f t="shared" si="282"/>
        <v>0.0115577462141449+0.0211825308488521i</v>
      </c>
      <c r="AD518" s="64">
        <f t="shared" si="283"/>
        <v>-32.348672982418037</v>
      </c>
      <c r="AE518" s="61">
        <f t="shared" si="284"/>
        <v>61.381955973954369</v>
      </c>
      <c r="AF518" s="31" t="str">
        <f t="shared" si="270"/>
        <v>-1.39902068552014E-06</v>
      </c>
      <c r="AG518" s="31" t="str">
        <f t="shared" si="271"/>
        <v>0.207772371737815i</v>
      </c>
      <c r="AH518" s="31">
        <f t="shared" si="285"/>
        <v>0.20777237173781499</v>
      </c>
      <c r="AI518" s="31">
        <f t="shared" si="286"/>
        <v>1.5707963267948966</v>
      </c>
      <c r="AJ518" s="31" t="str">
        <f t="shared" si="272"/>
        <v>1+15.0085057333902i</v>
      </c>
      <c r="AK518" s="31">
        <f t="shared" si="287"/>
        <v>15.041783283547419</v>
      </c>
      <c r="AL518" s="31">
        <f t="shared" si="288"/>
        <v>1.5042657777724808</v>
      </c>
      <c r="AM518" s="31" t="str">
        <f t="shared" si="273"/>
        <v>1+7298.54805281982i</v>
      </c>
      <c r="AN518" s="31">
        <f t="shared" si="289"/>
        <v>7298.5481213265966</v>
      </c>
      <c r="AO518" s="31">
        <f t="shared" si="290"/>
        <v>1.5706593132428168</v>
      </c>
      <c r="AP518" s="58" t="str">
        <f t="shared" si="291"/>
        <v>-0.000216760511292338+0.00325998480633274i</v>
      </c>
      <c r="AQ518" s="49">
        <f t="shared" si="292"/>
        <v>-49.71653025724892</v>
      </c>
      <c r="AR518" s="61">
        <f t="shared" si="293"/>
        <v>93.80406936940237</v>
      </c>
      <c r="AS518" s="58" t="str">
        <f t="shared" si="294"/>
        <v>-0.0000715599917056975+0.0000330865408362992i</v>
      </c>
      <c r="AT518" s="64">
        <f t="shared" si="295"/>
        <v>-82.065203239666971</v>
      </c>
      <c r="AU518" s="61">
        <f t="shared" si="296"/>
        <v>155.18602534335676</v>
      </c>
    </row>
    <row r="519" spans="14:47" x14ac:dyDescent="0.4">
      <c r="N519" s="10">
        <v>1</v>
      </c>
      <c r="O519" s="50">
        <f>10^(6+(N519/100))</f>
        <v>1023292.9922807553</v>
      </c>
      <c r="P519" s="48" t="str">
        <f t="shared" si="265"/>
        <v>5120.19230769231</v>
      </c>
      <c r="Q519" s="17" t="str">
        <f t="shared" si="266"/>
        <v>1+30045.732635602i</v>
      </c>
      <c r="R519" s="17">
        <f t="shared" si="274"/>
        <v>30045.732652243296</v>
      </c>
      <c r="S519" s="17">
        <f t="shared" si="275"/>
        <v>1.570763044198271</v>
      </c>
      <c r="T519" s="17" t="str">
        <f t="shared" si="267"/>
        <v>1+0.0642310995454425i</v>
      </c>
      <c r="U519" s="17">
        <f t="shared" si="276"/>
        <v>1.0020606938448471</v>
      </c>
      <c r="V519" s="17">
        <f t="shared" si="277"/>
        <v>6.4142986217596829E-2</v>
      </c>
      <c r="W519" s="31" t="str">
        <f t="shared" si="268"/>
        <v>1-104.15853980342i</v>
      </c>
      <c r="X519" s="17">
        <f t="shared" si="278"/>
        <v>104.16334006732228</v>
      </c>
      <c r="Y519" s="17">
        <f t="shared" si="279"/>
        <v>-1.5611958727294653</v>
      </c>
      <c r="Z519" s="31" t="str">
        <f t="shared" si="269"/>
        <v>-417.851419220362+634.166316767578i</v>
      </c>
      <c r="AA519" s="17">
        <f t="shared" si="280"/>
        <v>759.45159547335652</v>
      </c>
      <c r="AB519" s="17">
        <f t="shared" si="281"/>
        <v>2.1534018728848152</v>
      </c>
      <c r="AC519" s="66" t="str">
        <f t="shared" si="282"/>
        <v>0.0114098323457759+0.0204542492212956i</v>
      </c>
      <c r="AD519" s="64">
        <f t="shared" si="283"/>
        <v>-32.60775400109496</v>
      </c>
      <c r="AE519" s="61">
        <f t="shared" si="284"/>
        <v>60.846255935443565</v>
      </c>
      <c r="AF519" s="31" t="str">
        <f t="shared" si="270"/>
        <v>-1.39902068552014E-06</v>
      </c>
      <c r="AG519" s="31" t="str">
        <f t="shared" si="271"/>
        <v>0.212612011988858i</v>
      </c>
      <c r="AH519" s="31">
        <f t="shared" si="285"/>
        <v>0.21261201198885801</v>
      </c>
      <c r="AI519" s="31">
        <f t="shared" si="286"/>
        <v>1.5707963267948966</v>
      </c>
      <c r="AJ519" s="31" t="str">
        <f t="shared" si="272"/>
        <v>1+15.3580987415837i</v>
      </c>
      <c r="AK519" s="31">
        <f t="shared" si="287"/>
        <v>15.390620421420147</v>
      </c>
      <c r="AL519" s="31">
        <f t="shared" si="288"/>
        <v>1.5057758838267961</v>
      </c>
      <c r="AM519" s="31" t="str">
        <f t="shared" si="273"/>
        <v>1+7468.55307627487i</v>
      </c>
      <c r="AN519" s="31">
        <f t="shared" si="289"/>
        <v>7468.5531432222424</v>
      </c>
      <c r="AO519" s="31">
        <f t="shared" si="290"/>
        <v>1.5706624320519911</v>
      </c>
      <c r="AP519" s="58" t="str">
        <f t="shared" si="291"/>
        <v>-0.000207045867449931+0.00318641103458658i</v>
      </c>
      <c r="AQ519" s="49">
        <f t="shared" si="292"/>
        <v>-49.915666262562212</v>
      </c>
      <c r="AR519" s="61">
        <f t="shared" si="293"/>
        <v>93.71772536047574</v>
      </c>
      <c r="AS519" s="58" t="str">
        <f t="shared" si="294"/>
        <v>-0.0000675380040584097+0.000032121447916303i</v>
      </c>
      <c r="AT519" s="64">
        <f t="shared" si="295"/>
        <v>-82.523420263657172</v>
      </c>
      <c r="AU519" s="61">
        <f t="shared" si="296"/>
        <v>154.56398129591929</v>
      </c>
    </row>
    <row r="520" spans="14:47" x14ac:dyDescent="0.4">
      <c r="N520" s="10">
        <v>2</v>
      </c>
      <c r="O520" s="50">
        <f t="shared" ref="O520:O560" si="298">10^(6+(N520/100))</f>
        <v>1047128.5480509007</v>
      </c>
      <c r="P520" s="48" t="str">
        <f t="shared" si="265"/>
        <v>5120.19230769231</v>
      </c>
      <c r="Q520" s="17" t="str">
        <f t="shared" si="266"/>
        <v>1+30745.5876539526i</v>
      </c>
      <c r="R520" s="17">
        <f t="shared" si="274"/>
        <v>30745.587670215096</v>
      </c>
      <c r="S520" s="17">
        <f t="shared" si="275"/>
        <v>1.5707638018026635</v>
      </c>
      <c r="T520" s="17" t="str">
        <f t="shared" si="267"/>
        <v>1+0.0657272340513387i</v>
      </c>
      <c r="U520" s="17">
        <f t="shared" si="276"/>
        <v>1.0021577067987051</v>
      </c>
      <c r="V520" s="17">
        <f t="shared" si="277"/>
        <v>6.5632829895043113E-2</v>
      </c>
      <c r="W520" s="31" t="str">
        <f t="shared" si="268"/>
        <v>1-106.584703867036i</v>
      </c>
      <c r="X520" s="17">
        <f t="shared" si="278"/>
        <v>106.58939486845658</v>
      </c>
      <c r="Y520" s="17">
        <f t="shared" si="279"/>
        <v>-1.561414392771356</v>
      </c>
      <c r="Z520" s="31" t="str">
        <f t="shared" si="269"/>
        <v>-437.591278457276+648.937947888759i</v>
      </c>
      <c r="AA520" s="17">
        <f t="shared" si="280"/>
        <v>782.69188522173079</v>
      </c>
      <c r="AB520" s="17">
        <f t="shared" si="281"/>
        <v>2.164078101212735</v>
      </c>
      <c r="AC520" s="66" t="str">
        <f t="shared" si="282"/>
        <v>0.011258290161871+0.0197437694040381i</v>
      </c>
      <c r="AD520" s="64">
        <f t="shared" si="283"/>
        <v>-32.868745792921473</v>
      </c>
      <c r="AE520" s="61">
        <f t="shared" si="284"/>
        <v>60.307351182313816</v>
      </c>
      <c r="AF520" s="31" t="str">
        <f t="shared" si="270"/>
        <v>-1.39902068552014E-06</v>
      </c>
      <c r="AG520" s="31" t="str">
        <f t="shared" si="271"/>
        <v>0.21756438194291i</v>
      </c>
      <c r="AH520" s="31">
        <f t="shared" si="285"/>
        <v>0.21756438194291</v>
      </c>
      <c r="AI520" s="31">
        <f t="shared" si="286"/>
        <v>1.5707963267948966</v>
      </c>
      <c r="AJ520" s="31" t="str">
        <f t="shared" si="272"/>
        <v>1+15.7158348170185i</v>
      </c>
      <c r="AK520" s="31">
        <f t="shared" si="287"/>
        <v>15.747617724462671</v>
      </c>
      <c r="AL520" s="31">
        <f t="shared" si="288"/>
        <v>1.5072519026804982</v>
      </c>
      <c r="AM520" s="31" t="str">
        <f t="shared" si="273"/>
        <v>1+7642.51802542893i</v>
      </c>
      <c r="AN520" s="31">
        <f t="shared" si="289"/>
        <v>7642.5180908523935</v>
      </c>
      <c r="AO520" s="31">
        <f t="shared" si="290"/>
        <v>1.5706654798684039</v>
      </c>
      <c r="AP520" s="58" t="str">
        <f t="shared" si="291"/>
        <v>-0.000197764845276757+0.00311447001654802i</v>
      </c>
      <c r="AQ520" s="49">
        <f t="shared" si="292"/>
        <v>-50.114840993554921</v>
      </c>
      <c r="AR520" s="61">
        <f t="shared" si="293"/>
        <v>93.633330336694044</v>
      </c>
      <c r="AS520" s="58" t="str">
        <f t="shared" si="294"/>
        <v>-0.0000637178718344581+0.0000311589836453752i</v>
      </c>
      <c r="AT520" s="64">
        <f t="shared" si="295"/>
        <v>-82.983586786476394</v>
      </c>
      <c r="AU520" s="61">
        <f t="shared" si="296"/>
        <v>153.94068151900788</v>
      </c>
    </row>
    <row r="521" spans="14:47" x14ac:dyDescent="0.4">
      <c r="N521" s="10">
        <v>3</v>
      </c>
      <c r="O521" s="50">
        <f t="shared" si="298"/>
        <v>1071519.3052376076</v>
      </c>
      <c r="P521" s="48" t="str">
        <f t="shared" si="265"/>
        <v>5120.19230769231</v>
      </c>
      <c r="Q521" s="17" t="str">
        <f t="shared" si="266"/>
        <v>1+31461.7443898434i</v>
      </c>
      <c r="R521" s="17">
        <f t="shared" si="274"/>
        <v>31461.744405735717</v>
      </c>
      <c r="S521" s="17">
        <f t="shared" si="275"/>
        <v>1.5707645421618746</v>
      </c>
      <c r="T521" s="17" t="str">
        <f t="shared" si="267"/>
        <v>1+0.0672582180067319i</v>
      </c>
      <c r="U521" s="17">
        <f t="shared" si="276"/>
        <v>1.0022592817676677</v>
      </c>
      <c r="V521" s="17">
        <f t="shared" si="277"/>
        <v>6.7157074442037612E-2</v>
      </c>
      <c r="W521" s="31" t="str">
        <f t="shared" si="268"/>
        <v>1-109.067380551457i</v>
      </c>
      <c r="X521" s="17">
        <f t="shared" si="278"/>
        <v>109.07196477718894</v>
      </c>
      <c r="Y521" s="17">
        <f t="shared" si="279"/>
        <v>-1.561627939555631</v>
      </c>
      <c r="Z521" s="31" t="str">
        <f t="shared" si="269"/>
        <v>-458.261448598754+664.05365449962i</v>
      </c>
      <c r="AA521" s="17">
        <f t="shared" si="280"/>
        <v>806.8276218165372</v>
      </c>
      <c r="AB521" s="17">
        <f t="shared" si="281"/>
        <v>2.1748450298400117</v>
      </c>
      <c r="AC521" s="66" t="str">
        <f t="shared" si="282"/>
        <v>0.0111032485174343+0.0190509007743222i</v>
      </c>
      <c r="AD521" s="64">
        <f t="shared" si="283"/>
        <v>-33.131681207064275</v>
      </c>
      <c r="AE521" s="61">
        <f t="shared" si="284"/>
        <v>59.765506644215243</v>
      </c>
      <c r="AF521" s="31" t="str">
        <f t="shared" si="270"/>
        <v>-1.39902068552014E-06</v>
      </c>
      <c r="AG521" s="31" t="str">
        <f t="shared" si="271"/>
        <v>0.222632107412073i</v>
      </c>
      <c r="AH521" s="31">
        <f t="shared" si="285"/>
        <v>0.22263210741207301</v>
      </c>
      <c r="AI521" s="31">
        <f t="shared" si="286"/>
        <v>1.5707963267948966</v>
      </c>
      <c r="AJ521" s="31" t="str">
        <f t="shared" si="272"/>
        <v>1+16.0819036360969i</v>
      </c>
      <c r="AK521" s="31">
        <f t="shared" si="287"/>
        <v>16.11296448704293</v>
      </c>
      <c r="AL521" s="31">
        <f t="shared" si="288"/>
        <v>1.5086945911982106</v>
      </c>
      <c r="AM521" s="31" t="str">
        <f t="shared" si="273"/>
        <v>1+7820.53513880077i</v>
      </c>
      <c r="AN521" s="31">
        <f t="shared" si="289"/>
        <v>7820.5352027350136</v>
      </c>
      <c r="AO521" s="31">
        <f t="shared" si="290"/>
        <v>1.5706684583080475</v>
      </c>
      <c r="AP521" s="58" t="str">
        <f t="shared" si="291"/>
        <v>-0.000188898244286173+0.00304412736398524i</v>
      </c>
      <c r="AQ521" s="49">
        <f t="shared" si="292"/>
        <v>-50.31405272134964</v>
      </c>
      <c r="AR521" s="61">
        <f t="shared" si="293"/>
        <v>93.550841025498272</v>
      </c>
      <c r="AS521" s="58" t="str">
        <f t="shared" si="294"/>
        <v>-0.0000600907525064982+0.0000302010209327107i</v>
      </c>
      <c r="AT521" s="64">
        <f t="shared" si="295"/>
        <v>-83.445733928413915</v>
      </c>
      <c r="AU521" s="61">
        <f t="shared" si="296"/>
        <v>153.31634766971354</v>
      </c>
    </row>
    <row r="522" spans="14:47" x14ac:dyDescent="0.4">
      <c r="N522" s="10">
        <v>4</v>
      </c>
      <c r="O522" s="50">
        <f t="shared" si="298"/>
        <v>1096478.196143186</v>
      </c>
      <c r="P522" s="48" t="str">
        <f t="shared" si="265"/>
        <v>5120.19230769231</v>
      </c>
      <c r="Q522" s="17" t="str">
        <f t="shared" si="266"/>
        <v>1+32194.5825590551i</v>
      </c>
      <c r="R522" s="17">
        <f t="shared" si="274"/>
        <v>32194.582574585664</v>
      </c>
      <c r="S522" s="17">
        <f t="shared" si="275"/>
        <v>1.5707652656684525</v>
      </c>
      <c r="T522" s="17" t="str">
        <f t="shared" si="267"/>
        <v>1+0.06882486315958i</v>
      </c>
      <c r="U522" s="17">
        <f t="shared" si="276"/>
        <v>1.0023656327852302</v>
      </c>
      <c r="V522" s="17">
        <f t="shared" si="277"/>
        <v>6.8716499686787891E-2</v>
      </c>
      <c r="W522" s="31" t="str">
        <f t="shared" si="268"/>
        <v>1-111.607886204724i</v>
      </c>
      <c r="X522" s="17">
        <f t="shared" si="278"/>
        <v>111.61236608497563</v>
      </c>
      <c r="Y522" s="17">
        <f t="shared" si="279"/>
        <v>-1.5618366262296715</v>
      </c>
      <c r="Z522" s="31" t="str">
        <f t="shared" si="269"/>
        <v>-479.905773846967+679.521451147886i</v>
      </c>
      <c r="AA522" s="17">
        <f t="shared" si="280"/>
        <v>831.90080799442967</v>
      </c>
      <c r="AB522" s="17">
        <f t="shared" si="281"/>
        <v>2.1856984795248056</v>
      </c>
      <c r="AC522" s="66" t="str">
        <f t="shared" si="282"/>
        <v>0.0109448445299918+0.0183754569619172i</v>
      </c>
      <c r="AD522" s="64">
        <f t="shared" si="283"/>
        <v>-33.396591779194566</v>
      </c>
      <c r="AE522" s="61">
        <f t="shared" si="284"/>
        <v>59.220999949572843</v>
      </c>
      <c r="AF522" s="31" t="str">
        <f t="shared" si="270"/>
        <v>-1.39902068552014E-06</v>
      </c>
      <c r="AG522" s="31" t="str">
        <f t="shared" si="271"/>
        <v>0.22781787537147i</v>
      </c>
      <c r="AH522" s="31">
        <f t="shared" si="285"/>
        <v>0.22781787537147</v>
      </c>
      <c r="AI522" s="31">
        <f t="shared" si="286"/>
        <v>1.5707963267948966</v>
      </c>
      <c r="AJ522" s="31" t="str">
        <f t="shared" si="272"/>
        <v>1+16.4564992933524i</v>
      </c>
      <c r="AK522" s="31">
        <f t="shared" si="287"/>
        <v>16.486854429881646</v>
      </c>
      <c r="AL522" s="31">
        <f t="shared" si="288"/>
        <v>1.5101046902770114</v>
      </c>
      <c r="AM522" s="31" t="str">
        <f t="shared" si="273"/>
        <v>1+8002.69880342023i</v>
      </c>
      <c r="AN522" s="31">
        <f t="shared" si="289"/>
        <v>8002.6988658991531</v>
      </c>
      <c r="AO522" s="31">
        <f t="shared" si="290"/>
        <v>1.5706713689501295</v>
      </c>
      <c r="AP522" s="58" t="str">
        <f t="shared" si="291"/>
        <v>-0.000180427700618469+0.0029753492887192i</v>
      </c>
      <c r="AQ522" s="49">
        <f t="shared" si="292"/>
        <v>-50.513299793651136</v>
      </c>
      <c r="AR522" s="61">
        <f t="shared" si="293"/>
        <v>93.470215067094685</v>
      </c>
      <c r="AS522" s="58" t="str">
        <f t="shared" si="294"/>
        <v>-0.0000566481559337037+0.000029249293940001i</v>
      </c>
      <c r="AT522" s="64">
        <f t="shared" si="295"/>
        <v>-83.909891572845709</v>
      </c>
      <c r="AU522" s="61">
        <f t="shared" si="296"/>
        <v>152.69121501666751</v>
      </c>
    </row>
    <row r="523" spans="14:47" x14ac:dyDescent="0.4">
      <c r="N523" s="10">
        <v>5</v>
      </c>
      <c r="O523" s="50">
        <f t="shared" si="298"/>
        <v>1122018.4543019643</v>
      </c>
      <c r="P523" s="48" t="str">
        <f t="shared" si="265"/>
        <v>5120.19230769231</v>
      </c>
      <c r="Q523" s="17" t="str">
        <f t="shared" si="266"/>
        <v>1+32944.4907220852i</v>
      </c>
      <c r="R523" s="17">
        <f t="shared" si="274"/>
        <v>32944.49073726224</v>
      </c>
      <c r="S523" s="17">
        <f t="shared" si="275"/>
        <v>1.5707659727060104</v>
      </c>
      <c r="T523" s="17" t="str">
        <f t="shared" si="267"/>
        <v>1+0.07042800016588i</v>
      </c>
      <c r="U523" s="17">
        <f t="shared" si="276"/>
        <v>1.0024769838791139</v>
      </c>
      <c r="V523" s="17">
        <f t="shared" si="277"/>
        <v>7.0311902102369192E-2</v>
      </c>
      <c r="W523" s="31" t="str">
        <f t="shared" si="268"/>
        <v>1-114.207567836562i</v>
      </c>
      <c r="X523" s="17">
        <f t="shared" si="278"/>
        <v>114.21194574624369</v>
      </c>
      <c r="Y523" s="17">
        <f t="shared" si="279"/>
        <v>-1.5620405633691661</v>
      </c>
      <c r="Z523" s="31" t="str">
        <f t="shared" si="269"/>
        <v>-502.570164717668+695.349539064081i</v>
      </c>
      <c r="AA523" s="17">
        <f t="shared" si="280"/>
        <v>857.95556524855874</v>
      </c>
      <c r="AB523" s="17">
        <f t="shared" si="281"/>
        <v>2.1966340736620715</v>
      </c>
      <c r="AC523" s="66" t="str">
        <f t="shared" si="282"/>
        <v>0.010783223529396+0.0177172549483495i</v>
      </c>
      <c r="AD523" s="64">
        <f t="shared" si="283"/>
        <v>-33.663507614345946</v>
      </c>
      <c r="AE523" s="61">
        <f t="shared" si="284"/>
        <v>58.674121136430401</v>
      </c>
      <c r="AF523" s="31" t="str">
        <f t="shared" si="270"/>
        <v>-1.39902068552014E-06</v>
      </c>
      <c r="AG523" s="31" t="str">
        <f t="shared" si="271"/>
        <v>0.233124435383916i</v>
      </c>
      <c r="AH523" s="31">
        <f t="shared" si="285"/>
        <v>0.233124435383916</v>
      </c>
      <c r="AI523" s="31">
        <f t="shared" si="286"/>
        <v>1.5707963267948966</v>
      </c>
      <c r="AJ523" s="31" t="str">
        <f t="shared" si="272"/>
        <v>1+16.8398204043606i</v>
      </c>
      <c r="AK523" s="31">
        <f t="shared" si="287"/>
        <v>16.869485802807375</v>
      </c>
      <c r="AL523" s="31">
        <f t="shared" si="288"/>
        <v>1.5114829251269375</v>
      </c>
      <c r="AM523" s="31" t="str">
        <f t="shared" si="273"/>
        <v>1+8189.10560487349i</v>
      </c>
      <c r="AN523" s="31">
        <f t="shared" si="289"/>
        <v>8189.1056659302176</v>
      </c>
      <c r="AO523" s="31">
        <f t="shared" si="290"/>
        <v>1.5706742133379112</v>
      </c>
      <c r="AP523" s="58" t="str">
        <f t="shared" si="291"/>
        <v>-0.000172335651778544+0.00290810260087113i</v>
      </c>
      <c r="AQ523" s="49">
        <f t="shared" si="292"/>
        <v>-50.712580631406382</v>
      </c>
      <c r="AR523" s="61">
        <f t="shared" si="293"/>
        <v>93.391410998431269</v>
      </c>
      <c r="AS523" s="58" t="str">
        <f t="shared" si="294"/>
        <v>-0.0000533819290508043+0.0000283054057123608i</v>
      </c>
      <c r="AT523" s="64">
        <f t="shared" si="295"/>
        <v>-84.376088245752328</v>
      </c>
      <c r="AU523" s="61">
        <f t="shared" si="296"/>
        <v>152.06553213486171</v>
      </c>
    </row>
    <row r="524" spans="14:47" x14ac:dyDescent="0.4">
      <c r="N524" s="10">
        <v>6</v>
      </c>
      <c r="O524" s="50">
        <f t="shared" si="298"/>
        <v>1148153.6214968837</v>
      </c>
      <c r="P524" s="48" t="str">
        <f t="shared" si="265"/>
        <v>5120.19230769231</v>
      </c>
      <c r="Q524" s="17" t="str">
        <f t="shared" si="266"/>
        <v>1+33711.8664901681i</v>
      </c>
      <c r="R524" s="17">
        <f t="shared" si="274"/>
        <v>33711.866504999663</v>
      </c>
      <c r="S524" s="17">
        <f t="shared" si="275"/>
        <v>1.5707666636494282</v>
      </c>
      <c r="T524" s="17" t="str">
        <f t="shared" si="267"/>
        <v>1+0.0720684790300928i</v>
      </c>
      <c r="U524" s="17">
        <f t="shared" si="276"/>
        <v>1.0025935695333932</v>
      </c>
      <c r="V524" s="17">
        <f t="shared" si="277"/>
        <v>7.1944095087675047E-2</v>
      </c>
      <c r="W524" s="31" t="str">
        <f t="shared" si="268"/>
        <v>1-116.867803832583i</v>
      </c>
      <c r="X524" s="17">
        <f t="shared" si="278"/>
        <v>116.87208209256433</v>
      </c>
      <c r="Y524" s="17">
        <f t="shared" si="279"/>
        <v>-1.5622398590363922</v>
      </c>
      <c r="Z524" s="31" t="str">
        <f t="shared" si="269"/>
        <v>-526.302695422564+711.546310509926i</v>
      </c>
      <c r="AA524" s="17">
        <f t="shared" si="280"/>
        <v>885.03823601545275</v>
      </c>
      <c r="AB524" s="17">
        <f t="shared" si="281"/>
        <v>2.2076472445448383</v>
      </c>
      <c r="AC524" s="66" t="str">
        <f t="shared" si="282"/>
        <v>0.0106185389415103+0.0170761141676923i</v>
      </c>
      <c r="AD524" s="64">
        <f t="shared" si="283"/>
        <v>-33.932457271298901</v>
      </c>
      <c r="AE524" s="61">
        <f t="shared" si="284"/>
        <v>58.125172306451347</v>
      </c>
      <c r="AF524" s="31" t="str">
        <f t="shared" si="270"/>
        <v>-1.39902068552014E-06</v>
      </c>
      <c r="AG524" s="31" t="str">
        <f t="shared" si="271"/>
        <v>0.238554601057769i</v>
      </c>
      <c r="AH524" s="31">
        <f t="shared" si="285"/>
        <v>0.23855460105776899</v>
      </c>
      <c r="AI524" s="31">
        <f t="shared" si="286"/>
        <v>1.5707963267948966</v>
      </c>
      <c r="AJ524" s="31" t="str">
        <f t="shared" si="272"/>
        <v>1+17.2320702110487i</v>
      </c>
      <c r="AK524" s="31">
        <f t="shared" si="287"/>
        <v>17.261061489911679</v>
      </c>
      <c r="AL524" s="31">
        <f t="shared" si="288"/>
        <v>1.5128300055505151</v>
      </c>
      <c r="AM524" s="31" t="str">
        <f t="shared" si="273"/>
        <v>1+8379.85437851409i</v>
      </c>
      <c r="AN524" s="31">
        <f t="shared" si="289"/>
        <v>8379.854438180997</v>
      </c>
      <c r="AO524" s="31">
        <f t="shared" si="290"/>
        <v>1.5706769929795241</v>
      </c>
      <c r="AP524" s="58" t="str">
        <f t="shared" si="291"/>
        <v>-0.000164605302754086+0.002842354706386i</v>
      </c>
      <c r="AQ524" s="49">
        <f t="shared" si="292"/>
        <v>-50.91189372560649</v>
      </c>
      <c r="AR524" s="61">
        <f t="shared" si="293"/>
        <v>93.314388237228542</v>
      </c>
      <c r="AS524" s="58" t="str">
        <f t="shared" si="294"/>
        <v>-0.0000502842412885982+0.0000273708351929085i</v>
      </c>
      <c r="AT524" s="64">
        <f t="shared" si="295"/>
        <v>-84.844350996905405</v>
      </c>
      <c r="AU524" s="61">
        <f t="shared" si="296"/>
        <v>151.43956054367987</v>
      </c>
    </row>
    <row r="525" spans="14:47" x14ac:dyDescent="0.4">
      <c r="N525" s="10">
        <v>7</v>
      </c>
      <c r="O525" s="50">
        <f t="shared" si="298"/>
        <v>1174897.5549395324</v>
      </c>
      <c r="P525" s="48" t="str">
        <f t="shared" si="265"/>
        <v>5120.19230769231</v>
      </c>
      <c r="Q525" s="17" t="str">
        <f t="shared" si="266"/>
        <v>1+34497.1167360935i</v>
      </c>
      <c r="R525" s="17">
        <f t="shared" si="274"/>
        <v>34497.116750587462</v>
      </c>
      <c r="S525" s="17">
        <f t="shared" si="275"/>
        <v>1.570767338865054</v>
      </c>
      <c r="T525" s="17" t="str">
        <f t="shared" si="267"/>
        <v>1+0.0737471695558266i</v>
      </c>
      <c r="U525" s="17">
        <f t="shared" si="276"/>
        <v>1.0027156351715554</v>
      </c>
      <c r="V525" s="17">
        <f t="shared" si="277"/>
        <v>7.3613909247508866E-2</v>
      </c>
      <c r="W525" s="31" t="str">
        <f t="shared" si="268"/>
        <v>1-119.590004685124i</v>
      </c>
      <c r="X525" s="17">
        <f t="shared" si="278"/>
        <v>119.59418556346283</v>
      </c>
      <c r="Y525" s="17">
        <f t="shared" si="279"/>
        <v>-1.5624346188371878</v>
      </c>
      <c r="Z525" s="31" t="str">
        <f t="shared" si="269"/>
        <v>-551.153705841158+728.120353228034i</v>
      </c>
      <c r="AA525" s="17">
        <f t="shared" si="280"/>
        <v>913.19749027653313</v>
      </c>
      <c r="AB525" s="17">
        <f t="shared" si="281"/>
        <v>2.218733240617524</v>
      </c>
      <c r="AC525" s="66" t="str">
        <f t="shared" si="282"/>
        <v>0.0104509521045497+0.01645185561509i</v>
      </c>
      <c r="AD525" s="64">
        <f t="shared" si="283"/>
        <v>-34.203467649248346</v>
      </c>
      <c r="AE525" s="61">
        <f t="shared" si="284"/>
        <v>57.574467222107636</v>
      </c>
      <c r="AF525" s="31" t="str">
        <f t="shared" si="270"/>
        <v>-1.39902068552014E-06</v>
      </c>
      <c r="AG525" s="31" t="str">
        <f t="shared" si="271"/>
        <v>0.244111251538746i</v>
      </c>
      <c r="AH525" s="31">
        <f t="shared" si="285"/>
        <v>0.24411125153874599</v>
      </c>
      <c r="AI525" s="31">
        <f t="shared" si="286"/>
        <v>1.5707963267948966</v>
      </c>
      <c r="AJ525" s="31" t="str">
        <f t="shared" si="272"/>
        <v>1+17.6334566894561i</v>
      </c>
      <c r="AK525" s="31">
        <f t="shared" si="287"/>
        <v>17.661789117156964</v>
      </c>
      <c r="AL525" s="31">
        <f t="shared" si="288"/>
        <v>1.5141466262209844</v>
      </c>
      <c r="AM525" s="31" t="str">
        <f t="shared" si="273"/>
        <v>1+8575.04626186668i</v>
      </c>
      <c r="AN525" s="31">
        <f t="shared" si="289"/>
        <v>8575.0463201754028</v>
      </c>
      <c r="AO525" s="31">
        <f t="shared" si="290"/>
        <v>1.5706797093487712</v>
      </c>
      <c r="AP525" s="58" t="str">
        <f t="shared" si="291"/>
        <v>-0.000157220593469869+0.00277807360389664i</v>
      </c>
      <c r="AQ525" s="49">
        <f t="shared" si="292"/>
        <v>-51.111237634223485</v>
      </c>
      <c r="AR525" s="61">
        <f t="shared" si="293"/>
        <v>93.239107066084401</v>
      </c>
      <c r="AS525" s="58" t="str">
        <f t="shared" si="294"/>
        <v>-0.0000473475707116027+0.0000264469436737525i</v>
      </c>
      <c r="AT525" s="64">
        <f t="shared" si="295"/>
        <v>-85.314705283471838</v>
      </c>
      <c r="AU525" s="61">
        <f t="shared" si="296"/>
        <v>150.81357428819203</v>
      </c>
    </row>
    <row r="526" spans="14:47" x14ac:dyDescent="0.4">
      <c r="N526" s="10">
        <v>8</v>
      </c>
      <c r="O526" s="50">
        <f t="shared" si="298"/>
        <v>1202264.4346174158</v>
      </c>
      <c r="P526" s="48" t="str">
        <f t="shared" si="265"/>
        <v>5120.19230769231</v>
      </c>
      <c r="Q526" s="17" t="str">
        <f t="shared" si="266"/>
        <v>1+35300.6578099356i</v>
      </c>
      <c r="R526" s="17">
        <f t="shared" si="274"/>
        <v>35300.657824099639</v>
      </c>
      <c r="S526" s="17">
        <f t="shared" si="275"/>
        <v>1.5707679987108956</v>
      </c>
      <c r="T526" s="17" t="str">
        <f t="shared" si="267"/>
        <v>1+0.0754649618070179i</v>
      </c>
      <c r="U526" s="17">
        <f t="shared" si="276"/>
        <v>1.0028434376614002</v>
      </c>
      <c r="V526" s="17">
        <f t="shared" si="277"/>
        <v>7.5322192671295141E-2</v>
      </c>
      <c r="W526" s="31" t="str">
        <f t="shared" si="268"/>
        <v>1-122.37561374111i</v>
      </c>
      <c r="X526" s="17">
        <f t="shared" si="278"/>
        <v>122.37969945425323</v>
      </c>
      <c r="Y526" s="17">
        <f t="shared" si="279"/>
        <v>-1.5626249459766433</v>
      </c>
      <c r="Z526" s="31" t="str">
        <f t="shared" si="269"/>
        <v>-577.175908298375+745.080454995235i</v>
      </c>
      <c r="AA526" s="17">
        <f t="shared" si="280"/>
        <v>942.48443676060799</v>
      </c>
      <c r="AB526" s="17">
        <f t="shared" si="281"/>
        <v>2.2298871347116171</v>
      </c>
      <c r="AC526" s="66" t="str">
        <f t="shared" si="282"/>
        <v>0.010280632017548+0.0158443009694679i</v>
      </c>
      <c r="AD526" s="64">
        <f t="shared" si="283"/>
        <v>-34.476563877518906</v>
      </c>
      <c r="AE526" s="61">
        <f t="shared" si="284"/>
        <v>57.022330847575816</v>
      </c>
      <c r="AF526" s="31" t="str">
        <f t="shared" si="270"/>
        <v>-1.39902068552014E-06</v>
      </c>
      <c r="AG526" s="31" t="str">
        <f t="shared" si="271"/>
        <v>0.249797333036483i</v>
      </c>
      <c r="AH526" s="31">
        <f t="shared" si="285"/>
        <v>0.24979733303648299</v>
      </c>
      <c r="AI526" s="31">
        <f t="shared" si="286"/>
        <v>1.5707963267948966</v>
      </c>
      <c r="AJ526" s="31" t="str">
        <f t="shared" si="272"/>
        <v>1+18.0441926600066i</v>
      </c>
      <c r="AK526" s="31">
        <f t="shared" si="287"/>
        <v>18.071881162497611</v>
      </c>
      <c r="AL526" s="31">
        <f t="shared" si="288"/>
        <v>1.5154334669589307</v>
      </c>
      <c r="AM526" s="31" t="str">
        <f t="shared" si="273"/>
        <v>1+8774.78474825145i</v>
      </c>
      <c r="AN526" s="31">
        <f t="shared" si="289"/>
        <v>8774.7848052329045</v>
      </c>
      <c r="AO526" s="31">
        <f t="shared" si="290"/>
        <v>1.5706823638859067</v>
      </c>
      <c r="AP526" s="58" t="str">
        <f t="shared" si="291"/>
        <v>-0.000150166167534141+0.00271522788098796i</v>
      </c>
      <c r="AQ526" s="49">
        <f t="shared" si="292"/>
        <v>-51.310610979277563</v>
      </c>
      <c r="AR526" s="61">
        <f t="shared" si="293"/>
        <v>93.165528616669036</v>
      </c>
      <c r="AS526" s="58" t="str">
        <f t="shared" si="294"/>
        <v>-0.0000445646908569678+0.0000255349807343814i</v>
      </c>
      <c r="AT526" s="64">
        <f t="shared" si="295"/>
        <v>-85.787174856796469</v>
      </c>
      <c r="AU526" s="61">
        <f t="shared" si="296"/>
        <v>150.18785946424484</v>
      </c>
    </row>
    <row r="527" spans="14:47" x14ac:dyDescent="0.4">
      <c r="N527" s="10">
        <v>9</v>
      </c>
      <c r="O527" s="50">
        <f t="shared" si="298"/>
        <v>1230268.770812382</v>
      </c>
      <c r="P527" s="48" t="str">
        <f t="shared" si="265"/>
        <v>5120.19230769231</v>
      </c>
      <c r="Q527" s="17" t="str">
        <f t="shared" si="266"/>
        <v>1+36122.9157598079i</v>
      </c>
      <c r="R527" s="17">
        <f t="shared" si="274"/>
        <v>36122.915773649518</v>
      </c>
      <c r="S527" s="17">
        <f t="shared" si="275"/>
        <v>1.570768643536812</v>
      </c>
      <c r="T527" s="17" t="str">
        <f t="shared" si="267"/>
        <v>1+0.0772227665798561i</v>
      </c>
      <c r="U527" s="17">
        <f t="shared" si="276"/>
        <v>1.0029772458427195</v>
      </c>
      <c r="V527" s="17">
        <f t="shared" si="277"/>
        <v>7.7069811209845296E-2</v>
      </c>
      <c r="W527" s="31" t="str">
        <f t="shared" si="268"/>
        <v>1-125.226107967334i</v>
      </c>
      <c r="X527" s="17">
        <f t="shared" si="278"/>
        <v>125.23010068129145</v>
      </c>
      <c r="Y527" s="17">
        <f t="shared" si="279"/>
        <v>-1.5628109413135394</v>
      </c>
      <c r="Z527" s="31" t="str">
        <f t="shared" si="269"/>
        <v>-604.424499374485+762.435608281978i</v>
      </c>
      <c r="AA527" s="17">
        <f t="shared" si="280"/>
        <v>972.95273894491231</v>
      </c>
      <c r="AB527" s="17">
        <f t="shared" si="281"/>
        <v>2.2411038332449458</v>
      </c>
      <c r="AC527" s="66" t="str">
        <f t="shared" si="282"/>
        <v>0.010107755021148+0.0152532717370584i</v>
      </c>
      <c r="AD527" s="64">
        <f t="shared" si="283"/>
        <v>-34.751769209100097</v>
      </c>
      <c r="AE527" s="61">
        <f t="shared" si="284"/>
        <v>56.469098834386529</v>
      </c>
      <c r="AF527" s="31" t="str">
        <f t="shared" si="270"/>
        <v>-1.39902068552014E-06</v>
      </c>
      <c r="AG527" s="31" t="str">
        <f t="shared" si="271"/>
        <v>0.255615860386654i</v>
      </c>
      <c r="AH527" s="31">
        <f t="shared" si="285"/>
        <v>0.25561586038665401</v>
      </c>
      <c r="AI527" s="31">
        <f t="shared" si="286"/>
        <v>1.5707963267948966</v>
      </c>
      <c r="AJ527" s="31" t="str">
        <f t="shared" si="272"/>
        <v>1+18.4644959003486i</v>
      </c>
      <c r="AK527" s="31">
        <f t="shared" si="287"/>
        <v>18.491555068570904</v>
      </c>
      <c r="AL527" s="31">
        <f t="shared" si="288"/>
        <v>1.5166911930070492</v>
      </c>
      <c r="AM527" s="31" t="str">
        <f t="shared" si="273"/>
        <v>1+8979.17574165774i</v>
      </c>
      <c r="AN527" s="31">
        <f t="shared" si="289"/>
        <v>8979.175797342139</v>
      </c>
      <c r="AO527" s="31">
        <f t="shared" si="290"/>
        <v>1.5706849579984017</v>
      </c>
      <c r="AP527" s="58" t="str">
        <f t="shared" si="291"/>
        <v>-0.000143427342233796+0.00265378670991736i</v>
      </c>
      <c r="AQ527" s="49">
        <f t="shared" si="292"/>
        <v>-51.510012444028845</v>
      </c>
      <c r="AR527" s="61">
        <f t="shared" si="293"/>
        <v>93.093614854025702</v>
      </c>
      <c r="AS527" s="58" t="str">
        <f t="shared" si="294"/>
        <v>-0.0000419286582571972+0.0000246360897166069i</v>
      </c>
      <c r="AT527" s="64">
        <f t="shared" si="295"/>
        <v>-86.261781653128949</v>
      </c>
      <c r="AU527" s="61">
        <f t="shared" si="296"/>
        <v>149.56271368841215</v>
      </c>
    </row>
    <row r="528" spans="14:47" x14ac:dyDescent="0.4">
      <c r="N528" s="10">
        <v>10</v>
      </c>
      <c r="O528" s="50">
        <f t="shared" si="298"/>
        <v>1258925.4117941677</v>
      </c>
      <c r="P528" s="48" t="str">
        <f t="shared" si="265"/>
        <v>5120.19230769231</v>
      </c>
      <c r="Q528" s="17" t="str">
        <f t="shared" si="266"/>
        <v>1+36964.3265577594i</v>
      </c>
      <c r="R528" s="17">
        <f t="shared" si="274"/>
        <v>36964.32657128595</v>
      </c>
      <c r="S528" s="17">
        <f t="shared" si="275"/>
        <v>1.5707692736846988</v>
      </c>
      <c r="T528" s="17" t="str">
        <f t="shared" si="267"/>
        <v>1+0.0790215158856991i</v>
      </c>
      <c r="U528" s="17">
        <f t="shared" si="276"/>
        <v>1.0031173410787364</v>
      </c>
      <c r="V528" s="17">
        <f t="shared" si="277"/>
        <v>7.8857648749561554E-2</v>
      </c>
      <c r="W528" s="31" t="str">
        <f t="shared" si="268"/>
        <v>1-128.142998733566i</v>
      </c>
      <c r="X528" s="17">
        <f t="shared" si="278"/>
        <v>128.14690056505736</v>
      </c>
      <c r="Y528" s="17">
        <f t="shared" si="279"/>
        <v>-1.5629927034135616</v>
      </c>
      <c r="Z528" s="31" t="str">
        <f t="shared" si="269"/>
        <v>-632.957276984447+780.195015020262i</v>
      </c>
      <c r="AA528" s="17">
        <f t="shared" si="280"/>
        <v>1004.6587360641587</v>
      </c>
      <c r="AB528" s="17">
        <f t="shared" si="281"/>
        <v>2.2523780863564946</v>
      </c>
      <c r="AC528" s="66" t="str">
        <f t="shared" si="282"/>
        <v>0.00993250441169045+0.0146785884224759i</v>
      </c>
      <c r="AD528" s="64">
        <f t="shared" si="283"/>
        <v>-35.02910491876267</v>
      </c>
      <c r="AE528" s="61">
        <f t="shared" si="284"/>
        <v>55.915116953392143</v>
      </c>
      <c r="AF528" s="31" t="str">
        <f t="shared" si="270"/>
        <v>-1.39902068552014E-06</v>
      </c>
      <c r="AG528" s="31" t="str">
        <f t="shared" si="271"/>
        <v>0.261569918649479i</v>
      </c>
      <c r="AH528" s="31">
        <f t="shared" si="285"/>
        <v>0.26156991864947898</v>
      </c>
      <c r="AI528" s="31">
        <f t="shared" si="286"/>
        <v>1.5707963267948966</v>
      </c>
      <c r="AJ528" s="31" t="str">
        <f t="shared" si="272"/>
        <v>1+18.8945892608234i</v>
      </c>
      <c r="AK528" s="31">
        <f t="shared" si="287"/>
        <v>18.921033358017816</v>
      </c>
      <c r="AL528" s="31">
        <f t="shared" si="288"/>
        <v>1.5179204553027996</v>
      </c>
      <c r="AM528" s="31" t="str">
        <f t="shared" si="273"/>
        <v>1+9188.3276128957i</v>
      </c>
      <c r="AN528" s="31">
        <f t="shared" si="289"/>
        <v>9188.3276673125674</v>
      </c>
      <c r="AO528" s="31">
        <f t="shared" si="290"/>
        <v>1.5706874930616883</v>
      </c>
      <c r="AP528" s="58" t="str">
        <f t="shared" si="291"/>
        <v>-0.000136990079735687+0.00259371984284304i</v>
      </c>
      <c r="AQ528" s="49">
        <f t="shared" si="292"/>
        <v>-51.709440770289454</v>
      </c>
      <c r="AR528" s="61">
        <f t="shared" si="293"/>
        <v>93.023328560991771</v>
      </c>
      <c r="AS528" s="58" t="str">
        <f t="shared" si="294"/>
        <v>-0.0000394328006276344+0.0000237513127833253i</v>
      </c>
      <c r="AT528" s="64">
        <f t="shared" si="295"/>
        <v>-86.738545689052131</v>
      </c>
      <c r="AU528" s="61">
        <f t="shared" si="296"/>
        <v>148.93844551438386</v>
      </c>
    </row>
    <row r="529" spans="14:47" x14ac:dyDescent="0.4">
      <c r="N529" s="10">
        <v>11</v>
      </c>
      <c r="O529" s="50">
        <f t="shared" si="298"/>
        <v>1288249.5516931366</v>
      </c>
      <c r="P529" s="48" t="str">
        <f t="shared" si="265"/>
        <v>5120.19230769231</v>
      </c>
      <c r="Q529" s="17" t="str">
        <f t="shared" si="266"/>
        <v>1+37825.3363309327i</v>
      </c>
      <c r="R529" s="17">
        <f t="shared" si="274"/>
        <v>37825.336344151357</v>
      </c>
      <c r="S529" s="17">
        <f t="shared" si="275"/>
        <v>1.5707698894886684</v>
      </c>
      <c r="T529" s="17" t="str">
        <f t="shared" si="267"/>
        <v>1+0.0808621634452383i</v>
      </c>
      <c r="U529" s="17">
        <f t="shared" si="276"/>
        <v>1.0032640178323173</v>
      </c>
      <c r="V529" s="17">
        <f t="shared" si="277"/>
        <v>8.0686607483416439E-2</v>
      </c>
      <c r="W529" s="31" t="str">
        <f t="shared" si="268"/>
        <v>1-131.1278326139i</v>
      </c>
      <c r="X529" s="17">
        <f t="shared" si="278"/>
        <v>131.13164563147595</v>
      </c>
      <c r="Y529" s="17">
        <f t="shared" si="279"/>
        <v>-1.5631703286013139</v>
      </c>
      <c r="Z529" s="31" t="str">
        <f t="shared" si="269"/>
        <v>-662.834762975027+798.368091482613i</v>
      </c>
      <c r="AA529" s="17">
        <f t="shared" si="280"/>
        <v>1037.6615693499255</v>
      </c>
      <c r="AB529" s="17">
        <f t="shared" si="281"/>
        <v>2.2637044989394397</v>
      </c>
      <c r="AC529" s="66" t="str">
        <f t="shared" si="282"/>
        <v>0.00975506999036459+0.0141200697340597i</v>
      </c>
      <c r="AD529" s="64">
        <f t="shared" si="283"/>
        <v>-35.308590206507013</v>
      </c>
      <c r="AE529" s="61">
        <f t="shared" si="284"/>
        <v>55.36074047515698</v>
      </c>
      <c r="AF529" s="31" t="str">
        <f t="shared" si="270"/>
        <v>-1.39902068552014E-06</v>
      </c>
      <c r="AG529" s="31" t="str">
        <f t="shared" si="271"/>
        <v>0.267662664745459i</v>
      </c>
      <c r="AH529" s="31">
        <f t="shared" si="285"/>
        <v>0.26766266474545902</v>
      </c>
      <c r="AI529" s="31">
        <f t="shared" si="286"/>
        <v>1.5707963267948966</v>
      </c>
      <c r="AJ529" s="31" t="str">
        <f t="shared" si="272"/>
        <v>1+19.3347007826238i</v>
      </c>
      <c r="AK529" s="31">
        <f t="shared" si="287"/>
        <v>19.360543751496067</v>
      </c>
      <c r="AL529" s="31">
        <f t="shared" si="288"/>
        <v>1.5191218907487307</v>
      </c>
      <c r="AM529" s="31" t="str">
        <f t="shared" si="273"/>
        <v>1+9402.35125705593i</v>
      </c>
      <c r="AN529" s="31">
        <f t="shared" si="289"/>
        <v>9402.3513102341167</v>
      </c>
      <c r="AO529" s="31">
        <f t="shared" si="290"/>
        <v>1.5706899704198911</v>
      </c>
      <c r="AP529" s="58" t="str">
        <f t="shared" si="291"/>
        <v>-0.000130840959452165+0.00253499760660888i</v>
      </c>
      <c r="AQ529" s="49">
        <f t="shared" si="292"/>
        <v>-51.908894755850234</v>
      </c>
      <c r="AR529" s="61">
        <f t="shared" si="293"/>
        <v>92.95463332275186</v>
      </c>
      <c r="AS529" s="58" t="str">
        <f t="shared" si="294"/>
        <v>-0.0000370707056980541+0.0000228815956063405i</v>
      </c>
      <c r="AT529" s="64">
        <f t="shared" si="295"/>
        <v>-87.217484962357247</v>
      </c>
      <c r="AU529" s="61">
        <f t="shared" si="296"/>
        <v>148.31537379790879</v>
      </c>
    </row>
    <row r="530" spans="14:47" x14ac:dyDescent="0.4">
      <c r="N530" s="10">
        <v>12</v>
      </c>
      <c r="O530" s="50">
        <f t="shared" si="298"/>
        <v>1318256.7385564097</v>
      </c>
      <c r="P530" s="48" t="str">
        <f t="shared" si="265"/>
        <v>5120.19230769231</v>
      </c>
      <c r="Q530" s="17" t="str">
        <f t="shared" si="266"/>
        <v>1+38706.401598106i</v>
      </c>
      <c r="R530" s="17">
        <f t="shared" si="274"/>
        <v>38706.401611023757</v>
      </c>
      <c r="S530" s="17">
        <f t="shared" si="275"/>
        <v>1.5707704912752283</v>
      </c>
      <c r="T530" s="17" t="str">
        <f t="shared" si="267"/>
        <v>1+0.0827456851941734i</v>
      </c>
      <c r="U530" s="17">
        <f t="shared" si="276"/>
        <v>1.0034175842680122</v>
      </c>
      <c r="V530" s="17">
        <f t="shared" si="277"/>
        <v>8.2557608177986963E-2</v>
      </c>
      <c r="W530" s="31" t="str">
        <f t="shared" si="268"/>
        <v>1-134.182192206768i</v>
      </c>
      <c r="X530" s="17">
        <f t="shared" si="278"/>
        <v>134.18591843190563</v>
      </c>
      <c r="Y530" s="17">
        <f t="shared" si="279"/>
        <v>-1.5633439110111624</v>
      </c>
      <c r="Z530" s="31" t="str">
        <f t="shared" si="269"/>
        <v>-694.120331499755+816.964473274719i</v>
      </c>
      <c r="AA530" s="17">
        <f t="shared" si="280"/>
        <v>1072.0233137363987</v>
      </c>
      <c r="AB530" s="17">
        <f t="shared" si="281"/>
        <v>2.2750775425258336</v>
      </c>
      <c r="AC530" s="66" t="str">
        <f t="shared" si="282"/>
        <v>0.00957564754999509+0.0135775318300993i</v>
      </c>
      <c r="AD530" s="64">
        <f t="shared" si="283"/>
        <v>-35.590242107065528</v>
      </c>
      <c r="AE530" s="61">
        <f t="shared" si="284"/>
        <v>54.806333501391173</v>
      </c>
      <c r="AF530" s="31" t="str">
        <f t="shared" si="270"/>
        <v>-1.39902068552014E-06</v>
      </c>
      <c r="AG530" s="31" t="str">
        <f t="shared" si="271"/>
        <v>0.273897329129221i</v>
      </c>
      <c r="AH530" s="31">
        <f t="shared" si="285"/>
        <v>0.27389732912922099</v>
      </c>
      <c r="AI530" s="31">
        <f t="shared" si="286"/>
        <v>1.5707963267948966</v>
      </c>
      <c r="AJ530" s="31" t="str">
        <f t="shared" si="272"/>
        <v>1+19.7850638187042i</v>
      </c>
      <c r="AK530" s="31">
        <f t="shared" si="287"/>
        <v>19.810319288446564</v>
      </c>
      <c r="AL530" s="31">
        <f t="shared" si="288"/>
        <v>1.5202961224802809</v>
      </c>
      <c r="AM530" s="31" t="str">
        <f t="shared" si="273"/>
        <v>1+9621.36015230748i</v>
      </c>
      <c r="AN530" s="31">
        <f t="shared" si="289"/>
        <v>9621.3602042751827</v>
      </c>
      <c r="AO530" s="31">
        <f t="shared" si="290"/>
        <v>1.5706923913865376</v>
      </c>
      <c r="AP530" s="58" t="str">
        <f t="shared" si="291"/>
        <v>-0.00012496715152983+0.00247759089713075i</v>
      </c>
      <c r="AQ530" s="49">
        <f t="shared" si="292"/>
        <v>-52.108373252018126</v>
      </c>
      <c r="AR530" s="61">
        <f t="shared" si="293"/>
        <v>92.887493511534871</v>
      </c>
      <c r="AS530" s="58" t="str">
        <f t="shared" si="294"/>
        <v>-0.0000348362106661335+0.0000220277917263871i</v>
      </c>
      <c r="AT530" s="64">
        <f t="shared" si="295"/>
        <v>-87.698615359083647</v>
      </c>
      <c r="AU530" s="61">
        <f t="shared" si="296"/>
        <v>147.69382701292605</v>
      </c>
    </row>
    <row r="531" spans="14:47" x14ac:dyDescent="0.4">
      <c r="N531" s="10">
        <v>13</v>
      </c>
      <c r="O531" s="50">
        <f t="shared" si="298"/>
        <v>1348962.8825916562</v>
      </c>
      <c r="P531" s="48" t="str">
        <f t="shared" ref="P531:P560" si="299">COMPLEX(Adc,0)</f>
        <v>5120.19230769231</v>
      </c>
      <c r="Q531" s="17" t="str">
        <f t="shared" ref="Q531:Q560" si="300">IMSUM(COMPLEX(1,0),IMDIV(COMPLEX(0,2*PI()*O531),COMPLEX(wp_lf,0)))</f>
        <v>1+39607.9895117464i</v>
      </c>
      <c r="R531" s="17">
        <f t="shared" si="274"/>
        <v>39607.98952437011</v>
      </c>
      <c r="S531" s="17">
        <f t="shared" si="275"/>
        <v>1.5707710793634537</v>
      </c>
      <c r="T531" s="17" t="str">
        <f t="shared" ref="T531:T560" si="301">IMSUM(COMPLEX(1,0),IMDIV(COMPLEX(0,2*PI()*O531),COMPLEX(wz_esr,0)))</f>
        <v>1+0.0846730798006669i</v>
      </c>
      <c r="U531" s="17">
        <f t="shared" si="276"/>
        <v>1.0035783628810109</v>
      </c>
      <c r="V531" s="17">
        <f t="shared" si="277"/>
        <v>8.4471590435769434E-2</v>
      </c>
      <c r="W531" s="31" t="str">
        <f t="shared" ref="W531:W560" si="302">IMSUB(COMPLEX(1,0),IMDIV(COMPLEX(0,2*PI()*O531),COMPLEX(wz_rhp,0)))</f>
        <v>1-137.307696974054i</v>
      </c>
      <c r="X531" s="17">
        <f t="shared" si="278"/>
        <v>137.31133838222772</v>
      </c>
      <c r="Y531" s="17">
        <f t="shared" si="279"/>
        <v>-1.5635135426369329</v>
      </c>
      <c r="Z531" s="31" t="str">
        <f t="shared" ref="Z531:Z560" si="303">IMSUM(COMPLEX(1,0),IMDIV(COMPLEX(0,2*PI()*O531),COMPLEX(Q*(wsl/2),0)),IMDIV(IMPOWER(COMPLEX(0,2*PI()*O531),2),IMPOWER(COMPLEX(wsl/2,0),2)))</f>
        <v>-726.880343443997+835.994020444356i</v>
      </c>
      <c r="AA531" s="17">
        <f t="shared" si="280"/>
        <v>1107.809115282945</v>
      </c>
      <c r="AB531" s="17">
        <f t="shared" si="281"/>
        <v>2.2864915679673432</v>
      </c>
      <c r="AC531" s="66" t="str">
        <f t="shared" si="282"/>
        <v>0.00939443830283237+0.0130507876123321i</v>
      </c>
      <c r="AD531" s="64">
        <f t="shared" si="283"/>
        <v>-35.874075406151434</v>
      </c>
      <c r="AE531" s="61">
        <f t="shared" si="284"/>
        <v>54.252268250569649</v>
      </c>
      <c r="AF531" s="31" t="str">
        <f t="shared" ref="AF531:AF560" si="304">COMPLEX(Adc_ea,0)</f>
        <v>-1.39902068552014E-06</v>
      </c>
      <c r="AG531" s="31" t="str">
        <f t="shared" ref="AG531:AG560" si="305">COMPLEX(0,2*PI()*O531*wp0_ea)</f>
        <v>0.280277217502347i</v>
      </c>
      <c r="AH531" s="31">
        <f t="shared" si="285"/>
        <v>0.28027721750234702</v>
      </c>
      <c r="AI531" s="31">
        <f t="shared" si="286"/>
        <v>1.5707963267948966</v>
      </c>
      <c r="AJ531" s="31" t="str">
        <f t="shared" ref="AJ531:AJ560" si="306">IMSUM(COMPLEX(1,0),IMDIV(COMPLEX(0,2*PI()*O531),COMPLEX(wp1_ea,0)))</f>
        <v>1+20.2459171575074i</v>
      </c>
      <c r="AK531" s="31">
        <f t="shared" si="287"/>
        <v>20.27059845067857</v>
      </c>
      <c r="AL531" s="31">
        <f t="shared" si="288"/>
        <v>1.521443760130869</v>
      </c>
      <c r="AM531" s="31" t="str">
        <f t="shared" ref="AM531:AM560" si="307">IMSUM(COMPLEX(1,0),IMDIV(COMPLEX(0,2*PI()*O531),COMPLEX(wz_ea,0)))</f>
        <v>1+9845.47042006553i</v>
      </c>
      <c r="AN531" s="31">
        <f t="shared" si="289"/>
        <v>9845.470470850305</v>
      </c>
      <c r="AO531" s="31">
        <f t="shared" si="290"/>
        <v>1.5706947572452565</v>
      </c>
      <c r="AP531" s="58" t="str">
        <f t="shared" si="291"/>
        <v>-0.000119356391421312+0.0024214711734263i</v>
      </c>
      <c r="AQ531" s="49">
        <f t="shared" si="292"/>
        <v>-52.307875161259233</v>
      </c>
      <c r="AR531" s="61">
        <f t="shared" si="293"/>
        <v>92.82187427146539</v>
      </c>
      <c r="AS531" s="58" t="str">
        <f t="shared" si="294"/>
        <v>-0.0000327233922490275+0.0000211906666262266i</v>
      </c>
      <c r="AT531" s="64">
        <f t="shared" si="295"/>
        <v>-88.181950567410638</v>
      </c>
      <c r="AU531" s="61">
        <f t="shared" si="296"/>
        <v>147.07414252203503</v>
      </c>
    </row>
    <row r="532" spans="14:47" x14ac:dyDescent="0.4">
      <c r="N532" s="10">
        <v>14</v>
      </c>
      <c r="O532" s="50">
        <f t="shared" si="298"/>
        <v>1380384.2646028849</v>
      </c>
      <c r="P532" s="48" t="str">
        <f t="shared" si="299"/>
        <v>5120.19230769231</v>
      </c>
      <c r="Q532" s="17" t="str">
        <f t="shared" si="300"/>
        <v>1+40530.5781056997i</v>
      </c>
      <c r="R532" s="17">
        <f t="shared" ref="R532:R560" si="308">IMABS(Q532)</f>
        <v>40530.578118036057</v>
      </c>
      <c r="S532" s="17">
        <f t="shared" ref="S532:S560" si="309">IMARGUMENT(Q532)</f>
        <v>1.5707716540651568</v>
      </c>
      <c r="T532" s="17" t="str">
        <f t="shared" si="301"/>
        <v>1+0.0866453691948513i</v>
      </c>
      <c r="U532" s="17">
        <f t="shared" ref="U532:U560" si="310">IMABS(T532)</f>
        <v>1.0037466911541537</v>
      </c>
      <c r="V532" s="17">
        <f t="shared" ref="V532:V560" si="311">IMARGUMENT(T532)</f>
        <v>8.6429512951935017E-2</v>
      </c>
      <c r="W532" s="31" t="str">
        <f t="shared" si="302"/>
        <v>1-140.506004099759i</v>
      </c>
      <c r="X532" s="17">
        <f t="shared" ref="X532:X560" si="312">IMABS(W532)</f>
        <v>140.50956262148668</v>
      </c>
      <c r="Y532" s="17">
        <f t="shared" ref="Y532:Y560" si="313">IMARGUMENT(W532)</f>
        <v>-1.5636793133804876</v>
      </c>
      <c r="Z532" s="31" t="str">
        <f t="shared" si="303"/>
        <v>-761.1842871853+855.466822709322i</v>
      </c>
      <c r="AA532" s="17">
        <f t="shared" ref="AA532:AA560" si="314">IMABS(Z532)</f>
        <v>1145.0873345794091</v>
      </c>
      <c r="AB532" s="17">
        <f t="shared" ref="AB532:AB560" si="315">IMARGUMENT(Z532)</f>
        <v>2.2979408188478527</v>
      </c>
      <c r="AC532" s="66" t="str">
        <f t="shared" ref="AC532:AC560" si="316">(IMDIV(IMPRODUCT(P532,T532,W532),IMPRODUCT(Q532,Z532)))</f>
        <v>0.00921164825349946+0.0125396460727872i</v>
      </c>
      <c r="AD532" s="64">
        <f t="shared" ref="AD532:AD560" si="317">20*LOG(IMABS(AC532))</f>
        <v>-36.160102564096441</v>
      </c>
      <c r="AE532" s="61">
        <f t="shared" ref="AE532:AE560" si="318">(180/PI())*IMARGUMENT(AC532)</f>
        <v>53.698924301365572</v>
      </c>
      <c r="AF532" s="31" t="str">
        <f t="shared" si="304"/>
        <v>-1.39902068552014E-06</v>
      </c>
      <c r="AG532" s="31" t="str">
        <f t="shared" si="305"/>
        <v>0.2868057125661i</v>
      </c>
      <c r="AH532" s="31">
        <f t="shared" ref="AH532:AH560" si="319">IMABS(AG532)</f>
        <v>0.28680571256609999</v>
      </c>
      <c r="AI532" s="31">
        <f t="shared" ref="AI532:AI560" si="320">IMARGUMENT(AG532)</f>
        <v>1.5707963267948966</v>
      </c>
      <c r="AJ532" s="31" t="str">
        <f t="shared" si="306"/>
        <v>1+20.717505149574i</v>
      </c>
      <c r="AK532" s="31">
        <f t="shared" ref="AK532:AK560" si="321">IMABS(AJ532)</f>
        <v>20.741625288839472</v>
      </c>
      <c r="AL532" s="31">
        <f t="shared" ref="AL532:AL560" si="322">IMARGUMENT(AJ532)</f>
        <v>1.5225654000941291</v>
      </c>
      <c r="AM532" s="31" t="str">
        <f t="shared" si="307"/>
        <v>1+10074.8008865605i</v>
      </c>
      <c r="AN532" s="31">
        <f t="shared" ref="AN532:AN560" si="323">IMABS(AM532)</f>
        <v>10074.800936189273</v>
      </c>
      <c r="AO532" s="31">
        <f t="shared" ref="AO532:AO560" si="324">IMARGUMENT(AM532)</f>
        <v>1.5706970692504572</v>
      </c>
      <c r="AP532" s="58" t="str">
        <f t="shared" ref="AP532:AP560" si="325">IMPRODUCT(AF532,IMDIV(AM532,IMPRODUCT(AG532,AJ532)))</f>
        <v>-0.000113996955500825+0.00236661045132694i</v>
      </c>
      <c r="AQ532" s="49">
        <f t="shared" ref="AQ532:AQ560" si="326">20*LOG(IMABS(AP532))</f>
        <v>-52.507399434943935</v>
      </c>
      <c r="AR532" s="61">
        <f t="shared" ref="AR532:AR560" si="327">(180/PI())*IMARGUMENT(AP532)</f>
        <v>92.757741503577591</v>
      </c>
      <c r="AS532" s="58" t="str">
        <f t="shared" ref="AS532:AS560" si="328">IMPRODUCT(AC532,AP532)</f>
        <v>-0.0000307265573078424+0.0000203709015553238i</v>
      </c>
      <c r="AT532" s="64">
        <f t="shared" ref="AT532:AT560" si="329">20*LOG(IMABS(AS532))</f>
        <v>-88.667501999040383</v>
      </c>
      <c r="AU532" s="61">
        <f t="shared" ref="AU532:AU560" si="330">(180/PI())*IMARGUMENT(AS532)</f>
        <v>146.4566658049431</v>
      </c>
    </row>
    <row r="533" spans="14:47" x14ac:dyDescent="0.4">
      <c r="N533" s="10">
        <v>15</v>
      </c>
      <c r="O533" s="50">
        <f t="shared" si="298"/>
        <v>1412537.5446227565</v>
      </c>
      <c r="P533" s="48" t="str">
        <f t="shared" si="299"/>
        <v>5120.19230769231</v>
      </c>
      <c r="Q533" s="17" t="str">
        <f t="shared" si="300"/>
        <v>1+41474.6565486503i</v>
      </c>
      <c r="R533" s="17">
        <f t="shared" si="308"/>
        <v>41474.656560705858</v>
      </c>
      <c r="S533" s="17">
        <f t="shared" si="309"/>
        <v>1.5707722156850521</v>
      </c>
      <c r="T533" s="17" t="str">
        <f t="shared" si="301"/>
        <v>1+0.0886635991106703i</v>
      </c>
      <c r="U533" s="17">
        <f t="shared" si="310"/>
        <v>1.0039229222441619</v>
      </c>
      <c r="V533" s="17">
        <f t="shared" si="311"/>
        <v>8.8432353764624202E-2</v>
      </c>
      <c r="W533" s="31" t="str">
        <f t="shared" si="302"/>
        <v>1-143.778809368654i</v>
      </c>
      <c r="X533" s="17">
        <f t="shared" si="312"/>
        <v>143.7822868905198</v>
      </c>
      <c r="Y533" s="17">
        <f t="shared" si="313"/>
        <v>-1.5638413110992047</v>
      </c>
      <c r="Z533" s="31" t="str">
        <f t="shared" si="303"/>
        <v>-797.104925987555+875.393204807133i</v>
      </c>
      <c r="AA533" s="17">
        <f t="shared" si="314"/>
        <v>1183.9296964161886</v>
      </c>
      <c r="AB533" s="17">
        <f t="shared" si="315"/>
        <v>2.3094194455555899</v>
      </c>
      <c r="AC533" s="66" t="str">
        <f t="shared" si="316"/>
        <v>0.00902748752198329+0.0120439116996071i</v>
      </c>
      <c r="AD533" s="64">
        <f t="shared" si="317"/>
        <v>-36.448333647474101</v>
      </c>
      <c r="AE533" s="61">
        <f t="shared" si="318"/>
        <v>53.146687797986765</v>
      </c>
      <c r="AF533" s="31" t="str">
        <f t="shared" si="304"/>
        <v>-1.39902068552014E-06</v>
      </c>
      <c r="AG533" s="31" t="str">
        <f t="shared" si="305"/>
        <v>0.293486275814979i</v>
      </c>
      <c r="AH533" s="31">
        <f t="shared" si="319"/>
        <v>0.29348627581497899</v>
      </c>
      <c r="AI533" s="31">
        <f t="shared" si="320"/>
        <v>1.5707963267948966</v>
      </c>
      <c r="AJ533" s="31" t="str">
        <f t="shared" si="306"/>
        <v>1+21.2000778370996i</v>
      </c>
      <c r="AK533" s="31">
        <f t="shared" si="321"/>
        <v>21.223649551834423</v>
      </c>
      <c r="AL533" s="31">
        <f t="shared" si="322"/>
        <v>1.523661625783133</v>
      </c>
      <c r="AM533" s="31" t="str">
        <f t="shared" si="307"/>
        <v>1+10309.4731458413i</v>
      </c>
      <c r="AN533" s="31">
        <f t="shared" si="323"/>
        <v>10309.473194340384</v>
      </c>
      <c r="AO533" s="31">
        <f t="shared" si="324"/>
        <v>1.5706993286279953</v>
      </c>
      <c r="AP533" s="58" t="str">
        <f t="shared" si="325"/>
        <v>-0.00010887763768524+0.00231298129690856i</v>
      </c>
      <c r="AQ533" s="49">
        <f t="shared" si="326"/>
        <v>-52.706945071188528</v>
      </c>
      <c r="AR533" s="61">
        <f t="shared" si="327"/>
        <v>92.695061851001114</v>
      </c>
      <c r="AS533" s="58" t="str">
        <f t="shared" si="328"/>
        <v>-0.0000288402340184359+0.0000195690971420799i</v>
      </c>
      <c r="AT533" s="64">
        <f t="shared" si="329"/>
        <v>-89.155278718662629</v>
      </c>
      <c r="AU533" s="61">
        <f t="shared" si="330"/>
        <v>145.84174964898787</v>
      </c>
    </row>
    <row r="534" spans="14:47" x14ac:dyDescent="0.4">
      <c r="N534" s="10">
        <v>16</v>
      </c>
      <c r="O534" s="50">
        <f t="shared" si="298"/>
        <v>1445439.7707459298</v>
      </c>
      <c r="P534" s="48" t="str">
        <f t="shared" si="299"/>
        <v>5120.19230769231</v>
      </c>
      <c r="Q534" s="17" t="str">
        <f t="shared" si="300"/>
        <v>1+42440.725403485i</v>
      </c>
      <c r="R534" s="17">
        <f t="shared" si="308"/>
        <v>42440.725415266133</v>
      </c>
      <c r="S534" s="17">
        <f t="shared" si="309"/>
        <v>1.5707727645209177</v>
      </c>
      <c r="T534" s="17" t="str">
        <f t="shared" si="301"/>
        <v>1+0.0907288396403391i</v>
      </c>
      <c r="U534" s="17">
        <f t="shared" si="310"/>
        <v>1.0041074256983076</v>
      </c>
      <c r="V534" s="17">
        <f t="shared" si="311"/>
        <v>9.0481110497805689E-2</v>
      </c>
      <c r="W534" s="31" t="str">
        <f t="shared" si="302"/>
        <v>1-147.127848065415i</v>
      </c>
      <c r="X534" s="17">
        <f t="shared" si="312"/>
        <v>147.1312464310686</v>
      </c>
      <c r="Y534" s="17">
        <f t="shared" si="313"/>
        <v>-1.5639996216523888</v>
      </c>
      <c r="Z534" s="31" t="str">
        <f t="shared" si="303"/>
        <v>-834.71845234162+895.783731969331i</v>
      </c>
      <c r="AA534" s="17">
        <f t="shared" si="314"/>
        <v>1224.4114460182457</v>
      </c>
      <c r="AB534" s="17">
        <f t="shared" si="315"/>
        <v>2.3209215199349931</v>
      </c>
      <c r="AC534" s="66" t="str">
        <f t="shared" si="316"/>
        <v>0.00884216962225347+0.0115633839469589i</v>
      </c>
      <c r="AD534" s="64">
        <f t="shared" si="317"/>
        <v>-36.738776269237036</v>
      </c>
      <c r="AE534" s="61">
        <f t="shared" si="318"/>
        <v>52.59595062193312</v>
      </c>
      <c r="AF534" s="31" t="str">
        <f t="shared" si="304"/>
        <v>-1.39902068552014E-06</v>
      </c>
      <c r="AG534" s="31" t="str">
        <f t="shared" si="305"/>
        <v>0.300322449372045i</v>
      </c>
      <c r="AH534" s="31">
        <f t="shared" si="319"/>
        <v>0.300322449372045</v>
      </c>
      <c r="AI534" s="31">
        <f t="shared" si="320"/>
        <v>1.5707963267948966</v>
      </c>
      <c r="AJ534" s="31" t="str">
        <f t="shared" si="306"/>
        <v>1+21.6938910865105i</v>
      </c>
      <c r="AK534" s="31">
        <f t="shared" si="321"/>
        <v>21.716926819266572</v>
      </c>
      <c r="AL534" s="31">
        <f t="shared" si="322"/>
        <v>1.5247330078864905</v>
      </c>
      <c r="AM534" s="31" t="str">
        <f t="shared" si="307"/>
        <v>1+10549.611624246i</v>
      </c>
      <c r="AN534" s="31">
        <f t="shared" si="323"/>
        <v>10549.611671641109</v>
      </c>
      <c r="AO534" s="31">
        <f t="shared" si="324"/>
        <v>1.570701536575823</v>
      </c>
      <c r="AP534" s="58" t="str">
        <f t="shared" si="325"/>
        <v>-0.000103987727023327+0.00226055681967411i</v>
      </c>
      <c r="AQ534" s="49">
        <f t="shared" si="326"/>
        <v>-52.906511112790881</v>
      </c>
      <c r="AR534" s="61">
        <f t="shared" si="327"/>
        <v>92.633802684324792</v>
      </c>
      <c r="AS534" s="58" t="str">
        <f t="shared" si="328"/>
        <v>-0.0000270591635607809+0.000018785776826958i</v>
      </c>
      <c r="AT534" s="64">
        <f t="shared" si="329"/>
        <v>-89.645287382027931</v>
      </c>
      <c r="AU534" s="61">
        <f t="shared" si="330"/>
        <v>145.22975330625798</v>
      </c>
    </row>
    <row r="535" spans="14:47" x14ac:dyDescent="0.4">
      <c r="N535" s="10">
        <v>17</v>
      </c>
      <c r="O535" s="50">
        <f t="shared" si="298"/>
        <v>1479108.3881682095</v>
      </c>
      <c r="P535" s="48" t="str">
        <f t="shared" si="299"/>
        <v>5120.19230769231</v>
      </c>
      <c r="Q535" s="17" t="str">
        <f t="shared" si="300"/>
        <v>1+43429.2968926979i</v>
      </c>
      <c r="R535" s="17">
        <f t="shared" si="308"/>
        <v>43429.296904210867</v>
      </c>
      <c r="S535" s="17">
        <f t="shared" si="309"/>
        <v>1.5707733008637541</v>
      </c>
      <c r="T535" s="17" t="str">
        <f t="shared" si="301"/>
        <v>1+0.0928421858017232i</v>
      </c>
      <c r="U535" s="17">
        <f t="shared" si="310"/>
        <v>1.004300588202776</v>
      </c>
      <c r="V535" s="17">
        <f t="shared" si="311"/>
        <v>9.2576800595659564E-2</v>
      </c>
      <c r="W535" s="31" t="str">
        <f t="shared" si="302"/>
        <v>1-150.554895894686i</v>
      </c>
      <c r="X535" s="17">
        <f t="shared" si="312"/>
        <v>150.55821690581934</v>
      </c>
      <c r="Y535" s="17">
        <f t="shared" si="313"/>
        <v>-1.5641543289466315</v>
      </c>
      <c r="Z535" s="31" t="str">
        <f t="shared" si="303"/>
        <v>-874.104649579824+916.649215523316i</v>
      </c>
      <c r="AA535" s="17">
        <f t="shared" si="314"/>
        <v>1266.6115121601324</v>
      </c>
      <c r="AB535" s="17">
        <f t="shared" si="315"/>
        <v>2.332441050431914</v>
      </c>
      <c r="AC535" s="66" t="str">
        <f t="shared" si="316"/>
        <v>0.00865591070270835+0.0110978567735101i</v>
      </c>
      <c r="AD535" s="64">
        <f t="shared" si="317"/>
        <v>-37.031435537834007</v>
      </c>
      <c r="AE535" s="61">
        <f t="shared" si="318"/>
        <v>52.047109535060741</v>
      </c>
      <c r="AF535" s="31" t="str">
        <f t="shared" si="304"/>
        <v>-1.39902068552014E-06</v>
      </c>
      <c r="AG535" s="31" t="str">
        <f t="shared" si="305"/>
        <v>0.307317857867005i</v>
      </c>
      <c r="AH535" s="31">
        <f t="shared" si="319"/>
        <v>0.307317857867005</v>
      </c>
      <c r="AI535" s="31">
        <f t="shared" si="320"/>
        <v>1.5707963267948966</v>
      </c>
      <c r="AJ535" s="31" t="str">
        <f t="shared" si="306"/>
        <v>1+22.1992067241281i</v>
      </c>
      <c r="AK535" s="31">
        <f t="shared" si="321"/>
        <v>22.221718636968074</v>
      </c>
      <c r="AL535" s="31">
        <f t="shared" si="322"/>
        <v>1.5257801046212085</v>
      </c>
      <c r="AM535" s="31" t="str">
        <f t="shared" si="307"/>
        <v>1+10795.3436463745i</v>
      </c>
      <c r="AN535" s="31">
        <f t="shared" si="323"/>
        <v>10795.343692690763</v>
      </c>
      <c r="AO535" s="31">
        <f t="shared" si="324"/>
        <v>1.5707036942646226</v>
      </c>
      <c r="AP535" s="58" t="str">
        <f t="shared" si="325"/>
        <v>-0.0000993169862168807+0.00220931066551936i</v>
      </c>
      <c r="AQ535" s="49">
        <f t="shared" si="326"/>
        <v>-53.10609664525542</v>
      </c>
      <c r="AR535" s="61">
        <f t="shared" si="327"/>
        <v>92.573932087145238</v>
      </c>
      <c r="AS535" s="58" t="str">
        <f t="shared" si="328"/>
        <v>-0.0000253782922980776+0.0000180213901470651i</v>
      </c>
      <c r="AT535" s="64">
        <f t="shared" si="329"/>
        <v>-90.137532183089419</v>
      </c>
      <c r="AU535" s="61">
        <f t="shared" si="330"/>
        <v>144.62104162220606</v>
      </c>
    </row>
    <row r="536" spans="14:47" x14ac:dyDescent="0.4">
      <c r="N536" s="10">
        <v>18</v>
      </c>
      <c r="O536" s="50">
        <f t="shared" si="298"/>
        <v>1513561.2484362102</v>
      </c>
      <c r="P536" s="48" t="str">
        <f t="shared" si="299"/>
        <v>5120.19230769231</v>
      </c>
      <c r="Q536" s="17" t="str">
        <f t="shared" si="300"/>
        <v>1+44440.8951699781i</v>
      </c>
      <c r="R536" s="17">
        <f t="shared" si="308"/>
        <v>44440.895181229003</v>
      </c>
      <c r="S536" s="17">
        <f t="shared" si="309"/>
        <v>1.5707738249979366</v>
      </c>
      <c r="T536" s="17" t="str">
        <f t="shared" si="301"/>
        <v>1+0.0950047581189311i</v>
      </c>
      <c r="U536" s="17">
        <f t="shared" si="310"/>
        <v>1.0045028143640198</v>
      </c>
      <c r="V536" s="17">
        <f t="shared" si="311"/>
        <v>9.4720461547356416E-2</v>
      </c>
      <c r="W536" s="31" t="str">
        <f t="shared" si="302"/>
        <v>1-154.061769922591i</v>
      </c>
      <c r="X536" s="17">
        <f t="shared" si="312"/>
        <v>154.06501533989268</v>
      </c>
      <c r="Y536" s="17">
        <f t="shared" si="313"/>
        <v>-1.5643055149801486</v>
      </c>
      <c r="Z536" s="31" t="str">
        <f t="shared" si="303"/>
        <v>-915.347061107114+938.000718624661i</v>
      </c>
      <c r="AA536" s="17">
        <f t="shared" si="314"/>
        <v>1310.6126774977461</v>
      </c>
      <c r="AB536" s="17">
        <f t="shared" si="315"/>
        <v>2.3439719976399425</v>
      </c>
      <c r="AC536" s="66" t="str">
        <f t="shared" si="316"/>
        <v>0.00846892875519294+0.010647118253246i</v>
      </c>
      <c r="AD536" s="64">
        <f t="shared" si="317"/>
        <v>-37.326314015690443</v>
      </c>
      <c r="AE536" s="61">
        <f t="shared" si="318"/>
        <v>51.500565299173346</v>
      </c>
      <c r="AF536" s="31" t="str">
        <f t="shared" si="304"/>
        <v>-1.39902068552014E-06</v>
      </c>
      <c r="AG536" s="31" t="str">
        <f t="shared" si="305"/>
        <v>0.314476210358039i</v>
      </c>
      <c r="AH536" s="31">
        <f t="shared" si="319"/>
        <v>0.31447621035803902</v>
      </c>
      <c r="AI536" s="31">
        <f t="shared" si="320"/>
        <v>1.5707963267948966</v>
      </c>
      <c r="AJ536" s="31" t="str">
        <f t="shared" si="306"/>
        <v>1+22.7162926749921i</v>
      </c>
      <c r="AK536" s="31">
        <f t="shared" si="321"/>
        <v>22.738292655692067</v>
      </c>
      <c r="AL536" s="31">
        <f t="shared" si="322"/>
        <v>1.5268034619822179</v>
      </c>
      <c r="AM536" s="31" t="str">
        <f t="shared" si="307"/>
        <v>1+11046.7995025976i</v>
      </c>
      <c r="AN536" s="31">
        <f t="shared" si="323"/>
        <v>11046.799547859579</v>
      </c>
      <c r="AO536" s="31">
        <f t="shared" si="324"/>
        <v>1.57070580283843</v>
      </c>
      <c r="AP536" s="58" t="str">
        <f t="shared" si="325"/>
        <v>-0.0000948556310384235+0.0021592170095106i</v>
      </c>
      <c r="AQ536" s="49">
        <f t="shared" si="326"/>
        <v>-53.305700794903913</v>
      </c>
      <c r="AR536" s="61">
        <f t="shared" si="327"/>
        <v>92.515418841805698</v>
      </c>
      <c r="AS536" s="58" t="str">
        <f t="shared" si="328"/>
        <v>-0.0000237927644159728+0.0000172763158998937i</v>
      </c>
      <c r="AT536" s="64">
        <f t="shared" si="329"/>
        <v>-90.632014810594356</v>
      </c>
      <c r="AU536" s="61">
        <f t="shared" si="330"/>
        <v>144.01598414097896</v>
      </c>
    </row>
    <row r="537" spans="14:47" x14ac:dyDescent="0.4">
      <c r="N537" s="10">
        <v>19</v>
      </c>
      <c r="O537" s="50">
        <f t="shared" si="298"/>
        <v>1548816.6189124861</v>
      </c>
      <c r="P537" s="48" t="str">
        <f t="shared" si="299"/>
        <v>5120.19230769231</v>
      </c>
      <c r="Q537" s="17" t="str">
        <f t="shared" si="300"/>
        <v>1+45476.0565981223i</v>
      </c>
      <c r="R537" s="17">
        <f t="shared" si="308"/>
        <v>45476.056609117091</v>
      </c>
      <c r="S537" s="17">
        <f t="shared" si="309"/>
        <v>1.5707743372013689</v>
      </c>
      <c r="T537" s="17" t="str">
        <f t="shared" si="301"/>
        <v>1+0.0972177032164304i</v>
      </c>
      <c r="U537" s="17">
        <f t="shared" si="310"/>
        <v>1.0047145275244496</v>
      </c>
      <c r="V537" s="17">
        <f t="shared" si="311"/>
        <v>9.69131511010283E-2</v>
      </c>
      <c r="W537" s="31" t="str">
        <f t="shared" si="302"/>
        <v>1-157.650329540157i</v>
      </c>
      <c r="X537" s="17">
        <f t="shared" si="312"/>
        <v>157.65350108424516</v>
      </c>
      <c r="Y537" s="17">
        <f t="shared" si="313"/>
        <v>-1.5644532598861145</v>
      </c>
      <c r="Z537" s="31" t="str">
        <f t="shared" si="303"/>
        <v>-958.533167607804+959.849562122929i</v>
      </c>
      <c r="AA537" s="17">
        <f t="shared" si="314"/>
        <v>1356.5017564720767</v>
      </c>
      <c r="AB537" s="17">
        <f t="shared" si="315"/>
        <v>2.355508290150973</v>
      </c>
      <c r="AC537" s="66" t="str">
        <f t="shared" si="316"/>
        <v>0.00828144279977644+0.0102109502616167i</v>
      </c>
      <c r="AD537" s="64">
        <f t="shared" si="317"/>
        <v>-37.62341168735896</v>
      </c>
      <c r="AE537" s="61">
        <f t="shared" si="318"/>
        <v>50.956721777619492</v>
      </c>
      <c r="AF537" s="31" t="str">
        <f t="shared" si="304"/>
        <v>-1.39902068552014E-06</v>
      </c>
      <c r="AG537" s="31" t="str">
        <f t="shared" si="305"/>
        <v>0.32180130229839i</v>
      </c>
      <c r="AH537" s="31">
        <f t="shared" si="319"/>
        <v>0.32180130229838999</v>
      </c>
      <c r="AI537" s="31">
        <f t="shared" si="320"/>
        <v>1.5707963267948966</v>
      </c>
      <c r="AJ537" s="31" t="str">
        <f t="shared" si="306"/>
        <v>1+23.2454231049181i</v>
      </c>
      <c r="AK537" s="31">
        <f t="shared" si="321"/>
        <v>23.266922773041134</v>
      </c>
      <c r="AL537" s="31">
        <f t="shared" si="322"/>
        <v>1.5278036139884845</v>
      </c>
      <c r="AM537" s="31" t="str">
        <f t="shared" si="307"/>
        <v>1+11304.1125181387i</v>
      </c>
      <c r="AN537" s="31">
        <f t="shared" si="323"/>
        <v>11304.112562370388</v>
      </c>
      <c r="AO537" s="31">
        <f t="shared" si="324"/>
        <v>1.5707078634152385</v>
      </c>
      <c r="AP537" s="58" t="str">
        <f t="shared" si="325"/>
        <v>-0.0000905943106112096+0.002110250548501i</v>
      </c>
      <c r="AQ537" s="49">
        <f t="shared" si="326"/>
        <v>-53.505322727068211</v>
      </c>
      <c r="AR537" s="61">
        <f t="shared" si="327"/>
        <v>92.458232415329576</v>
      </c>
      <c r="AS537" s="58" t="str">
        <f t="shared" si="328"/>
        <v>-0.000022297914991605+0.0000165508652109714i</v>
      </c>
      <c r="AT537" s="64">
        <f t="shared" si="329"/>
        <v>-91.128734414427157</v>
      </c>
      <c r="AU537" s="61">
        <f t="shared" si="330"/>
        <v>143.41495419294901</v>
      </c>
    </row>
    <row r="538" spans="14:47" x14ac:dyDescent="0.4">
      <c r="N538" s="10">
        <v>20</v>
      </c>
      <c r="O538" s="50">
        <f t="shared" si="298"/>
        <v>1584893.1924611153</v>
      </c>
      <c r="P538" s="48" t="str">
        <f t="shared" si="299"/>
        <v>5120.19230769231</v>
      </c>
      <c r="Q538" s="17" t="str">
        <f t="shared" si="300"/>
        <v>1+46535.3300334214i</v>
      </c>
      <c r="R538" s="17">
        <f t="shared" si="308"/>
        <v>46535.330044165923</v>
      </c>
      <c r="S538" s="17">
        <f t="shared" si="309"/>
        <v>1.5707748377456274</v>
      </c>
      <c r="T538" s="17" t="str">
        <f t="shared" si="301"/>
        <v>1+0.0994821944270032i</v>
      </c>
      <c r="U538" s="17">
        <f t="shared" si="310"/>
        <v>1.0049361706138416</v>
      </c>
      <c r="V538" s="17">
        <f t="shared" si="311"/>
        <v>9.9155947465639743E-2</v>
      </c>
      <c r="W538" s="31" t="str">
        <f t="shared" si="302"/>
        <v>1-161.322477449194i</v>
      </c>
      <c r="X538" s="17">
        <f t="shared" si="312"/>
        <v>161.32557680152797</v>
      </c>
      <c r="Y538" s="17">
        <f t="shared" si="313"/>
        <v>-1.5645976419750192</v>
      </c>
      <c r="Z538" s="31" t="str">
        <f t="shared" si="303"/>
        <v>-1003.75457260384+982.207330564141i</v>
      </c>
      <c r="AA538" s="17">
        <f t="shared" si="314"/>
        <v>1404.3697811605934</v>
      </c>
      <c r="AB538" s="17">
        <f t="shared" si="315"/>
        <v>2.3670438406094902</v>
      </c>
      <c r="AC538" s="66" t="str">
        <f t="shared" si="316"/>
        <v>0.00809367205282284+0.00978912823916903i</v>
      </c>
      <c r="AD538" s="64">
        <f t="shared" si="317"/>
        <v>-37.922725937556308</v>
      </c>
      <c r="AE538" s="61">
        <f t="shared" si="318"/>
        <v>50.415985024580749</v>
      </c>
      <c r="AF538" s="31" t="str">
        <f t="shared" si="304"/>
        <v>-1.39902068552014E-06</v>
      </c>
      <c r="AG538" s="31" t="str">
        <f t="shared" si="305"/>
        <v>0.329297017548763i</v>
      </c>
      <c r="AH538" s="31">
        <f t="shared" si="319"/>
        <v>0.329297017548763</v>
      </c>
      <c r="AI538" s="31">
        <f t="shared" si="320"/>
        <v>1.5707963267948966</v>
      </c>
      <c r="AJ538" s="31" t="str">
        <f t="shared" si="306"/>
        <v>1+23.7868785658638i</v>
      </c>
      <c r="AK538" s="31">
        <f t="shared" si="321"/>
        <v>23.807889278706554</v>
      </c>
      <c r="AL538" s="31">
        <f t="shared" si="322"/>
        <v>1.5287810829256336</v>
      </c>
      <c r="AM538" s="31" t="str">
        <f t="shared" si="307"/>
        <v>1+11567.4191237644i</v>
      </c>
      <c r="AN538" s="31">
        <f t="shared" si="323"/>
        <v>11567.419166989255</v>
      </c>
      <c r="AO538" s="31">
        <f t="shared" si="324"/>
        <v>1.5707098770875929</v>
      </c>
      <c r="AP538" s="58" t="str">
        <f t="shared" si="325"/>
        <v>-0.0000865240885182645+0.00206238649361021i</v>
      </c>
      <c r="AQ538" s="49">
        <f t="shared" si="326"/>
        <v>-53.704961644361845</v>
      </c>
      <c r="AR538" s="61">
        <f t="shared" si="327"/>
        <v>92.402342945553031</v>
      </c>
      <c r="AS538" s="58" t="str">
        <f t="shared" si="328"/>
        <v>-0.0000208892634618168+0.0000158452845271697i</v>
      </c>
      <c r="AT538" s="64">
        <f t="shared" si="329"/>
        <v>-91.627687581918153</v>
      </c>
      <c r="AU538" s="61">
        <f t="shared" si="330"/>
        <v>142.81832797013391</v>
      </c>
    </row>
    <row r="539" spans="14:47" x14ac:dyDescent="0.4">
      <c r="N539" s="10">
        <v>21</v>
      </c>
      <c r="O539" s="50">
        <f t="shared" si="298"/>
        <v>1621810.0973589318</v>
      </c>
      <c r="P539" s="48" t="str">
        <f t="shared" si="299"/>
        <v>5120.19230769231</v>
      </c>
      <c r="Q539" s="17" t="str">
        <f t="shared" si="300"/>
        <v>1+47619.2771166721i</v>
      </c>
      <c r="R539" s="17">
        <f t="shared" si="308"/>
        <v>47619.277127172048</v>
      </c>
      <c r="S539" s="17">
        <f t="shared" si="309"/>
        <v>1.5707753268961078</v>
      </c>
      <c r="T539" s="17" t="str">
        <f t="shared" si="301"/>
        <v>1+0.101799432413864i</v>
      </c>
      <c r="U539" s="17">
        <f t="shared" si="310"/>
        <v>1.0051682070378991</v>
      </c>
      <c r="V539" s="17">
        <f t="shared" si="311"/>
        <v>0.10144994949937486</v>
      </c>
      <c r="W539" s="31" t="str">
        <f t="shared" si="302"/>
        <v>1-165.08016067113i</v>
      </c>
      <c r="X539" s="17">
        <f t="shared" si="312"/>
        <v>165.0831894749011</v>
      </c>
      <c r="Y539" s="17">
        <f t="shared" si="313"/>
        <v>-1.5647387377760644</v>
      </c>
      <c r="Z539" s="31" t="str">
        <f t="shared" si="303"/>
        <v>-1051.10719675815+1005.08587833307i</v>
      </c>
      <c r="AA539" s="17">
        <f t="shared" si="314"/>
        <v>1454.312195472944</v>
      </c>
      <c r="AB539" s="17">
        <f t="shared" si="315"/>
        <v>2.3785725618676161</v>
      </c>
      <c r="AC539" s="66" t="str">
        <f t="shared" si="316"/>
        <v>0.00790583508611681+0.00938142103393487i</v>
      </c>
      <c r="AD539" s="64">
        <f t="shared" si="317"/>
        <v>-38.224251539215246</v>
      </c>
      <c r="AE539" s="61">
        <f t="shared" si="318"/>
        <v>49.878762367869889</v>
      </c>
      <c r="AF539" s="31" t="str">
        <f t="shared" si="304"/>
        <v>-1.39902068552014E-06</v>
      </c>
      <c r="AG539" s="31" t="str">
        <f t="shared" si="305"/>
        <v>0.336967330436601i</v>
      </c>
      <c r="AH539" s="31">
        <f t="shared" si="319"/>
        <v>0.33696733043660099</v>
      </c>
      <c r="AI539" s="31">
        <f t="shared" si="320"/>
        <v>1.5707963267948966</v>
      </c>
      <c r="AJ539" s="31" t="str">
        <f t="shared" si="306"/>
        <v>1+24.3409461446816i</v>
      </c>
      <c r="AK539" s="31">
        <f t="shared" si="321"/>
        <v>24.361479003096058</v>
      </c>
      <c r="AL539" s="31">
        <f t="shared" si="322"/>
        <v>1.5297363795850307</v>
      </c>
      <c r="AM539" s="31" t="str">
        <f t="shared" si="307"/>
        <v>1+11836.8589281225i</v>
      </c>
      <c r="AN539" s="31">
        <f t="shared" si="323"/>
        <v>11836.858970363433</v>
      </c>
      <c r="AO539" s="31">
        <f t="shared" si="324"/>
        <v>1.5707118449231692</v>
      </c>
      <c r="AP539" s="58" t="str">
        <f t="shared" si="325"/>
        <v>-0.000082636424708229+0.00201560056259003i</v>
      </c>
      <c r="AQ539" s="49">
        <f t="shared" si="326"/>
        <v>-53.904616785026789</v>
      </c>
      <c r="AR539" s="61">
        <f t="shared" si="327"/>
        <v>92.347721227459942</v>
      </c>
      <c r="AS539" s="58" t="str">
        <f t="shared" si="328"/>
        <v>-0.0000195625074597426+0.0000151597585543941i</v>
      </c>
      <c r="AT539" s="64">
        <f t="shared" si="329"/>
        <v>-92.128868324242035</v>
      </c>
      <c r="AU539" s="61">
        <f t="shared" si="330"/>
        <v>142.22648359532977</v>
      </c>
    </row>
    <row r="540" spans="14:47" x14ac:dyDescent="0.4">
      <c r="N540" s="10">
        <v>22</v>
      </c>
      <c r="O540" s="50">
        <f t="shared" si="298"/>
        <v>1659586.9074375622</v>
      </c>
      <c r="P540" s="48" t="str">
        <f t="shared" si="299"/>
        <v>5120.19230769231</v>
      </c>
      <c r="Q540" s="17" t="str">
        <f t="shared" si="300"/>
        <v>1+48728.472570966i</v>
      </c>
      <c r="R540" s="17">
        <f t="shared" si="308"/>
        <v>48728.472581226939</v>
      </c>
      <c r="S540" s="17">
        <f t="shared" si="309"/>
        <v>1.5707758049121636</v>
      </c>
      <c r="T540" s="17" t="str">
        <f t="shared" si="301"/>
        <v>1+0.104170645807265i</v>
      </c>
      <c r="U540" s="17">
        <f t="shared" si="310"/>
        <v>1.0054111216054369</v>
      </c>
      <c r="V540" s="17">
        <f t="shared" si="311"/>
        <v>0.10379627688305366</v>
      </c>
      <c r="W540" s="31" t="str">
        <f t="shared" si="302"/>
        <v>1-168.925371579349i</v>
      </c>
      <c r="X540" s="17">
        <f t="shared" si="312"/>
        <v>168.92833144035112</v>
      </c>
      <c r="Y540" s="17">
        <f t="shared" si="313"/>
        <v>-1.5648766220776273</v>
      </c>
      <c r="Z540" s="31" t="str">
        <f t="shared" si="303"/>
        <v>-1100.69148133527+1028.49733593858i</v>
      </c>
      <c r="AA540" s="17">
        <f t="shared" si="314"/>
        <v>1506.4290581095372</v>
      </c>
      <c r="AB540" s="17">
        <f t="shared" si="315"/>
        <v>2.3900883831368018</v>
      </c>
      <c r="AC540" s="66" t="str">
        <f t="shared" si="316"/>
        <v>0.00771814898492314+0.00898759082294209i</v>
      </c>
      <c r="AD540" s="64">
        <f t="shared" si="317"/>
        <v>-38.527980651586105</v>
      </c>
      <c r="AE540" s="61">
        <f t="shared" si="318"/>
        <v>49.34546149111609</v>
      </c>
      <c r="AF540" s="31" t="str">
        <f t="shared" si="304"/>
        <v>-1.39902068552014E-06</v>
      </c>
      <c r="AG540" s="31" t="str">
        <f t="shared" si="305"/>
        <v>0.344816307863327i</v>
      </c>
      <c r="AH540" s="31">
        <f t="shared" si="319"/>
        <v>0.34481630786332701</v>
      </c>
      <c r="AI540" s="31">
        <f t="shared" si="320"/>
        <v>1.5707963267948966</v>
      </c>
      <c r="AJ540" s="31" t="str">
        <f t="shared" si="306"/>
        <v>1+24.907919615336i</v>
      </c>
      <c r="AK540" s="31">
        <f t="shared" si="321"/>
        <v>24.927985469428528</v>
      </c>
      <c r="AL540" s="31">
        <f t="shared" si="322"/>
        <v>1.5306700034992688</v>
      </c>
      <c r="AM540" s="31" t="str">
        <f t="shared" si="307"/>
        <v>1+12112.5747917637i</v>
      </c>
      <c r="AN540" s="31">
        <f t="shared" si="323"/>
        <v>12112.574833043114</v>
      </c>
      <c r="AO540" s="31">
        <f t="shared" si="324"/>
        <v>1.5707137679653398</v>
      </c>
      <c r="AP540" s="58" t="str">
        <f t="shared" si="325"/>
        <v>-0.0000789231581667673+0.00196986897209696i</v>
      </c>
      <c r="AQ540" s="49">
        <f t="shared" si="326"/>
        <v>-54.104287421353249</v>
      </c>
      <c r="AR540" s="61">
        <f t="shared" si="327"/>
        <v>92.294338699721806</v>
      </c>
      <c r="AS540" s="58" t="str">
        <f t="shared" si="328"/>
        <v>-0.0000183135169891088+0.0000144944131553645i</v>
      </c>
      <c r="AT540" s="64">
        <f t="shared" si="329"/>
        <v>-92.63226807293934</v>
      </c>
      <c r="AU540" s="61">
        <f t="shared" si="330"/>
        <v>141.63980019083792</v>
      </c>
    </row>
    <row r="541" spans="14:47" x14ac:dyDescent="0.4">
      <c r="N541" s="10">
        <v>23</v>
      </c>
      <c r="O541" s="50">
        <f t="shared" si="298"/>
        <v>1698243.6524617488</v>
      </c>
      <c r="P541" s="48" t="str">
        <f t="shared" si="299"/>
        <v>5120.19230769231</v>
      </c>
      <c r="Q541" s="17" t="str">
        <f t="shared" si="300"/>
        <v>1+49863.5045064147i</v>
      </c>
      <c r="R541" s="17">
        <f t="shared" si="308"/>
        <v>49863.504516442074</v>
      </c>
      <c r="S541" s="17">
        <f t="shared" si="309"/>
        <v>1.5707762720472458</v>
      </c>
      <c r="T541" s="17" t="str">
        <f t="shared" si="301"/>
        <v>1+0.106597091855936i</v>
      </c>
      <c r="U541" s="17">
        <f t="shared" si="310"/>
        <v>1.0056654214957095</v>
      </c>
      <c r="V541" s="17">
        <f t="shared" si="311"/>
        <v>0.10619607027700208</v>
      </c>
      <c r="W541" s="31" t="str">
        <f t="shared" si="302"/>
        <v>1-172.860148955571i</v>
      </c>
      <c r="X541" s="17">
        <f t="shared" si="312"/>
        <v>172.86304144305166</v>
      </c>
      <c r="Y541" s="17">
        <f t="shared" si="313"/>
        <v>-1.5650113679668061</v>
      </c>
      <c r="Z541" s="31" t="str">
        <f t="shared" si="303"/>
        <v>-1152.61260125066+1052.45411644538i</v>
      </c>
      <c r="AA541" s="17">
        <f t="shared" si="314"/>
        <v>1560.8252547241277</v>
      </c>
      <c r="AB541" s="17">
        <f t="shared" si="315"/>
        <v>2.401585266031951</v>
      </c>
      <c r="AC541" s="66" t="str">
        <f t="shared" si="316"/>
        <v>0.00753082851284871+0.00860739311230064i</v>
      </c>
      <c r="AD541" s="64">
        <f t="shared" si="317"/>
        <v>-38.833902828330707</v>
      </c>
      <c r="AE541" s="61">
        <f t="shared" si="318"/>
        <v>48.816489521219161</v>
      </c>
      <c r="AF541" s="31" t="str">
        <f t="shared" si="304"/>
        <v>-1.39902068552014E-06</v>
      </c>
      <c r="AG541" s="31" t="str">
        <f t="shared" si="305"/>
        <v>0.352848111460666i</v>
      </c>
      <c r="AH541" s="31">
        <f t="shared" si="319"/>
        <v>0.35284811146066603</v>
      </c>
      <c r="AI541" s="31">
        <f t="shared" si="320"/>
        <v>1.5707963267948966</v>
      </c>
      <c r="AJ541" s="31" t="str">
        <f t="shared" si="306"/>
        <v>1+25.4880995946658i</v>
      </c>
      <c r="AK541" s="31">
        <f t="shared" si="321"/>
        <v>25.507709049375698</v>
      </c>
      <c r="AL541" s="31">
        <f t="shared" si="322"/>
        <v>1.5315824431740195</v>
      </c>
      <c r="AM541" s="31" t="str">
        <f t="shared" si="307"/>
        <v>1+12394.7129028884i</v>
      </c>
      <c r="AN541" s="31">
        <f t="shared" si="323"/>
        <v>12394.712943228178</v>
      </c>
      <c r="AO541" s="31">
        <f t="shared" si="324"/>
        <v>1.5707156472337269</v>
      </c>
      <c r="AP541" s="58" t="str">
        <f t="shared" si="325"/>
        <v>-0.0000753764903233457+0.00192516842989145i</v>
      </c>
      <c r="AQ541" s="49">
        <f t="shared" si="326"/>
        <v>-54.303972858167462</v>
      </c>
      <c r="AR541" s="61">
        <f t="shared" si="327"/>
        <v>92.242167431445424</v>
      </c>
      <c r="AS541" s="58" t="str">
        <f t="shared" si="328"/>
        <v>-0.0000171383289059918+0.0000138493182202242i</v>
      </c>
      <c r="AT541" s="64">
        <f t="shared" si="329"/>
        <v>-93.137875686498163</v>
      </c>
      <c r="AU541" s="61">
        <f t="shared" si="330"/>
        <v>141.05865695266445</v>
      </c>
    </row>
    <row r="542" spans="14:47" x14ac:dyDescent="0.4">
      <c r="N542" s="10">
        <v>24</v>
      </c>
      <c r="O542" s="50">
        <f t="shared" si="298"/>
        <v>1737800.8287493798</v>
      </c>
      <c r="P542" s="48" t="str">
        <f t="shared" si="299"/>
        <v>5120.19230769231</v>
      </c>
      <c r="Q542" s="17" t="str">
        <f t="shared" si="300"/>
        <v>1+51024.9747319737i</v>
      </c>
      <c r="R542" s="17">
        <f t="shared" si="308"/>
        <v>51024.974741772814</v>
      </c>
      <c r="S542" s="17">
        <f t="shared" si="309"/>
        <v>1.5707767285490351</v>
      </c>
      <c r="T542" s="17" t="str">
        <f t="shared" si="301"/>
        <v>1+0.109080057093686i</v>
      </c>
      <c r="U542" s="17">
        <f t="shared" si="310"/>
        <v>1.0059316372674445</v>
      </c>
      <c r="V542" s="17">
        <f t="shared" si="311"/>
        <v>0.10865049145966515</v>
      </c>
      <c r="W542" s="31" t="str">
        <f t="shared" si="302"/>
        <v>1-176.886579070842i</v>
      </c>
      <c r="X542" s="17">
        <f t="shared" si="312"/>
        <v>176.88940571833362</v>
      </c>
      <c r="Y542" s="17">
        <f t="shared" si="313"/>
        <v>-1.5651430468680714</v>
      </c>
      <c r="Z542" s="31" t="str">
        <f t="shared" si="303"/>
        <v>-1206.98068816081+1076.96892205558i</v>
      </c>
      <c r="AA542" s="17">
        <f t="shared" si="314"/>
        <v>1617.6107197551271</v>
      </c>
      <c r="AB542" s="17">
        <f t="shared" si="315"/>
        <v>2.4130572204052498</v>
      </c>
      <c r="AC542" s="66" t="str">
        <f t="shared" si="316"/>
        <v>0.00734408529125213+0.0082405768144083i</v>
      </c>
      <c r="AD542" s="64">
        <f t="shared" si="317"/>
        <v>-39.142005035459299</v>
      </c>
      <c r="AE542" s="61">
        <f t="shared" si="318"/>
        <v>48.292252126857377</v>
      </c>
      <c r="AF542" s="31" t="str">
        <f t="shared" si="304"/>
        <v>-1.39902068552014E-06</v>
      </c>
      <c r="AG542" s="31" t="str">
        <f t="shared" si="305"/>
        <v>0.361066999797198i</v>
      </c>
      <c r="AH542" s="31">
        <f t="shared" si="319"/>
        <v>0.36106699979719797</v>
      </c>
      <c r="AI542" s="31">
        <f t="shared" si="320"/>
        <v>1.5707963267948966</v>
      </c>
      <c r="AJ542" s="31" t="str">
        <f t="shared" si="306"/>
        <v>1+26.0817937017753i</v>
      </c>
      <c r="AK542" s="31">
        <f t="shared" si="321"/>
        <v>26.100957122334915</v>
      </c>
      <c r="AL542" s="31">
        <f t="shared" si="322"/>
        <v>1.5324741763162244</v>
      </c>
      <c r="AM542" s="31" t="str">
        <f t="shared" si="307"/>
        <v>1+12683.4228548574i</v>
      </c>
      <c r="AN542" s="31">
        <f t="shared" si="323"/>
        <v>12683.422894278934</v>
      </c>
      <c r="AO542" s="31">
        <f t="shared" si="324"/>
        <v>1.5707174837247435</v>
      </c>
      <c r="AP542" s="58" t="str">
        <f t="shared" si="325"/>
        <v>-0.0000719889691641284+0.00188147612698117i</v>
      </c>
      <c r="AQ542" s="49">
        <f t="shared" si="326"/>
        <v>-54.503672431386711</v>
      </c>
      <c r="AR542" s="61">
        <f t="shared" si="327"/>
        <v>92.191180109129533</v>
      </c>
      <c r="AS542" s="58" t="str">
        <f t="shared" si="328"/>
        <v>-0.0000160331416784344+0.0000132244905198174i</v>
      </c>
      <c r="AT542" s="64">
        <f t="shared" si="329"/>
        <v>-93.64567746684601</v>
      </c>
      <c r="AU542" s="61">
        <f t="shared" si="330"/>
        <v>140.48343223598678</v>
      </c>
    </row>
    <row r="543" spans="14:47" x14ac:dyDescent="0.4">
      <c r="N543" s="10">
        <v>25</v>
      </c>
      <c r="O543" s="50">
        <f t="shared" si="298"/>
        <v>1778279.4100389241</v>
      </c>
      <c r="P543" s="48" t="str">
        <f t="shared" si="299"/>
        <v>5120.19230769231</v>
      </c>
      <c r="Q543" s="17" t="str">
        <f t="shared" si="300"/>
        <v>1+52213.499074531i</v>
      </c>
      <c r="R543" s="17">
        <f t="shared" si="308"/>
        <v>52213.499084107068</v>
      </c>
      <c r="S543" s="17">
        <f t="shared" si="309"/>
        <v>1.5707771746595753</v>
      </c>
      <c r="T543" s="17" t="str">
        <f t="shared" si="301"/>
        <v>1+0.111620858021553i</v>
      </c>
      <c r="U543" s="17">
        <f t="shared" si="310"/>
        <v>1.0062103239111928</v>
      </c>
      <c r="V543" s="17">
        <f t="shared" si="311"/>
        <v>0.11116072344618931</v>
      </c>
      <c r="W543" s="31" t="str">
        <f t="shared" si="302"/>
        <v>1-181.006796791707i</v>
      </c>
      <c r="X543" s="17">
        <f t="shared" si="312"/>
        <v>181.00955909783966</v>
      </c>
      <c r="Y543" s="17">
        <f t="shared" si="313"/>
        <v>-1.5652717285810431</v>
      </c>
      <c r="Z543" s="31" t="str">
        <f t="shared" si="303"/>
        <v>-1263.91106406735+1102.05475084363i</v>
      </c>
      <c r="AA543" s="17">
        <f t="shared" si="314"/>
        <v>1676.900668414464</v>
      </c>
      <c r="AB543" s="17">
        <f t="shared" si="315"/>
        <v>2.4244983198693237</v>
      </c>
      <c r="AC543" s="66" t="str">
        <f t="shared" si="316"/>
        <v>0.00715812700069955+0.00788688439994368i</v>
      </c>
      <c r="AD543" s="64">
        <f t="shared" si="317"/>
        <v>-39.452271678872023</v>
      </c>
      <c r="AE543" s="61">
        <f t="shared" si="318"/>
        <v>47.773152633698146</v>
      </c>
      <c r="AF543" s="31" t="str">
        <f t="shared" si="304"/>
        <v>-1.39902068552014E-06</v>
      </c>
      <c r="AG543" s="31" t="str">
        <f t="shared" si="305"/>
        <v>0.369477330636309i</v>
      </c>
      <c r="AH543" s="31">
        <f t="shared" si="319"/>
        <v>0.369477330636309</v>
      </c>
      <c r="AI543" s="31">
        <f t="shared" si="320"/>
        <v>1.5707963267948966</v>
      </c>
      <c r="AJ543" s="31" t="str">
        <f t="shared" si="306"/>
        <v>1+26.6893167211388i</v>
      </c>
      <c r="AK543" s="31">
        <f t="shared" si="321"/>
        <v>26.708044238417365</v>
      </c>
      <c r="AL543" s="31">
        <f t="shared" si="322"/>
        <v>1.533345670058599</v>
      </c>
      <c r="AM543" s="31" t="str">
        <f t="shared" si="307"/>
        <v>1+12978.8577255091i</v>
      </c>
      <c r="AN543" s="31">
        <f t="shared" si="323"/>
        <v>12978.857764033291</v>
      </c>
      <c r="AO543" s="31">
        <f t="shared" si="324"/>
        <v>1.5707192784121213</v>
      </c>
      <c r="AP543" s="58" t="str">
        <f t="shared" si="325"/>
        <v>-0.0000687534740227612+0.00183876972972522i</v>
      </c>
      <c r="AQ543" s="49">
        <f t="shared" si="326"/>
        <v>-54.703385506636586</v>
      </c>
      <c r="AR543" s="61">
        <f t="shared" si="327"/>
        <v>92.141350023831706</v>
      </c>
      <c r="AS543" s="58" t="str">
        <f t="shared" si="328"/>
        <v>-0.0000149943103952527+0.0000126198965487031i</v>
      </c>
      <c r="AT543" s="64">
        <f t="shared" si="329"/>
        <v>-94.155657185508602</v>
      </c>
      <c r="AU543" s="61">
        <f t="shared" si="330"/>
        <v>139.91450265752974</v>
      </c>
    </row>
    <row r="544" spans="14:47" x14ac:dyDescent="0.4">
      <c r="N544" s="10">
        <v>26</v>
      </c>
      <c r="O544" s="50">
        <f t="shared" si="298"/>
        <v>1819700.8586099846</v>
      </c>
      <c r="P544" s="48" t="str">
        <f t="shared" si="299"/>
        <v>5120.19230769231</v>
      </c>
      <c r="Q544" s="17" t="str">
        <f t="shared" si="300"/>
        <v>1+53429.7077054253i</v>
      </c>
      <c r="R544" s="17">
        <f t="shared" si="308"/>
        <v>53429.707714783392</v>
      </c>
      <c r="S544" s="17">
        <f t="shared" si="309"/>
        <v>1.5707776106153997</v>
      </c>
      <c r="T544" s="17" t="str">
        <f t="shared" si="301"/>
        <v>1+0.11422084180582i</v>
      </c>
      <c r="U544" s="17">
        <f t="shared" si="310"/>
        <v>1.0065020619466361</v>
      </c>
      <c r="V544" s="17">
        <f t="shared" si="311"/>
        <v>0.11372797058500433</v>
      </c>
      <c r="W544" s="31" t="str">
        <f t="shared" si="302"/>
        <v>1-185.222986712141i</v>
      </c>
      <c r="X544" s="17">
        <f t="shared" si="312"/>
        <v>185.22568614143654</v>
      </c>
      <c r="Y544" s="17">
        <f t="shared" si="313"/>
        <v>-1.5653974813174125</v>
      </c>
      <c r="Z544" s="31" t="str">
        <f t="shared" si="303"/>
        <v>-1323.52448593036+1127.724903648i</v>
      </c>
      <c r="AA544" s="17">
        <f t="shared" si="314"/>
        <v>1738.815839347317</v>
      </c>
      <c r="AB544" s="17">
        <f t="shared" si="315"/>
        <v>2.4359027169130574</v>
      </c>
      <c r="AC544" s="66" t="str">
        <f t="shared" si="316"/>
        <v>0.00697315661161365+0.00754605212148076i</v>
      </c>
      <c r="AD544" s="64">
        <f t="shared" si="317"/>
        <v>-39.764684641176927</v>
      </c>
      <c r="AE544" s="61">
        <f t="shared" si="318"/>
        <v>47.2595911617369</v>
      </c>
      <c r="AF544" s="31" t="str">
        <f t="shared" si="304"/>
        <v>-1.39902068552014E-06</v>
      </c>
      <c r="AG544" s="31" t="str">
        <f t="shared" si="305"/>
        <v>0.378083563246734i</v>
      </c>
      <c r="AH544" s="31">
        <f t="shared" si="319"/>
        <v>0.37808356324673398</v>
      </c>
      <c r="AI544" s="31">
        <f t="shared" si="320"/>
        <v>1.5707963267948966</v>
      </c>
      <c r="AJ544" s="31" t="str">
        <f t="shared" si="306"/>
        <v>1+27.310990769503i</v>
      </c>
      <c r="AK544" s="31">
        <f t="shared" si="321"/>
        <v>27.329292285236331</v>
      </c>
      <c r="AL544" s="31">
        <f t="shared" si="322"/>
        <v>1.5341973811804344</v>
      </c>
      <c r="AM544" s="31" t="str">
        <f t="shared" si="307"/>
        <v>1+13281.1741583224i</v>
      </c>
      <c r="AN544" s="31">
        <f t="shared" si="323"/>
        <v>13281.174195969672</v>
      </c>
      <c r="AO544" s="31">
        <f t="shared" si="324"/>
        <v>1.5707210322474274</v>
      </c>
      <c r="AP544" s="58" t="str">
        <f t="shared" si="325"/>
        <v>-0.000065663201021763+0.00179702737191374i</v>
      </c>
      <c r="AQ544" s="49">
        <f t="shared" si="326"/>
        <v>-54.903111477930537</v>
      </c>
      <c r="AR544" s="61">
        <f t="shared" si="327"/>
        <v>92.092651058547176</v>
      </c>
      <c r="AS544" s="58" t="str">
        <f t="shared" si="328"/>
        <v>-0.0000140183419965333+0.0000120354553623375i</v>
      </c>
      <c r="AT544" s="64">
        <f t="shared" si="329"/>
        <v>-94.667796119107464</v>
      </c>
      <c r="AU544" s="61">
        <f t="shared" si="330"/>
        <v>139.3522422202841</v>
      </c>
    </row>
    <row r="545" spans="14:47" x14ac:dyDescent="0.4">
      <c r="N545" s="10">
        <v>27</v>
      </c>
      <c r="O545" s="50">
        <f t="shared" si="298"/>
        <v>1862087.1366628683</v>
      </c>
      <c r="P545" s="48" t="str">
        <f t="shared" si="299"/>
        <v>5120.19230769231</v>
      </c>
      <c r="Q545" s="17" t="str">
        <f t="shared" si="300"/>
        <v>1+54674.2454745707i</v>
      </c>
      <c r="R545" s="17">
        <f t="shared" si="308"/>
        <v>54674.245483715778</v>
      </c>
      <c r="S545" s="17">
        <f t="shared" si="309"/>
        <v>1.570778036647658</v>
      </c>
      <c r="T545" s="17" t="str">
        <f t="shared" si="301"/>
        <v>1+0.116881386992304i</v>
      </c>
      <c r="U545" s="17">
        <f t="shared" si="310"/>
        <v>1.0068074585665547</v>
      </c>
      <c r="V545" s="17">
        <f t="shared" si="311"/>
        <v>0.11635345863038971</v>
      </c>
      <c r="W545" s="31" t="str">
        <f t="shared" si="302"/>
        <v>1-189.537384311845i</v>
      </c>
      <c r="X545" s="17">
        <f t="shared" si="312"/>
        <v>189.54002229549309</v>
      </c>
      <c r="Y545" s="17">
        <f t="shared" si="313"/>
        <v>-1.5655203717370267</v>
      </c>
      <c r="Z545" s="31" t="str">
        <f t="shared" si="303"/>
        <v>-1385.94740181012+1153.99299112349i</v>
      </c>
      <c r="AA545" s="17">
        <f t="shared" si="314"/>
        <v>1803.4827485025639</v>
      </c>
      <c r="AB545" s="17">
        <f t="shared" si="315"/>
        <v>2.4472646575182755</v>
      </c>
      <c r="AC545" s="66" t="str">
        <f t="shared" si="316"/>
        <v>0.00678937165080011+0.00721781030477729i</v>
      </c>
      <c r="AD545" s="64">
        <f t="shared" si="317"/>
        <v>-40.079223327380305</v>
      </c>
      <c r="AE545" s="61">
        <f t="shared" si="318"/>
        <v>46.751963789905389</v>
      </c>
      <c r="AF545" s="31" t="str">
        <f t="shared" si="304"/>
        <v>-1.39902068552014E-06</v>
      </c>
      <c r="AG545" s="31" t="str">
        <f t="shared" si="305"/>
        <v>0.38689026076692i</v>
      </c>
      <c r="AH545" s="31">
        <f t="shared" si="319"/>
        <v>0.38689026076692001</v>
      </c>
      <c r="AI545" s="31">
        <f t="shared" si="320"/>
        <v>1.5707963267948966</v>
      </c>
      <c r="AJ545" s="31" t="str">
        <f t="shared" si="306"/>
        <v>1+27.9471454666767i</v>
      </c>
      <c r="AK545" s="31">
        <f t="shared" si="321"/>
        <v>27.965030658584805</v>
      </c>
      <c r="AL545" s="31">
        <f t="shared" si="322"/>
        <v>1.5350297563246877</v>
      </c>
      <c r="AM545" s="31" t="str">
        <f t="shared" si="307"/>
        <v>1+13590.5324454715i</v>
      </c>
      <c r="AN545" s="31">
        <f t="shared" si="323"/>
        <v>13590.532482261815</v>
      </c>
      <c r="AO545" s="31">
        <f t="shared" si="324"/>
        <v>1.5707227461605684</v>
      </c>
      <c r="AP545" s="58" t="str">
        <f t="shared" si="325"/>
        <v>-0.0000627116491382026+0.00175622764683739i</v>
      </c>
      <c r="AQ545" s="49">
        <f t="shared" si="326"/>
        <v>-55.102849766406052</v>
      </c>
      <c r="AR545" s="61">
        <f t="shared" si="327"/>
        <v>92.045057675799299</v>
      </c>
      <c r="AS545" s="58" t="str">
        <f t="shared" si="328"/>
        <v>-0.0000131018906997115+0.0000114710414104099i</v>
      </c>
      <c r="AT545" s="64">
        <f t="shared" si="329"/>
        <v>-95.182073093786357</v>
      </c>
      <c r="AU545" s="61">
        <f t="shared" si="330"/>
        <v>138.79702146570457</v>
      </c>
    </row>
    <row r="546" spans="14:47" x14ac:dyDescent="0.4">
      <c r="N546" s="10">
        <v>28</v>
      </c>
      <c r="O546" s="50">
        <f t="shared" si="298"/>
        <v>1905460.7179632513</v>
      </c>
      <c r="P546" s="48" t="str">
        <f t="shared" si="299"/>
        <v>5120.19230769231</v>
      </c>
      <c r="Q546" s="17" t="str">
        <f t="shared" si="300"/>
        <v>1+55947.7722523663i</v>
      </c>
      <c r="R546" s="17">
        <f t="shared" si="308"/>
        <v>55947.772261303217</v>
      </c>
      <c r="S546" s="17">
        <f t="shared" si="309"/>
        <v>1.5707784529822382</v>
      </c>
      <c r="T546" s="17" t="str">
        <f t="shared" si="301"/>
        <v>1+0.119603904237281i</v>
      </c>
      <c r="U546" s="17">
        <f t="shared" si="310"/>
        <v>1.0071271488291837</v>
      </c>
      <c r="V546" s="17">
        <f t="shared" si="311"/>
        <v>0.11903843478882653</v>
      </c>
      <c r="W546" s="31" t="str">
        <f t="shared" si="302"/>
        <v>1-193.952277141537i</v>
      </c>
      <c r="X546" s="17">
        <f t="shared" si="312"/>
        <v>193.9548550781536</v>
      </c>
      <c r="Y546" s="17">
        <f t="shared" si="313"/>
        <v>-1.5656404649831572</v>
      </c>
      <c r="Z546" s="31" t="str">
        <f t="shared" si="303"/>
        <v>-1451.31221908043+1180.87294095778i</v>
      </c>
      <c r="AA546" s="17">
        <f t="shared" si="314"/>
        <v>1871.0339547796661</v>
      </c>
      <c r="AB546" s="17">
        <f t="shared" si="315"/>
        <v>2.4585784951912126</v>
      </c>
      <c r="AC546" s="66" t="str">
        <f t="shared" si="316"/>
        <v>0.00660696350998732+0.00690188370309027i</v>
      </c>
      <c r="AD546" s="64">
        <f t="shared" si="317"/>
        <v>-40.39586471896547</v>
      </c>
      <c r="AE546" s="61">
        <f t="shared" si="318"/>
        <v>46.250661752756088</v>
      </c>
      <c r="AF546" s="31" t="str">
        <f t="shared" si="304"/>
        <v>-1.39902068552014E-06</v>
      </c>
      <c r="AG546" s="31" t="str">
        <f t="shared" si="305"/>
        <v>0.395902092624464i</v>
      </c>
      <c r="AH546" s="31">
        <f t="shared" si="319"/>
        <v>0.39590209262446402</v>
      </c>
      <c r="AI546" s="31">
        <f t="shared" si="320"/>
        <v>1.5707963267948966</v>
      </c>
      <c r="AJ546" s="31" t="str">
        <f t="shared" si="306"/>
        <v>1+28.5981181103014i</v>
      </c>
      <c r="AK546" s="31">
        <f t="shared" si="321"/>
        <v>28.615596437096134</v>
      </c>
      <c r="AL546" s="31">
        <f t="shared" si="322"/>
        <v>1.5358432322113664</v>
      </c>
      <c r="AM546" s="31" t="str">
        <f t="shared" si="307"/>
        <v>1+13907.0966128154i</v>
      </c>
      <c r="AN546" s="31">
        <f t="shared" si="323"/>
        <v>13907.096648768267</v>
      </c>
      <c r="AO546" s="31">
        <f t="shared" si="324"/>
        <v>1.5707244210602838</v>
      </c>
      <c r="AP546" s="58" t="str">
        <f t="shared" si="325"/>
        <v>-0.0000598926068682314+0.0017163495993589i</v>
      </c>
      <c r="AQ546" s="49">
        <f t="shared" si="326"/>
        <v>-55.302599819117191</v>
      </c>
      <c r="AR546" s="61">
        <f t="shared" si="327"/>
        <v>91.998544905441747</v>
      </c>
      <c r="AS546" s="58" t="str">
        <f t="shared" si="328"/>
        <v>-0.0000122417535967171+0.0000109264873660662i</v>
      </c>
      <c r="AT546" s="64">
        <f t="shared" si="329"/>
        <v>-95.698464538082661</v>
      </c>
      <c r="AU546" s="61">
        <f t="shared" si="330"/>
        <v>138.24920665819769</v>
      </c>
    </row>
    <row r="547" spans="14:47" x14ac:dyDescent="0.4">
      <c r="N547" s="10">
        <v>29</v>
      </c>
      <c r="O547" s="50">
        <f t="shared" si="298"/>
        <v>1949844.5997580495</v>
      </c>
      <c r="P547" s="48" t="str">
        <f t="shared" si="299"/>
        <v>5120.19230769231</v>
      </c>
      <c r="Q547" s="17" t="str">
        <f t="shared" si="300"/>
        <v>1+57250.9632795658i</v>
      </c>
      <c r="R547" s="17">
        <f t="shared" si="308"/>
        <v>57250.963288299281</v>
      </c>
      <c r="S547" s="17">
        <f t="shared" si="309"/>
        <v>1.5707788598398864</v>
      </c>
      <c r="T547" s="17" t="str">
        <f t="shared" si="301"/>
        <v>1+0.122389837055427i</v>
      </c>
      <c r="U547" s="17">
        <f t="shared" si="310"/>
        <v>1.0074617969007331</v>
      </c>
      <c r="V547" s="17">
        <f t="shared" si="311"/>
        <v>0.12178416773680688</v>
      </c>
      <c r="W547" s="31" t="str">
        <f t="shared" si="302"/>
        <v>1-198.470006035828i</v>
      </c>
      <c r="X547" s="17">
        <f t="shared" si="312"/>
        <v>198.47252529219654</v>
      </c>
      <c r="Y547" s="17">
        <f t="shared" si="313"/>
        <v>-1.5657578247169683</v>
      </c>
      <c r="Z547" s="31" t="str">
        <f t="shared" si="303"/>
        <v>-1519.75758528224+1208.37900525605i</v>
      </c>
      <c r="AA547" s="17">
        <f t="shared" si="314"/>
        <v>1941.6083380451646</v>
      </c>
      <c r="AB547" s="17">
        <f t="shared" si="315"/>
        <v>2.4698387043293835</v>
      </c>
      <c r="AC547" s="66" t="str">
        <f t="shared" si="316"/>
        <v>0.00642611680188183+0.00659799190924987i</v>
      </c>
      <c r="AD547" s="64">
        <f t="shared" si="317"/>
        <v>-40.714583435809061</v>
      </c>
      <c r="AE547" s="61">
        <f t="shared" si="318"/>
        <v>45.756070673635271</v>
      </c>
      <c r="AF547" s="31" t="str">
        <f t="shared" si="304"/>
        <v>-1.39902068552014E-06</v>
      </c>
      <c r="AG547" s="31" t="str">
        <f t="shared" si="305"/>
        <v>0.4051238370119i</v>
      </c>
      <c r="AH547" s="31">
        <f t="shared" si="319"/>
        <v>0.40512383701190002</v>
      </c>
      <c r="AI547" s="31">
        <f t="shared" si="320"/>
        <v>1.5707963267948966</v>
      </c>
      <c r="AJ547" s="31" t="str">
        <f t="shared" si="306"/>
        <v>1+29.2642538546885i</v>
      </c>
      <c r="AK547" s="31">
        <f t="shared" si="321"/>
        <v>29.281334560973324</v>
      </c>
      <c r="AL547" s="31">
        <f t="shared" si="322"/>
        <v>1.5366382358471964</v>
      </c>
      <c r="AM547" s="31" t="str">
        <f t="shared" si="307"/>
        <v>1+14231.0345068653i</v>
      </c>
      <c r="AN547" s="31">
        <f t="shared" si="323"/>
        <v>14231.034541999779</v>
      </c>
      <c r="AO547" s="31">
        <f t="shared" si="324"/>
        <v>1.5707260578346274</v>
      </c>
      <c r="AP547" s="58" t="str">
        <f t="shared" si="325"/>
        <v>-0.0000572001394660241+0.00167737271799848i</v>
      </c>
      <c r="AQ547" s="49">
        <f t="shared" si="326"/>
        <v>-55.502361107880006</v>
      </c>
      <c r="AR547" s="61">
        <f t="shared" si="327"/>
        <v>91.953088332673019</v>
      </c>
      <c r="AS547" s="58" t="str">
        <f t="shared" si="328"/>
        <v>-0.000011434866399443+0.0000104015869487434i</v>
      </c>
      <c r="AT547" s="64">
        <f t="shared" si="329"/>
        <v>-96.216944543689095</v>
      </c>
      <c r="AU547" s="61">
        <f t="shared" si="330"/>
        <v>137.70915900630828</v>
      </c>
    </row>
    <row r="548" spans="14:47" x14ac:dyDescent="0.4">
      <c r="N548" s="10">
        <v>30</v>
      </c>
      <c r="O548" s="50">
        <f t="shared" si="298"/>
        <v>1995262.31496888</v>
      </c>
      <c r="P548" s="48" t="str">
        <f t="shared" si="299"/>
        <v>5120.19230769231</v>
      </c>
      <c r="Q548" s="17" t="str">
        <f t="shared" si="300"/>
        <v>1+58584.5095253025i</v>
      </c>
      <c r="R548" s="17">
        <f t="shared" si="308"/>
        <v>58584.509533837176</v>
      </c>
      <c r="S548" s="17">
        <f t="shared" si="309"/>
        <v>1.5707792574363237</v>
      </c>
      <c r="T548" s="17" t="str">
        <f t="shared" si="301"/>
        <v>1+0.125240662585202i</v>
      </c>
      <c r="U548" s="17">
        <f t="shared" si="310"/>
        <v>1.0078120973498881</v>
      </c>
      <c r="V548" s="17">
        <f t="shared" si="311"/>
        <v>0.12459194760766563</v>
      </c>
      <c r="W548" s="31" t="str">
        <f t="shared" si="302"/>
        <v>1-203.092966354382i</v>
      </c>
      <c r="X548" s="17">
        <f t="shared" si="312"/>
        <v>203.09542826617775</v>
      </c>
      <c r="Y548" s="17">
        <f t="shared" si="313"/>
        <v>-1.5658725131512059</v>
      </c>
      <c r="Z548" s="31" t="str">
        <f t="shared" si="303"/>
        <v>-1591.42868221399+1236.52576809771i</v>
      </c>
      <c r="AA548" s="17">
        <f t="shared" si="314"/>
        <v>2015.3513901409322</v>
      </c>
      <c r="AB548" s="17">
        <f t="shared" si="315"/>
        <v>2.4810398928521815</v>
      </c>
      <c r="AC548" s="66" t="str">
        <f t="shared" si="316"/>
        <v>0.00624700876854265+0.00630584981969482i</v>
      </c>
      <c r="AD548" s="64">
        <f t="shared" si="317"/>
        <v>-41.035351805326187</v>
      </c>
      <c r="AE548" s="61">
        <f t="shared" si="318"/>
        <v>45.268569838311933</v>
      </c>
      <c r="AF548" s="31" t="str">
        <f t="shared" si="304"/>
        <v>-1.39902068552014E-06</v>
      </c>
      <c r="AG548" s="31" t="str">
        <f t="shared" si="305"/>
        <v>0.414560383420167i</v>
      </c>
      <c r="AH548" s="31">
        <f t="shared" si="319"/>
        <v>0.41456038342016699</v>
      </c>
      <c r="AI548" s="31">
        <f t="shared" si="320"/>
        <v>1.5707963267948966</v>
      </c>
      <c r="AJ548" s="31" t="str">
        <f t="shared" si="306"/>
        <v>1+29.9459058938279i</v>
      </c>
      <c r="AK548" s="31">
        <f t="shared" si="321"/>
        <v>29.962598014891775</v>
      </c>
      <c r="AL548" s="31">
        <f t="shared" si="322"/>
        <v>1.5374151847315989</v>
      </c>
      <c r="AM548" s="31" t="str">
        <f t="shared" si="307"/>
        <v>1+14562.5178837809i</v>
      </c>
      <c r="AN548" s="31">
        <f t="shared" si="323"/>
        <v>14562.517918115622</v>
      </c>
      <c r="AO548" s="31">
        <f t="shared" si="324"/>
        <v>1.5707276573514386</v>
      </c>
      <c r="AP548" s="58" t="str">
        <f t="shared" si="325"/>
        <v>-0.0000546285767334841+0.00163927692704353i</v>
      </c>
      <c r="AQ548" s="49">
        <f t="shared" si="326"/>
        <v>-55.702133128169294</v>
      </c>
      <c r="AR548" s="61">
        <f t="shared" si="327"/>
        <v>91.908664086261922</v>
      </c>
      <c r="AS548" s="58" t="str">
        <f t="shared" si="328"/>
        <v>-0.0000106782993126944+9.89609773656556E-06i</v>
      </c>
      <c r="AT548" s="64">
        <f t="shared" si="329"/>
        <v>-96.737484933495494</v>
      </c>
      <c r="AU548" s="61">
        <f t="shared" si="330"/>
        <v>137.17723392457384</v>
      </c>
    </row>
    <row r="549" spans="14:47" x14ac:dyDescent="0.4">
      <c r="N549" s="10">
        <v>31</v>
      </c>
      <c r="O549" s="50">
        <f t="shared" si="298"/>
        <v>2041737.9446695296</v>
      </c>
      <c r="P549" s="48" t="str">
        <f t="shared" si="299"/>
        <v>5120.19230769231</v>
      </c>
      <c r="Q549" s="17" t="str">
        <f t="shared" si="300"/>
        <v>1+59949.1180534469i</v>
      </c>
      <c r="R549" s="17">
        <f t="shared" si="308"/>
        <v>59949.118061787303</v>
      </c>
      <c r="S549" s="17">
        <f t="shared" si="309"/>
        <v>1.5707796459823613</v>
      </c>
      <c r="T549" s="17" t="str">
        <f t="shared" si="301"/>
        <v>1+0.128157892372036i</v>
      </c>
      <c r="U549" s="17">
        <f t="shared" si="310"/>
        <v>1.0081787764961343</v>
      </c>
      <c r="V549" s="17">
        <f t="shared" si="311"/>
        <v>0.12746308594477448</v>
      </c>
      <c r="W549" s="31" t="str">
        <f t="shared" si="302"/>
        <v>1-207.823609251949i</v>
      </c>
      <c r="X549" s="17">
        <f t="shared" si="312"/>
        <v>207.82601512444677</v>
      </c>
      <c r="Y549" s="17">
        <f t="shared" si="313"/>
        <v>-1.56598459108312</v>
      </c>
      <c r="Z549" s="31" t="str">
        <f t="shared" si="303"/>
        <v>-1666.47753388133+1265.32815326896i</v>
      </c>
      <c r="AA549" s="17">
        <f t="shared" si="314"/>
        <v>2092.4155195338794</v>
      </c>
      <c r="AB549" s="17">
        <f t="shared" si="315"/>
        <v>2.4921768140312501</v>
      </c>
      <c r="AC549" s="66" t="str">
        <f t="shared" si="316"/>
        <v>0.00606980874612909+0.00602516814425389i</v>
      </c>
      <c r="AD549" s="64">
        <f t="shared" si="317"/>
        <v>-41.358139938178091</v>
      </c>
      <c r="AE549" s="61">
        <f t="shared" si="318"/>
        <v>44.788531512572611</v>
      </c>
      <c r="AF549" s="31" t="str">
        <f t="shared" si="304"/>
        <v>-1.39902068552014E-06</v>
      </c>
      <c r="AG549" s="31" t="str">
        <f t="shared" si="305"/>
        <v>0.424216735231079i</v>
      </c>
      <c r="AH549" s="31">
        <f t="shared" si="319"/>
        <v>0.424216735231079</v>
      </c>
      <c r="AI549" s="31">
        <f t="shared" si="320"/>
        <v>1.5707963267948966</v>
      </c>
      <c r="AJ549" s="31" t="str">
        <f t="shared" si="306"/>
        <v>1+30.6434356486529i</v>
      </c>
      <c r="AK549" s="31">
        <f t="shared" si="321"/>
        <v>30.659748015160392</v>
      </c>
      <c r="AL549" s="31">
        <f t="shared" si="322"/>
        <v>1.5381744870589726</v>
      </c>
      <c r="AM549" s="31" t="str">
        <f t="shared" si="307"/>
        <v>1+14901.7225004361i</v>
      </c>
      <c r="AN549" s="31">
        <f t="shared" si="323"/>
        <v>14901.72253398927</v>
      </c>
      <c r="AO549" s="31">
        <f t="shared" si="324"/>
        <v>1.5707292204588024</v>
      </c>
      <c r="AP549" s="58" t="str">
        <f t="shared" si="325"/>
        <v>-0.0000521725013380067+0.00160204257869245i</v>
      </c>
      <c r="AQ549" s="49">
        <f t="shared" si="326"/>
        <v>-55.901915398063345</v>
      </c>
      <c r="AR549" s="61">
        <f t="shared" si="327"/>
        <v>91.865248826983816</v>
      </c>
      <c r="AS549" s="58" t="str">
        <f t="shared" si="328"/>
        <v>-9.96925301580497E-06+9.40974396275083E-06i</v>
      </c>
      <c r="AT549" s="64">
        <f t="shared" si="329"/>
        <v>-97.26005533624145</v>
      </c>
      <c r="AU549" s="61">
        <f t="shared" si="330"/>
        <v>136.65378033955642</v>
      </c>
    </row>
    <row r="550" spans="14:47" x14ac:dyDescent="0.4">
      <c r="N550" s="10">
        <v>32</v>
      </c>
      <c r="O550" s="50">
        <f t="shared" si="298"/>
        <v>2089296.1308540432</v>
      </c>
      <c r="P550" s="48" t="str">
        <f t="shared" si="299"/>
        <v>5120.19230769231</v>
      </c>
      <c r="Q550" s="17" t="str">
        <f t="shared" si="300"/>
        <v>1+61345.5123975043i</v>
      </c>
      <c r="R550" s="17">
        <f t="shared" si="308"/>
        <v>61345.512405654852</v>
      </c>
      <c r="S550" s="17">
        <f t="shared" si="309"/>
        <v>1.5707800256840112</v>
      </c>
      <c r="T550" s="17" t="str">
        <f t="shared" si="301"/>
        <v>1+0.131143073169776i</v>
      </c>
      <c r="U550" s="17">
        <f t="shared" si="310"/>
        <v>1.0085625938137965</v>
      </c>
      <c r="V550" s="17">
        <f t="shared" si="311"/>
        <v>0.13039891561836991</v>
      </c>
      <c r="W550" s="31" t="str">
        <f t="shared" si="302"/>
        <v>1-212.664442978015i</v>
      </c>
      <c r="X550" s="17">
        <f t="shared" si="312"/>
        <v>212.66679408678118</v>
      </c>
      <c r="Y550" s="17">
        <f t="shared" si="313"/>
        <v>-1.5660941179266448</v>
      </c>
      <c r="Z550" s="31" t="str">
        <f t="shared" si="303"/>
        <v>-1745.06332896068+1294.80143217568i</v>
      </c>
      <c r="AA550" s="17">
        <f t="shared" si="314"/>
        <v>2172.9603702892337</v>
      </c>
      <c r="AB550" s="17">
        <f t="shared" si="315"/>
        <v>2.503244377465859</v>
      </c>
      <c r="AC550" s="66" t="str">
        <f t="shared" si="316"/>
        <v>0.00589467768928748+0.00575565395512991i</v>
      </c>
      <c r="AD550" s="64">
        <f t="shared" si="317"/>
        <v>-41.682915809841191</v>
      </c>
      <c r="AE550" s="61">
        <f t="shared" si="318"/>
        <v>44.316320306763338</v>
      </c>
      <c r="AF550" s="31" t="str">
        <f t="shared" si="304"/>
        <v>-1.39902068552014E-06</v>
      </c>
      <c r="AG550" s="31" t="str">
        <f t="shared" si="305"/>
        <v>0.434098012370184i</v>
      </c>
      <c r="AH550" s="31">
        <f t="shared" si="319"/>
        <v>0.43409801237018403</v>
      </c>
      <c r="AI550" s="31">
        <f t="shared" si="320"/>
        <v>1.5707963267948966</v>
      </c>
      <c r="AJ550" s="31" t="str">
        <f t="shared" si="306"/>
        <v>1+31.3572129586729i</v>
      </c>
      <c r="AK550" s="31">
        <f t="shared" si="321"/>
        <v>31.373154201252436</v>
      </c>
      <c r="AL550" s="31">
        <f t="shared" si="322"/>
        <v>1.5389165419173154</v>
      </c>
      <c r="AM550" s="31" t="str">
        <f t="shared" si="307"/>
        <v>1+15248.8282076088i</v>
      </c>
      <c r="AN550" s="31">
        <f t="shared" si="323"/>
        <v>15248.828240398205</v>
      </c>
      <c r="AO550" s="31">
        <f t="shared" si="324"/>
        <v>1.5707307479854988</v>
      </c>
      <c r="AP550" s="58" t="str">
        <f t="shared" si="325"/>
        <v>-0.0000498267376363946+0.0015656504452411i</v>
      </c>
      <c r="AQ550" s="49">
        <f t="shared" si="326"/>
        <v>-56.101707457235889</v>
      </c>
      <c r="AR550" s="61">
        <f t="shared" si="327"/>
        <v>91.822819736266396</v>
      </c>
      <c r="AS550" s="58" t="str">
        <f t="shared" si="328"/>
        <v>-9.30505473617808E-06+8.94221928923759E-06i</v>
      </c>
      <c r="AT550" s="64">
        <f t="shared" si="329"/>
        <v>-97.78462326707708</v>
      </c>
      <c r="AU550" s="61">
        <f t="shared" si="330"/>
        <v>136.13914004302973</v>
      </c>
    </row>
    <row r="551" spans="14:47" x14ac:dyDescent="0.4">
      <c r="N551" s="10">
        <v>33</v>
      </c>
      <c r="O551" s="50">
        <f t="shared" si="298"/>
        <v>2137962.0895022359</v>
      </c>
      <c r="P551" s="48" t="str">
        <f t="shared" si="299"/>
        <v>5120.19230769231</v>
      </c>
      <c r="Q551" s="17" t="str">
        <f t="shared" si="300"/>
        <v>1+62774.4329442381i</v>
      </c>
      <c r="R551" s="17">
        <f t="shared" si="308"/>
        <v>62774.432952203133</v>
      </c>
      <c r="S551" s="17">
        <f t="shared" si="309"/>
        <v>1.5707803967425964</v>
      </c>
      <c r="T551" s="17" t="str">
        <f t="shared" si="301"/>
        <v>1+0.134197787760793i</v>
      </c>
      <c r="U551" s="17">
        <f t="shared" si="310"/>
        <v>1.0089643433937052</v>
      </c>
      <c r="V551" s="17">
        <f t="shared" si="311"/>
        <v>0.13340079070305749</v>
      </c>
      <c r="W551" s="31" t="str">
        <f t="shared" si="302"/>
        <v>1-217.618034206692i</v>
      </c>
      <c r="X551" s="17">
        <f t="shared" si="312"/>
        <v>217.62033179826045</v>
      </c>
      <c r="Y551" s="17">
        <f t="shared" si="313"/>
        <v>-1.566201151743845</v>
      </c>
      <c r="Z551" s="31" t="str">
        <f t="shared" si="303"/>
        <v>-1827.35275845951+1324.96123194046i</v>
      </c>
      <c r="AA551" s="17">
        <f t="shared" si="314"/>
        <v>2257.1531560784174</v>
      </c>
      <c r="AB551" s="17">
        <f t="shared" si="315"/>
        <v>2.5142376591570601</v>
      </c>
      <c r="AC551" s="66" t="str">
        <f t="shared" si="316"/>
        <v>0.00572176775763888+0.00549701126833956i</v>
      </c>
      <c r="AD551" s="64">
        <f t="shared" si="317"/>
        <v>-42.009645347296065</v>
      </c>
      <c r="AE551" s="61">
        <f t="shared" si="318"/>
        <v>43.852292589755471</v>
      </c>
      <c r="AF551" s="31" t="str">
        <f t="shared" si="304"/>
        <v>-1.39902068552014E-06</v>
      </c>
      <c r="AG551" s="31" t="str">
        <f t="shared" si="305"/>
        <v>0.444209454021413i</v>
      </c>
      <c r="AH551" s="31">
        <f t="shared" si="319"/>
        <v>0.44420945402141299</v>
      </c>
      <c r="AI551" s="31">
        <f t="shared" si="320"/>
        <v>1.5707963267948966</v>
      </c>
      <c r="AJ551" s="31" t="str">
        <f t="shared" si="306"/>
        <v>1+32.0876162780652i</v>
      </c>
      <c r="AK551" s="31">
        <f t="shared" si="321"/>
        <v>32.10319483179758</v>
      </c>
      <c r="AL551" s="31">
        <f t="shared" si="322"/>
        <v>1.5396417394831932</v>
      </c>
      <c r="AM551" s="31" t="str">
        <f t="shared" si="307"/>
        <v>1+15604.0190453391i</v>
      </c>
      <c r="AN551" s="31">
        <f t="shared" si="323"/>
        <v>15604.019077382127</v>
      </c>
      <c r="AO551" s="31">
        <f t="shared" si="324"/>
        <v>1.570732240741443</v>
      </c>
      <c r="AP551" s="58" t="str">
        <f t="shared" si="325"/>
        <v>-0.000047586340983866+0.00153008171131991i</v>
      </c>
      <c r="AQ551" s="49">
        <f t="shared" si="326"/>
        <v>-56.30150886599273</v>
      </c>
      <c r="AR551" s="61">
        <f t="shared" si="327"/>
        <v>91.781354505043907</v>
      </c>
      <c r="AS551" s="58" t="str">
        <f t="shared" si="328"/>
        <v>-8.68315440015132E-06+8.49318954977582E-06i</v>
      </c>
      <c r="AT551" s="64">
        <f t="shared" si="329"/>
        <v>-98.311154213288773</v>
      </c>
      <c r="AU551" s="61">
        <f t="shared" si="330"/>
        <v>135.63364709479939</v>
      </c>
    </row>
    <row r="552" spans="14:47" x14ac:dyDescent="0.4">
      <c r="N552" s="10">
        <v>34</v>
      </c>
      <c r="O552" s="50">
        <f t="shared" si="298"/>
        <v>2187761.6239495561</v>
      </c>
      <c r="P552" s="48" t="str">
        <f t="shared" si="299"/>
        <v>5120.19230769231</v>
      </c>
      <c r="Q552" s="17" t="str">
        <f t="shared" si="300"/>
        <v>1+64236.637326237i</v>
      </c>
      <c r="R552" s="17">
        <f t="shared" si="308"/>
        <v>64236.637334020728</v>
      </c>
      <c r="S552" s="17">
        <f t="shared" si="309"/>
        <v>1.5707807593548571</v>
      </c>
      <c r="T552" s="17" t="str">
        <f t="shared" si="301"/>
        <v>1+0.1373236557952i</v>
      </c>
      <c r="U552" s="17">
        <f t="shared" si="310"/>
        <v>1.0093848554644351</v>
      </c>
      <c r="V552" s="17">
        <f t="shared" si="311"/>
        <v>0.13647008631290675</v>
      </c>
      <c r="W552" s="31" t="str">
        <f t="shared" si="302"/>
        <v>1-222.687009397621i</v>
      </c>
      <c r="X552" s="17">
        <f t="shared" si="312"/>
        <v>222.68925469015372</v>
      </c>
      <c r="Y552" s="17">
        <f t="shared" si="313"/>
        <v>-1.5663057492756518</v>
      </c>
      <c r="Z552" s="31" t="str">
        <f t="shared" si="303"/>
        <v>-1913.52036929056+1355.82354368834i</v>
      </c>
      <c r="AA552" s="17">
        <f t="shared" si="314"/>
        <v>2345.1690099669768</v>
      </c>
      <c r="AB552" s="17">
        <f t="shared" si="315"/>
        <v>2.5251519106440696</v>
      </c>
      <c r="AC552" s="66" t="str">
        <f t="shared" si="316"/>
        <v>0.00555122196601584+0.00524894165075036i</v>
      </c>
      <c r="AD552" s="64">
        <f t="shared" si="317"/>
        <v>-42.338292520078227</v>
      </c>
      <c r="AE552" s="61">
        <f t="shared" si="318"/>
        <v>43.39679595425558</v>
      </c>
      <c r="AF552" s="31" t="str">
        <f t="shared" si="304"/>
        <v>-1.39902068552014E-06</v>
      </c>
      <c r="AG552" s="31" t="str">
        <f t="shared" si="305"/>
        <v>0.454556421404972i</v>
      </c>
      <c r="AH552" s="31">
        <f t="shared" si="319"/>
        <v>0.45455642140497199</v>
      </c>
      <c r="AI552" s="31">
        <f t="shared" si="320"/>
        <v>1.5707963267948966</v>
      </c>
      <c r="AJ552" s="31" t="str">
        <f t="shared" si="306"/>
        <v>1+32.835032876338i</v>
      </c>
      <c r="AK552" s="31">
        <f t="shared" si="321"/>
        <v>32.85025698514697</v>
      </c>
      <c r="AL552" s="31">
        <f t="shared" si="322"/>
        <v>1.5403504612130916</v>
      </c>
      <c r="AM552" s="31" t="str">
        <f t="shared" si="307"/>
        <v>1+15967.4833405109i</v>
      </c>
      <c r="AN552" s="31">
        <f t="shared" si="323"/>
        <v>15967.483371824539</v>
      </c>
      <c r="AO552" s="31">
        <f t="shared" si="324"/>
        <v>1.5707336995181138</v>
      </c>
      <c r="AP552" s="58" t="str">
        <f t="shared" si="325"/>
        <v>-0.000045446587507877+0.001495317966189i</v>
      </c>
      <c r="AQ552" s="49">
        <f t="shared" si="326"/>
        <v>-56.501319204350224</v>
      </c>
      <c r="AR552" s="61">
        <f t="shared" si="327"/>
        <v>91.740831322817968</v>
      </c>
      <c r="AS552" s="58" t="str">
        <f t="shared" si="328"/>
        <v>-8.10112084869895E-06+8.06229545403194E-06i</v>
      </c>
      <c r="AT552" s="64">
        <f t="shared" si="329"/>
        <v>-98.839611724428451</v>
      </c>
      <c r="AU552" s="61">
        <f t="shared" si="330"/>
        <v>135.13762727707356</v>
      </c>
    </row>
    <row r="553" spans="14:47" x14ac:dyDescent="0.4">
      <c r="N553" s="10">
        <v>35</v>
      </c>
      <c r="O553" s="50">
        <f t="shared" si="298"/>
        <v>2238721.1385683389</v>
      </c>
      <c r="P553" s="48" t="str">
        <f t="shared" si="299"/>
        <v>5120.19230769231</v>
      </c>
      <c r="Q553" s="17" t="str">
        <f t="shared" si="300"/>
        <v>1+65732.9008236183i</v>
      </c>
      <c r="R553" s="17">
        <f t="shared" si="308"/>
        <v>65732.900831224848</v>
      </c>
      <c r="S553" s="17">
        <f t="shared" si="309"/>
        <v>1.570781113713055</v>
      </c>
      <c r="T553" s="17" t="str">
        <f t="shared" si="301"/>
        <v>1+0.140522334649602i</v>
      </c>
      <c r="U553" s="17">
        <f t="shared" si="310"/>
        <v>1.0098249979750822</v>
      </c>
      <c r="V553" s="17">
        <f t="shared" si="311"/>
        <v>0.13960819839083877</v>
      </c>
      <c r="W553" s="31" t="str">
        <f t="shared" si="302"/>
        <v>1-227.874056188543i</v>
      </c>
      <c r="X553" s="17">
        <f t="shared" si="312"/>
        <v>227.87625037247577</v>
      </c>
      <c r="Y553" s="17">
        <f t="shared" si="313"/>
        <v>-1.5664079659719012</v>
      </c>
      <c r="Z553" s="31" t="str">
        <f t="shared" si="303"/>
        <v>-2003.74893450908+1387.40473102554i</v>
      </c>
      <c r="AA553" s="17">
        <f t="shared" si="314"/>
        <v>2437.1913507597892</v>
      </c>
      <c r="AB553" s="17">
        <f t="shared" si="315"/>
        <v>2.5359825671751888</v>
      </c>
      <c r="AC553" s="66" t="str">
        <f t="shared" si="316"/>
        <v>0.00538317389929849+0.00501114484586173i</v>
      </c>
      <c r="AD553" s="64">
        <f t="shared" si="317"/>
        <v>-42.668819434913772</v>
      </c>
      <c r="AE553" s="61">
        <f t="shared" si="318"/>
        <v>42.950168734851232</v>
      </c>
      <c r="AF553" s="31" t="str">
        <f t="shared" si="304"/>
        <v>-1.39902068552014E-06</v>
      </c>
      <c r="AG553" s="31" t="str">
        <f t="shared" si="305"/>
        <v>0.465144400619924i</v>
      </c>
      <c r="AH553" s="31">
        <f t="shared" si="319"/>
        <v>0.46514440061992401</v>
      </c>
      <c r="AI553" s="31">
        <f t="shared" si="320"/>
        <v>1.5707963267948966</v>
      </c>
      <c r="AJ553" s="31" t="str">
        <f t="shared" si="306"/>
        <v>1+33.5998590436647i</v>
      </c>
      <c r="AK553" s="31">
        <f t="shared" si="321"/>
        <v>33.614736764611685</v>
      </c>
      <c r="AL553" s="31">
        <f t="shared" si="322"/>
        <v>1.5410430800311732</v>
      </c>
      <c r="AM553" s="31" t="str">
        <f t="shared" si="307"/>
        <v>1+16339.4138067045i</v>
      </c>
      <c r="AN553" s="31">
        <f t="shared" si="323"/>
        <v>16339.413837305352</v>
      </c>
      <c r="AO553" s="31">
        <f t="shared" si="324"/>
        <v>1.5707351250889736</v>
      </c>
      <c r="AP553" s="58" t="str">
        <f t="shared" si="325"/>
        <v>-0.0000434029643272825+0.00146134119609746i</v>
      </c>
      <c r="AQ553" s="49">
        <f t="shared" si="326"/>
        <v>-56.701138071155427</v>
      </c>
      <c r="AR553" s="61">
        <f t="shared" si="327"/>
        <v>91.701228866924225</v>
      </c>
      <c r="AS553" s="58" t="str">
        <f t="shared" si="328"/>
        <v>-7.55663810758801E-06+0.0000076491552438177i</v>
      </c>
      <c r="AT553" s="64">
        <f t="shared" si="329"/>
        <v>-99.369957506069198</v>
      </c>
      <c r="AU553" s="61">
        <f t="shared" si="330"/>
        <v>134.65139760177544</v>
      </c>
    </row>
    <row r="554" spans="14:47" x14ac:dyDescent="0.4">
      <c r="N554" s="10">
        <v>36</v>
      </c>
      <c r="O554" s="50">
        <f t="shared" si="298"/>
        <v>2290867.6527677765</v>
      </c>
      <c r="P554" s="48" t="str">
        <f t="shared" si="299"/>
        <v>5120.19230769231</v>
      </c>
      <c r="Q554" s="17" t="str">
        <f t="shared" si="300"/>
        <v>1+67264.0167750949i</v>
      </c>
      <c r="R554" s="17">
        <f t="shared" si="308"/>
        <v>67264.016782528299</v>
      </c>
      <c r="S554" s="17">
        <f t="shared" si="309"/>
        <v>1.5707814600050753</v>
      </c>
      <c r="T554" s="17" t="str">
        <f t="shared" si="301"/>
        <v>1+0.14379552030587i</v>
      </c>
      <c r="U554" s="17">
        <f t="shared" si="310"/>
        <v>1.0102856782415734</v>
      </c>
      <c r="V554" s="17">
        <f t="shared" si="311"/>
        <v>0.14281654344888867</v>
      </c>
      <c r="W554" s="31" t="str">
        <f t="shared" si="302"/>
        <v>1-233.181924820329i</v>
      </c>
      <c r="X554" s="17">
        <f t="shared" si="312"/>
        <v>233.1840690590023</v>
      </c>
      <c r="Y554" s="17">
        <f t="shared" si="313"/>
        <v>-1.5665078560206898</v>
      </c>
      <c r="Z554" s="31" t="str">
        <f t="shared" si="303"/>
        <v>-2098.22984099911+1419.7215387156i</v>
      </c>
      <c r="AA554" s="17">
        <f t="shared" si="314"/>
        <v>2533.4122667169945</v>
      </c>
      <c r="AB554" s="17">
        <f t="shared" si="315"/>
        <v>2.5467252548952932</v>
      </c>
      <c r="AC554" s="66" t="str">
        <f t="shared" si="316"/>
        <v>0.00521774749192399+0.00478331941157179i</v>
      </c>
      <c r="AD554" s="64">
        <f t="shared" si="317"/>
        <v>-43.001186433161536</v>
      </c>
      <c r="AE554" s="61">
        <f t="shared" si="318"/>
        <v>42.51273957962799</v>
      </c>
      <c r="AF554" s="31" t="str">
        <f t="shared" si="304"/>
        <v>-1.39902068552014E-06</v>
      </c>
      <c r="AG554" s="31" t="str">
        <f t="shared" si="305"/>
        <v>0.475979005553001i</v>
      </c>
      <c r="AH554" s="31">
        <f t="shared" si="319"/>
        <v>0.47597900555300099</v>
      </c>
      <c r="AI554" s="31">
        <f t="shared" si="320"/>
        <v>1.5707963267948966</v>
      </c>
      <c r="AJ554" s="31" t="str">
        <f t="shared" si="306"/>
        <v>1+34.3825003010034i</v>
      </c>
      <c r="AK554" s="31">
        <f t="shared" si="321"/>
        <v>34.397039508488206</v>
      </c>
      <c r="AL554" s="31">
        <f t="shared" si="322"/>
        <v>1.5417199605134737</v>
      </c>
      <c r="AM554" s="31" t="str">
        <f t="shared" si="307"/>
        <v>1+16720.0076463762i</v>
      </c>
      <c r="AN554" s="31">
        <f t="shared" si="323"/>
        <v>16720.007676280493</v>
      </c>
      <c r="AO554" s="31">
        <f t="shared" si="324"/>
        <v>1.5707365182098794</v>
      </c>
      <c r="AP554" s="58" t="str">
        <f t="shared" si="325"/>
        <v>-0.000041451160198074+0.0014281337767129i</v>
      </c>
      <c r="AQ554" s="49">
        <f t="shared" si="326"/>
        <v>-56.900965083244756</v>
      </c>
      <c r="AR554" s="61">
        <f t="shared" si="327"/>
        <v>91.662526292001886</v>
      </c>
      <c r="AS554" s="58" t="str">
        <f t="shared" si="328"/>
        <v>-7.04750170363299E-06+7.25336729236805E-06i</v>
      </c>
      <c r="AT554" s="64">
        <f t="shared" si="329"/>
        <v>-99.902151516406292</v>
      </c>
      <c r="AU554" s="61">
        <f t="shared" si="330"/>
        <v>134.1752658716299</v>
      </c>
    </row>
    <row r="555" spans="14:47" x14ac:dyDescent="0.4">
      <c r="N555" s="10">
        <v>37</v>
      </c>
      <c r="O555" s="50">
        <f t="shared" si="298"/>
        <v>2344228.8153199251</v>
      </c>
      <c r="P555" s="48" t="str">
        <f t="shared" si="299"/>
        <v>5120.19230769231</v>
      </c>
      <c r="Q555" s="17" t="str">
        <f t="shared" si="300"/>
        <v>1+68830.7969986097i</v>
      </c>
      <c r="R555" s="17">
        <f t="shared" si="308"/>
        <v>68830.797005873887</v>
      </c>
      <c r="S555" s="17">
        <f t="shared" si="309"/>
        <v>1.5707817984145271</v>
      </c>
      <c r="T555" s="17" t="str">
        <f t="shared" si="301"/>
        <v>1+0.147144948250361i</v>
      </c>
      <c r="U555" s="17">
        <f t="shared" si="310"/>
        <v>1.0107678446585058</v>
      </c>
      <c r="V555" s="17">
        <f t="shared" si="311"/>
        <v>0.14609655825566162</v>
      </c>
      <c r="W555" s="31" t="str">
        <f t="shared" si="302"/>
        <v>1-238.61342959518i</v>
      </c>
      <c r="X555" s="17">
        <f t="shared" si="312"/>
        <v>238.61552502545581</v>
      </c>
      <c r="Y555" s="17">
        <f t="shared" si="313"/>
        <v>-1.566605472377065</v>
      </c>
      <c r="Z555" s="31" t="str">
        <f t="shared" si="303"/>
        <v>-2197.16349543052+1452.79110155773i</v>
      </c>
      <c r="AA555" s="17">
        <f t="shared" si="314"/>
        <v>2634.0329174894123</v>
      </c>
      <c r="AB555" s="17">
        <f t="shared" si="315"/>
        <v>2.5573757970405064</v>
      </c>
      <c r="AC555" s="66" t="str">
        <f t="shared" si="316"/>
        <v>0.0050550568714038+0.00456516336336535i</v>
      </c>
      <c r="AD555" s="64">
        <f t="shared" si="317"/>
        <v>-43.335352190288042</v>
      </c>
      <c r="AE555" s="61">
        <f t="shared" si="318"/>
        <v>42.084827075684494</v>
      </c>
      <c r="AF555" s="31" t="str">
        <f t="shared" si="304"/>
        <v>-1.39902068552014E-06</v>
      </c>
      <c r="AG555" s="31" t="str">
        <f t="shared" si="305"/>
        <v>0.487065980855148i</v>
      </c>
      <c r="AH555" s="31">
        <f t="shared" si="319"/>
        <v>0.48706598085514802</v>
      </c>
      <c r="AI555" s="31">
        <f t="shared" si="320"/>
        <v>1.5707963267948966</v>
      </c>
      <c r="AJ555" s="31" t="str">
        <f t="shared" si="306"/>
        <v>1+35.1833716151077i</v>
      </c>
      <c r="AK555" s="31">
        <f t="shared" si="321"/>
        <v>35.197580004977134</v>
      </c>
      <c r="AL555" s="31">
        <f t="shared" si="322"/>
        <v>1.5423814590685685</v>
      </c>
      <c r="AM555" s="31" t="str">
        <f t="shared" si="307"/>
        <v>1+17109.4666554174i</v>
      </c>
      <c r="AN555" s="31">
        <f t="shared" si="323"/>
        <v>17109.466684640989</v>
      </c>
      <c r="AO555" s="31">
        <f t="shared" si="324"/>
        <v>1.570737879619482</v>
      </c>
      <c r="AP555" s="58" t="str">
        <f t="shared" si="325"/>
        <v>-0.0000395870565677081+0.00139567846562634i</v>
      </c>
      <c r="AQ555" s="49">
        <f t="shared" si="326"/>
        <v>-57.100799874640025</v>
      </c>
      <c r="AR555" s="61">
        <f t="shared" si="327"/>
        <v>91.624703219665363</v>
      </c>
      <c r="AS555" s="58" t="str">
        <f t="shared" si="328"/>
        <v>-6.57161502063658E-06+6.87451263762837E-06i</v>
      </c>
      <c r="AT555" s="64">
        <f t="shared" si="329"/>
        <v>-100.43615206492805</v>
      </c>
      <c r="AU555" s="61">
        <f t="shared" si="330"/>
        <v>133.70953029534988</v>
      </c>
    </row>
    <row r="556" spans="14:47" x14ac:dyDescent="0.4">
      <c r="N556" s="10">
        <v>38</v>
      </c>
      <c r="O556" s="50">
        <f t="shared" si="298"/>
        <v>2398832.9190194933</v>
      </c>
      <c r="P556" s="48" t="str">
        <f t="shared" si="299"/>
        <v>5120.19230769231</v>
      </c>
      <c r="Q556" s="17" t="str">
        <f t="shared" si="300"/>
        <v>1+70434.0722217763i</v>
      </c>
      <c r="R556" s="17">
        <f t="shared" si="308"/>
        <v>70434.072228875128</v>
      </c>
      <c r="S556" s="17">
        <f t="shared" si="309"/>
        <v>1.5707821291208393</v>
      </c>
      <c r="T556" s="17" t="str">
        <f t="shared" si="301"/>
        <v>1+0.150572394394109i</v>
      </c>
      <c r="U556" s="17">
        <f t="shared" si="310"/>
        <v>1.0112724884785382</v>
      </c>
      <c r="V556" s="17">
        <f t="shared" si="311"/>
        <v>0.14944969946720277</v>
      </c>
      <c r="W556" s="31" t="str">
        <f t="shared" si="302"/>
        <v>1-244.171450368824i</v>
      </c>
      <c r="X556" s="17">
        <f t="shared" si="312"/>
        <v>244.1734981016881</v>
      </c>
      <c r="Y556" s="17">
        <f t="shared" si="313"/>
        <v>-1.5667008667910658</v>
      </c>
      <c r="Z556" s="31" t="str">
        <f t="shared" si="303"/>
        <v>-2300.75974934864+1486.63095347186i</v>
      </c>
      <c r="AA556" s="17">
        <f t="shared" si="314"/>
        <v>2739.2639551608509</v>
      </c>
      <c r="AB556" s="17">
        <f t="shared" si="315"/>
        <v>2.567930219139881</v>
      </c>
      <c r="AC556" s="66" t="str">
        <f t="shared" si="316"/>
        <v>0.00489520626449521+0.00435637481663039i</v>
      </c>
      <c r="AD556" s="64">
        <f t="shared" si="317"/>
        <v>-43.671273816615688</v>
      </c>
      <c r="AE556" s="61">
        <f t="shared" si="318"/>
        <v>41.66673942833603</v>
      </c>
      <c r="AF556" s="31" t="str">
        <f t="shared" si="304"/>
        <v>-1.39902068552014E-06</v>
      </c>
      <c r="AG556" s="31" t="str">
        <f t="shared" si="305"/>
        <v>0.498411204987425i</v>
      </c>
      <c r="AH556" s="31">
        <f t="shared" si="319"/>
        <v>0.49841120498742503</v>
      </c>
      <c r="AI556" s="31">
        <f t="shared" si="320"/>
        <v>1.5707963267948966</v>
      </c>
      <c r="AJ556" s="31" t="str">
        <f t="shared" si="306"/>
        <v>1+36.0028976185492i</v>
      </c>
      <c r="AK556" s="31">
        <f t="shared" si="321"/>
        <v>36.016782712115408</v>
      </c>
      <c r="AL556" s="31">
        <f t="shared" si="322"/>
        <v>1.5430279241147524</v>
      </c>
      <c r="AM556" s="31" t="str">
        <f t="shared" si="307"/>
        <v>1+17507.9973301498i</v>
      </c>
      <c r="AN556" s="31">
        <f t="shared" si="323"/>
        <v>17507.997358708177</v>
      </c>
      <c r="AO556" s="31">
        <f t="shared" si="324"/>
        <v>1.5707392100396187</v>
      </c>
      <c r="AP556" s="58" t="str">
        <f t="shared" si="325"/>
        <v>-0.0000378067190207028+0.00136395839493712i</v>
      </c>
      <c r="AQ556" s="49">
        <f t="shared" si="326"/>
        <v>-57.300642095780333</v>
      </c>
      <c r="AR556" s="61">
        <f t="shared" si="327"/>
        <v>91.587739728375112</v>
      </c>
      <c r="AS556" s="58" t="str">
        <f t="shared" si="328"/>
        <v>-6.12698569042583E-06+6.51215744076581E-06i</v>
      </c>
      <c r="AT556" s="64">
        <f t="shared" si="329"/>
        <v>-100.97191591239604</v>
      </c>
      <c r="AU556" s="61">
        <f t="shared" si="330"/>
        <v>133.25447915671111</v>
      </c>
    </row>
    <row r="557" spans="14:47" x14ac:dyDescent="0.4">
      <c r="N557" s="10">
        <v>39</v>
      </c>
      <c r="O557" s="50">
        <f t="shared" si="298"/>
        <v>2454708.915685033</v>
      </c>
      <c r="P557" s="48" t="str">
        <f t="shared" si="299"/>
        <v>5120.19230769231</v>
      </c>
      <c r="Q557" s="17" t="str">
        <f t="shared" si="300"/>
        <v>1+72074.69252234i</v>
      </c>
      <c r="R557" s="17">
        <f t="shared" si="308"/>
        <v>72074.69252927725</v>
      </c>
      <c r="S557" s="17">
        <f t="shared" si="309"/>
        <v>1.5707824522993568</v>
      </c>
      <c r="T557" s="17" t="str">
        <f t="shared" si="301"/>
        <v>1+0.154079676014425i</v>
      </c>
      <c r="U557" s="17">
        <f t="shared" si="310"/>
        <v>1.0118006456613429</v>
      </c>
      <c r="V557" s="17">
        <f t="shared" si="311"/>
        <v>0.15287744319721219</v>
      </c>
      <c r="W557" s="31" t="str">
        <f t="shared" si="302"/>
        <v>1-249.858934077445i</v>
      </c>
      <c r="X557" s="17">
        <f t="shared" si="312"/>
        <v>249.86093519859605</v>
      </c>
      <c r="Y557" s="17">
        <f t="shared" si="313"/>
        <v>-1.5667940898351242</v>
      </c>
      <c r="Z557" s="31" t="str">
        <f t="shared" si="303"/>
        <v>-2409.23834429743+1521.2590367954i</v>
      </c>
      <c r="AA557" s="17">
        <f t="shared" si="314"/>
        <v>2849.3259653231485</v>
      </c>
      <c r="AB557" s="17">
        <f t="shared" si="315"/>
        <v>2.5783847532317492</v>
      </c>
      <c r="AC557" s="66" t="str">
        <f t="shared" si="316"/>
        <v>0.00473828996404081+0.00415665262216257i</v>
      </c>
      <c r="AD557" s="64">
        <f t="shared" si="317"/>
        <v>-44.008906958604143</v>
      </c>
      <c r="AE557" s="61">
        <f t="shared" si="318"/>
        <v>41.258774193335313</v>
      </c>
      <c r="AF557" s="31" t="str">
        <f t="shared" si="304"/>
        <v>-1.39902068552014E-06</v>
      </c>
      <c r="AG557" s="31" t="str">
        <f t="shared" si="305"/>
        <v>0.510020693337838i</v>
      </c>
      <c r="AH557" s="31">
        <f t="shared" si="319"/>
        <v>0.51002069333783795</v>
      </c>
      <c r="AI557" s="31">
        <f t="shared" si="320"/>
        <v>1.5707963267948966</v>
      </c>
      <c r="AJ557" s="31" t="str">
        <f t="shared" si="306"/>
        <v>1+36.8415128348628i</v>
      </c>
      <c r="AK557" s="31">
        <f t="shared" si="321"/>
        <v>36.855081982833255</v>
      </c>
      <c r="AL557" s="31">
        <f t="shared" si="322"/>
        <v>1.5436596962537628</v>
      </c>
      <c r="AM557" s="31" t="str">
        <f t="shared" si="307"/>
        <v>1+17915.8109768124i</v>
      </c>
      <c r="AN557" s="31">
        <f t="shared" si="323"/>
        <v>17915.811004720712</v>
      </c>
      <c r="AO557" s="31">
        <f t="shared" si="324"/>
        <v>1.5707405101756962</v>
      </c>
      <c r="AP557" s="58" t="str">
        <f t="shared" si="325"/>
        <v>-0.0000361063890988993+0.001332957063922i</v>
      </c>
      <c r="AQ557" s="49">
        <f t="shared" si="326"/>
        <v>-57.500491412788008</v>
      </c>
      <c r="AR557" s="61">
        <f t="shared" si="327"/>
        <v>91.551616343505898</v>
      </c>
      <c r="AS557" s="58" t="str">
        <f t="shared" si="328"/>
        <v>-5.71172201608657E-06+6.16585536155416E-06i</v>
      </c>
      <c r="AT557" s="64">
        <f t="shared" si="329"/>
        <v>-101.50939837139214</v>
      </c>
      <c r="AU557" s="61">
        <f t="shared" si="330"/>
        <v>132.8103905368412</v>
      </c>
    </row>
    <row r="558" spans="14:47" x14ac:dyDescent="0.4">
      <c r="N558" s="10">
        <v>40</v>
      </c>
      <c r="O558" s="50">
        <f t="shared" si="298"/>
        <v>2511886.431509587</v>
      </c>
      <c r="P558" s="48" t="str">
        <f t="shared" si="299"/>
        <v>5120.19230769231</v>
      </c>
      <c r="Q558" s="17" t="str">
        <f t="shared" si="300"/>
        <v>1+73753.5277789009i</v>
      </c>
      <c r="R558" s="17">
        <f t="shared" si="308"/>
        <v>73753.527785680242</v>
      </c>
      <c r="S558" s="17">
        <f t="shared" si="309"/>
        <v>1.570782768121433</v>
      </c>
      <c r="T558" s="17" t="str">
        <f t="shared" si="301"/>
        <v>1+0.157668652718451i</v>
      </c>
      <c r="U558" s="17">
        <f t="shared" si="310"/>
        <v>1.0123533987941422</v>
      </c>
      <c r="V558" s="17">
        <f t="shared" si="311"/>
        <v>0.15638128452243386</v>
      </c>
      <c r="W558" s="31" t="str">
        <f t="shared" si="302"/>
        <v>1-255.67889630019i</v>
      </c>
      <c r="X558" s="17">
        <f t="shared" si="312"/>
        <v>255.68085187061487</v>
      </c>
      <c r="Y558" s="17">
        <f t="shared" si="313"/>
        <v>-1.5668851909308472</v>
      </c>
      <c r="Z558" s="31" t="str">
        <f t="shared" si="303"/>
        <v>-2522.82937792079+1556.69371179651i</v>
      </c>
      <c r="AA558" s="17">
        <f t="shared" si="314"/>
        <v>2964.4499291516117</v>
      </c>
      <c r="AB558" s="17">
        <f t="shared" si="315"/>
        <v>2.588735841110549</v>
      </c>
      <c r="AC558" s="66" t="str">
        <f t="shared" si="316"/>
        <v>0.00458439235392299+0.00396569698932573i</v>
      </c>
      <c r="AD558" s="64">
        <f t="shared" si="317"/>
        <v>-44.348205899956113</v>
      </c>
      <c r="AE558" s="61">
        <f t="shared" si="318"/>
        <v>40.861218060963814</v>
      </c>
      <c r="AF558" s="31" t="str">
        <f t="shared" si="304"/>
        <v>-1.39902068552014E-06</v>
      </c>
      <c r="AG558" s="31" t="str">
        <f t="shared" si="305"/>
        <v>0.521900601410782i</v>
      </c>
      <c r="AH558" s="31">
        <f t="shared" si="319"/>
        <v>0.52190060141078198</v>
      </c>
      <c r="AI558" s="31">
        <f t="shared" si="320"/>
        <v>1.5707963267948966</v>
      </c>
      <c r="AJ558" s="31" t="str">
        <f t="shared" si="306"/>
        <v>1+37.6996619089367i</v>
      </c>
      <c r="AK558" s="31">
        <f t="shared" si="321"/>
        <v>37.712922295257528</v>
      </c>
      <c r="AL558" s="31">
        <f t="shared" si="322"/>
        <v>1.5442771084410911</v>
      </c>
      <c r="AM558" s="31" t="str">
        <f t="shared" si="307"/>
        <v>1+18333.1238235988i</v>
      </c>
      <c r="AN558" s="31">
        <f t="shared" si="323"/>
        <v>18333.123850871838</v>
      </c>
      <c r="AO558" s="31">
        <f t="shared" si="324"/>
        <v>1.5707417807170634</v>
      </c>
      <c r="AP558" s="58" t="str">
        <f t="shared" si="325"/>
        <v>-0.000034482476480421+0.00130265833179211i</v>
      </c>
      <c r="AQ558" s="49">
        <f t="shared" si="326"/>
        <v>-57.700347506766825</v>
      </c>
      <c r="AR558" s="61">
        <f t="shared" si="327"/>
        <v>91.516314027610093</v>
      </c>
      <c r="AS558" s="58" t="str">
        <f t="shared" si="328"/>
        <v>-5.32402942602922E-06+5.83514984287893E-06i</v>
      </c>
      <c r="AT558" s="64">
        <f t="shared" si="329"/>
        <v>-102.04855340672295</v>
      </c>
      <c r="AU558" s="61">
        <f t="shared" si="330"/>
        <v>132.3775320885739</v>
      </c>
    </row>
    <row r="559" spans="14:47" x14ac:dyDescent="0.4">
      <c r="N559" s="10">
        <v>41</v>
      </c>
      <c r="O559" s="50">
        <f t="shared" si="298"/>
        <v>2570395.782768866</v>
      </c>
      <c r="P559" s="48" t="str">
        <f t="shared" si="299"/>
        <v>5120.19230769231</v>
      </c>
      <c r="Q559" s="17" t="str">
        <f t="shared" si="300"/>
        <v>1+75471.4681321331i</v>
      </c>
      <c r="R559" s="17">
        <f t="shared" si="308"/>
        <v>75471.468138758122</v>
      </c>
      <c r="S559" s="17">
        <f t="shared" si="309"/>
        <v>1.5707830767545212</v>
      </c>
      <c r="T559" s="17" t="str">
        <f t="shared" si="301"/>
        <v>1+0.161341227429138i</v>
      </c>
      <c r="U559" s="17">
        <f t="shared" si="310"/>
        <v>1.0129318790858253</v>
      </c>
      <c r="V559" s="17">
        <f t="shared" si="311"/>
        <v>0.15996273691876331</v>
      </c>
      <c r="W559" s="31" t="str">
        <f t="shared" si="302"/>
        <v>1-261.634422858061i</v>
      </c>
      <c r="X559" s="17">
        <f t="shared" si="312"/>
        <v>261.63633391459729</v>
      </c>
      <c r="Y559" s="17">
        <f t="shared" si="313"/>
        <v>-1.5669742183751896</v>
      </c>
      <c r="Z559" s="31" t="str">
        <f t="shared" si="303"/>
        <v>-2641.77379203039+1592.95376640888i</v>
      </c>
      <c r="AA559" s="17">
        <f t="shared" si="314"/>
        <v>3084.8777074909895</v>
      </c>
      <c r="AB559" s="17">
        <f t="shared" si="315"/>
        <v>2.598980136626948</v>
      </c>
      <c r="AC559" s="66" t="str">
        <f t="shared" si="316"/>
        <v>0.00443358798908534+0.00378321009180137i</v>
      </c>
      <c r="AD559" s="64">
        <f t="shared" si="317"/>
        <v>-44.689123661872642</v>
      </c>
      <c r="AE559" s="61">
        <f t="shared" si="318"/>
        <v>40.47434669043092</v>
      </c>
      <c r="AF559" s="31" t="str">
        <f t="shared" si="304"/>
        <v>-1.39902068552014E-06</v>
      </c>
      <c r="AG559" s="31" t="str">
        <f t="shared" si="305"/>
        <v>0.534057228090764i</v>
      </c>
      <c r="AH559" s="31">
        <f t="shared" si="319"/>
        <v>0.53405722809076395</v>
      </c>
      <c r="AI559" s="31">
        <f t="shared" si="320"/>
        <v>1.5707963267948966</v>
      </c>
      <c r="AJ559" s="31" t="str">
        <f t="shared" si="306"/>
        <v>1+38.5777998427685i</v>
      </c>
      <c r="AK559" s="31">
        <f t="shared" si="321"/>
        <v>38.590758488383059</v>
      </c>
      <c r="AL559" s="31">
        <f t="shared" si="322"/>
        <v>1.5448804861529235</v>
      </c>
      <c r="AM559" s="31" t="str">
        <f t="shared" si="307"/>
        <v>1+18760.157135304i</v>
      </c>
      <c r="AN559" s="31">
        <f t="shared" si="323"/>
        <v>18760.157161956227</v>
      </c>
      <c r="AO559" s="31">
        <f t="shared" si="324"/>
        <v>1.5707430223373784</v>
      </c>
      <c r="AP559" s="58" t="str">
        <f t="shared" si="325"/>
        <v>-0.0000329315515020185+0.00127304641054086i</v>
      </c>
      <c r="AQ559" s="49">
        <f t="shared" si="326"/>
        <v>-57.900210073132016</v>
      </c>
      <c r="AR559" s="61">
        <f t="shared" si="327"/>
        <v>91.481814170873633</v>
      </c>
      <c r="AS559" s="58" t="str">
        <f t="shared" si="328"/>
        <v>-4.96220695889099E-06+5.51957629734105E-06i</v>
      </c>
      <c r="AT559" s="64">
        <f t="shared" si="329"/>
        <v>-102.58933373500466</v>
      </c>
      <c r="AU559" s="61">
        <f t="shared" si="330"/>
        <v>131.95616086130457</v>
      </c>
    </row>
    <row r="560" spans="14:47" ht="15" thickBot="1" x14ac:dyDescent="0.45">
      <c r="N560" s="10">
        <v>42</v>
      </c>
      <c r="O560" s="50">
        <f t="shared" si="298"/>
        <v>2630267.9918953842</v>
      </c>
      <c r="P560" s="48" t="str">
        <f t="shared" si="299"/>
        <v>5120.19230769231</v>
      </c>
      <c r="Q560" s="17" t="str">
        <f t="shared" si="300"/>
        <v>1+77229.4244567519i</v>
      </c>
      <c r="R560" s="17">
        <f t="shared" si="308"/>
        <v>77229.424463226125</v>
      </c>
      <c r="S560" s="17">
        <f t="shared" si="309"/>
        <v>1.5707833783622627</v>
      </c>
      <c r="T560" s="17" t="str">
        <f t="shared" si="301"/>
        <v>1+0.165099347394212i</v>
      </c>
      <c r="U560" s="17">
        <f t="shared" si="310"/>
        <v>1.0135372684366346</v>
      </c>
      <c r="V560" s="17">
        <f t="shared" si="311"/>
        <v>0.16362333162349998</v>
      </c>
      <c r="W560" s="31" t="str">
        <f t="shared" si="302"/>
        <v>1-267.728671450073i</v>
      </c>
      <c r="X560" s="17">
        <f t="shared" si="312"/>
        <v>267.73053900595869</v>
      </c>
      <c r="Y560" s="17">
        <f t="shared" si="313"/>
        <v>-1.5670612193660323</v>
      </c>
      <c r="Z560" s="31" t="str">
        <f t="shared" si="303"/>
        <v>-2766.32388367575+1630.05842619344i</v>
      </c>
      <c r="AA560" s="17">
        <f t="shared" si="314"/>
        <v>3210.8625480077962</v>
      </c>
      <c r="AB560" s="17">
        <f t="shared" si="315"/>
        <v>2.6091145070706645</v>
      </c>
      <c r="AC560" s="59" t="str">
        <f t="shared" si="316"/>
        <v>0.00428594172715103+0.00360889665136284i</v>
      </c>
      <c r="AD560" s="65">
        <f t="shared" si="317"/>
        <v>-45.031612101824464</v>
      </c>
      <c r="AE560" s="63">
        <f t="shared" si="318"/>
        <v>40.098424592633933</v>
      </c>
      <c r="AF560" s="31" t="str">
        <f t="shared" si="304"/>
        <v>-1.39902068552014E-06</v>
      </c>
      <c r="AG560" s="31" t="str">
        <f t="shared" si="305"/>
        <v>0.546497018982163i</v>
      </c>
      <c r="AH560" s="31">
        <f t="shared" si="319"/>
        <v>0.54649701898216296</v>
      </c>
      <c r="AI560" s="31">
        <f t="shared" si="320"/>
        <v>1.5707963267948966</v>
      </c>
      <c r="AJ560" s="31" t="str">
        <f t="shared" si="306"/>
        <v>1+39.4763922367145i</v>
      </c>
      <c r="AK560" s="31">
        <f t="shared" si="321"/>
        <v>39.489056003238836</v>
      </c>
      <c r="AL560" s="31">
        <f t="shared" si="322"/>
        <v>1.5454701475497554</v>
      </c>
      <c r="AM560" s="31" t="str">
        <f t="shared" si="307"/>
        <v>1+19197.1373306423i</v>
      </c>
      <c r="AN560" s="31">
        <f t="shared" si="323"/>
        <v>19197.13735668785</v>
      </c>
      <c r="AO560" s="31">
        <f t="shared" si="324"/>
        <v>1.5707442356949648</v>
      </c>
      <c r="AP560" s="62" t="str">
        <f t="shared" si="325"/>
        <v>-0.0000314503380100976+0.00124410585788575i</v>
      </c>
      <c r="AQ560" s="55">
        <f t="shared" si="326"/>
        <v>-58.100078820969614</v>
      </c>
      <c r="AR560" s="63">
        <f t="shared" si="327"/>
        <v>91.448098581762125</v>
      </c>
      <c r="AS560" s="62" t="str">
        <f t="shared" si="328"/>
        <v>-4.62464378047526E-06+5.21866418977669E-06i</v>
      </c>
      <c r="AT560" s="65">
        <f t="shared" si="329"/>
        <v>-103.13169092279408</v>
      </c>
      <c r="AU560" s="63">
        <f t="shared" si="330"/>
        <v>131.5465231743961</v>
      </c>
    </row>
    <row r="561" spans="14:31" x14ac:dyDescent="0.4">
      <c r="N561" s="10"/>
      <c r="P561" s="48"/>
      <c r="Q561" s="17"/>
      <c r="R561" s="17"/>
      <c r="S561" s="17"/>
      <c r="T561" s="17"/>
      <c r="U561" s="17"/>
      <c r="V561" s="17"/>
      <c r="W561" s="31"/>
      <c r="X561" s="17"/>
      <c r="Y561" s="17"/>
      <c r="Z561" s="31"/>
      <c r="AA561" s="17"/>
      <c r="AB561" s="17"/>
      <c r="AC561" s="17"/>
      <c r="AD561" s="32"/>
      <c r="AE561" s="31"/>
    </row>
    <row r="562" spans="14:31" x14ac:dyDescent="0.4">
      <c r="N562" s="10"/>
      <c r="P562" s="48"/>
      <c r="Q562" s="17"/>
      <c r="R562" s="17"/>
      <c r="S562" s="17"/>
      <c r="T562" s="17"/>
      <c r="U562" s="17"/>
      <c r="V562" s="17"/>
      <c r="W562" s="31"/>
      <c r="X562" s="17"/>
      <c r="Y562" s="17"/>
      <c r="Z562" s="31"/>
      <c r="AA562" s="17"/>
      <c r="AB562" s="17"/>
      <c r="AC562" s="17"/>
      <c r="AD562" s="32"/>
      <c r="AE562" s="31"/>
    </row>
    <row r="563" spans="14:31" x14ac:dyDescent="0.4">
      <c r="N563" s="10"/>
      <c r="P563" s="48"/>
      <c r="Q563" s="17"/>
      <c r="R563" s="17"/>
      <c r="S563" s="17"/>
      <c r="T563" s="17"/>
      <c r="U563" s="17"/>
      <c r="V563" s="17"/>
      <c r="W563" s="31"/>
      <c r="X563" s="17"/>
      <c r="Y563" s="17"/>
      <c r="Z563" s="31"/>
      <c r="AA563" s="17"/>
      <c r="AB563" s="17"/>
      <c r="AC563" s="17"/>
      <c r="AD563" s="32"/>
      <c r="AE563" s="31"/>
    </row>
    <row r="564" spans="14:31" x14ac:dyDescent="0.4">
      <c r="N564" s="10"/>
      <c r="P564" s="48"/>
      <c r="Q564" s="17"/>
      <c r="R564" s="17"/>
      <c r="S564" s="17"/>
      <c r="T564" s="17"/>
      <c r="U564" s="17"/>
      <c r="V564" s="17"/>
      <c r="W564" s="31"/>
      <c r="X564" s="17"/>
      <c r="Y564" s="17"/>
      <c r="Z564" s="31"/>
      <c r="AA564" s="17"/>
      <c r="AB564" s="17"/>
      <c r="AC564" s="17"/>
      <c r="AD564" s="32"/>
      <c r="AE564" s="31"/>
    </row>
    <row r="565" spans="14:31" x14ac:dyDescent="0.4">
      <c r="N565" s="10"/>
      <c r="P565" s="48"/>
      <c r="Q565" s="17"/>
      <c r="R565" s="17"/>
      <c r="S565" s="17"/>
      <c r="T565" s="17"/>
      <c r="U565" s="17"/>
      <c r="V565" s="17"/>
      <c r="W565" s="31"/>
      <c r="X565" s="17"/>
      <c r="Y565" s="17"/>
      <c r="Z565" s="31"/>
      <c r="AA565" s="17"/>
      <c r="AB565" s="17"/>
      <c r="AC565" s="17"/>
      <c r="AD565" s="32"/>
      <c r="AE565" s="31"/>
    </row>
    <row r="566" spans="14:31" x14ac:dyDescent="0.4">
      <c r="N566" s="10"/>
      <c r="P566" s="48"/>
      <c r="Q566" s="17"/>
      <c r="R566" s="17"/>
      <c r="S566" s="17"/>
      <c r="T566" s="17"/>
      <c r="U566" s="17"/>
      <c r="V566" s="17"/>
      <c r="W566" s="31"/>
      <c r="X566" s="17"/>
      <c r="Y566" s="17"/>
      <c r="Z566" s="31"/>
      <c r="AA566" s="17"/>
      <c r="AB566" s="17"/>
      <c r="AC566" s="17"/>
      <c r="AD566" s="32"/>
      <c r="AE566" s="31"/>
    </row>
    <row r="567" spans="14:31" x14ac:dyDescent="0.4">
      <c r="N567" s="10"/>
      <c r="P567" s="48"/>
      <c r="Q567" s="17"/>
      <c r="R567" s="17"/>
      <c r="S567" s="17"/>
      <c r="T567" s="17"/>
      <c r="U567" s="17"/>
      <c r="V567" s="17"/>
      <c r="W567" s="31"/>
      <c r="X567" s="17"/>
      <c r="Y567" s="17"/>
      <c r="Z567" s="31"/>
      <c r="AA567" s="17"/>
      <c r="AB567" s="17"/>
      <c r="AC567" s="17"/>
      <c r="AD567" s="32"/>
      <c r="AE567" s="31"/>
    </row>
    <row r="568" spans="14:31" x14ac:dyDescent="0.4">
      <c r="N568" s="10"/>
      <c r="P568" s="48"/>
      <c r="Q568" s="17"/>
      <c r="R568" s="17"/>
      <c r="S568" s="17"/>
      <c r="T568" s="17"/>
      <c r="U568" s="17"/>
      <c r="V568" s="17"/>
      <c r="W568" s="31"/>
      <c r="X568" s="17"/>
      <c r="Y568" s="17"/>
      <c r="Z568" s="31"/>
      <c r="AA568" s="17"/>
      <c r="AB568" s="17"/>
      <c r="AC568" s="17"/>
      <c r="AD568" s="32"/>
      <c r="AE568" s="31"/>
    </row>
    <row r="569" spans="14:31" x14ac:dyDescent="0.4">
      <c r="N569" s="10"/>
      <c r="P569" s="48"/>
      <c r="Q569" s="17"/>
      <c r="R569" s="17"/>
      <c r="S569" s="17"/>
      <c r="T569" s="17"/>
      <c r="U569" s="17"/>
      <c r="V569" s="17"/>
      <c r="W569" s="31"/>
      <c r="X569" s="17"/>
      <c r="Y569" s="17"/>
      <c r="Z569" s="31"/>
      <c r="AA569" s="17"/>
      <c r="AB569" s="17"/>
      <c r="AC569" s="17"/>
      <c r="AD569" s="32"/>
      <c r="AE569" s="31"/>
    </row>
    <row r="570" spans="14:31" x14ac:dyDescent="0.4">
      <c r="N570" s="10"/>
      <c r="P570" s="48"/>
      <c r="Q570" s="17"/>
      <c r="R570" s="17"/>
      <c r="S570" s="17"/>
      <c r="T570" s="17"/>
      <c r="U570" s="17"/>
      <c r="V570" s="17"/>
      <c r="W570" s="31"/>
      <c r="X570" s="17"/>
      <c r="Y570" s="17"/>
      <c r="Z570" s="31"/>
      <c r="AA570" s="17"/>
      <c r="AB570" s="17"/>
      <c r="AC570" s="17"/>
      <c r="AD570" s="32"/>
      <c r="AE570" s="31"/>
    </row>
    <row r="571" spans="14:31" x14ac:dyDescent="0.4">
      <c r="N571" s="10"/>
      <c r="P571" s="48"/>
      <c r="Q571" s="17"/>
      <c r="R571" s="17"/>
      <c r="S571" s="17"/>
      <c r="T571" s="17"/>
      <c r="U571" s="17"/>
      <c r="V571" s="17"/>
      <c r="W571" s="31"/>
      <c r="X571" s="17"/>
      <c r="Y571" s="17"/>
      <c r="Z571" s="31"/>
      <c r="AA571" s="17"/>
      <c r="AB571" s="17"/>
      <c r="AC571" s="17"/>
      <c r="AD571" s="32"/>
      <c r="AE571" s="31"/>
    </row>
    <row r="572" spans="14:31" x14ac:dyDescent="0.4">
      <c r="N572" s="10"/>
      <c r="P572" s="48"/>
      <c r="Q572" s="17"/>
      <c r="R572" s="17"/>
      <c r="S572" s="17"/>
      <c r="T572" s="17"/>
      <c r="U572" s="17"/>
      <c r="V572" s="17"/>
      <c r="W572" s="31"/>
      <c r="X572" s="17"/>
      <c r="Y572" s="17"/>
      <c r="Z572" s="31"/>
      <c r="AA572" s="17"/>
      <c r="AB572" s="17"/>
      <c r="AC572" s="17"/>
      <c r="AD572" s="32"/>
      <c r="AE572" s="31"/>
    </row>
    <row r="573" spans="14:31" x14ac:dyDescent="0.4">
      <c r="N573" s="10"/>
      <c r="P573" s="48"/>
      <c r="Q573" s="17"/>
      <c r="R573" s="17"/>
      <c r="S573" s="17"/>
      <c r="T573" s="17"/>
      <c r="U573" s="17"/>
      <c r="V573" s="17"/>
      <c r="W573" s="31"/>
      <c r="X573" s="17"/>
      <c r="Y573" s="17"/>
      <c r="Z573" s="31"/>
      <c r="AA573" s="17"/>
      <c r="AB573" s="17"/>
      <c r="AC573" s="17"/>
      <c r="AD573" s="32"/>
      <c r="AE573" s="31"/>
    </row>
    <row r="574" spans="14:31" x14ac:dyDescent="0.4">
      <c r="N574" s="10"/>
      <c r="P574" s="48"/>
      <c r="Q574" s="17"/>
      <c r="R574" s="17"/>
      <c r="S574" s="17"/>
      <c r="T574" s="17"/>
      <c r="U574" s="17"/>
      <c r="V574" s="17"/>
      <c r="W574" s="31"/>
      <c r="X574" s="17"/>
      <c r="Y574" s="17"/>
      <c r="Z574" s="31"/>
      <c r="AA574" s="17"/>
      <c r="AB574" s="17"/>
      <c r="AC574" s="17"/>
      <c r="AD574" s="32"/>
      <c r="AE574" s="31"/>
    </row>
    <row r="575" spans="14:31" x14ac:dyDescent="0.4">
      <c r="N575" s="10"/>
      <c r="P575" s="48"/>
      <c r="Q575" s="17"/>
      <c r="R575" s="17"/>
      <c r="S575" s="17"/>
      <c r="T575" s="17"/>
      <c r="U575" s="17"/>
      <c r="V575" s="17"/>
      <c r="W575" s="31"/>
      <c r="X575" s="17"/>
      <c r="Y575" s="17"/>
      <c r="Z575" s="31"/>
      <c r="AA575" s="17"/>
      <c r="AB575" s="17"/>
      <c r="AC575" s="17"/>
      <c r="AD575" s="32"/>
      <c r="AE575" s="31"/>
    </row>
    <row r="576" spans="14:31" x14ac:dyDescent="0.4">
      <c r="N576" s="10"/>
      <c r="P576" s="48"/>
      <c r="Q576" s="17"/>
      <c r="R576" s="17"/>
      <c r="S576" s="17"/>
      <c r="T576" s="17"/>
      <c r="U576" s="17"/>
      <c r="V576" s="17"/>
      <c r="W576" s="31"/>
      <c r="X576" s="17"/>
      <c r="Y576" s="17"/>
      <c r="Z576" s="31"/>
      <c r="AA576" s="17"/>
      <c r="AB576" s="17"/>
      <c r="AC576" s="17"/>
      <c r="AD576" s="32"/>
      <c r="AE576" s="31"/>
    </row>
    <row r="577" spans="14:31" x14ac:dyDescent="0.4">
      <c r="N577" s="10"/>
      <c r="P577" s="48"/>
      <c r="Q577" s="17"/>
      <c r="R577" s="17"/>
      <c r="S577" s="17"/>
      <c r="T577" s="17"/>
      <c r="U577" s="17"/>
      <c r="V577" s="17"/>
      <c r="W577" s="31"/>
      <c r="X577" s="17"/>
      <c r="Y577" s="17"/>
      <c r="Z577" s="31"/>
      <c r="AA577" s="17"/>
      <c r="AB577" s="17"/>
      <c r="AC577" s="17"/>
      <c r="AD577" s="32"/>
      <c r="AE577" s="31"/>
    </row>
    <row r="578" spans="14:31" x14ac:dyDescent="0.4">
      <c r="N578" s="10"/>
      <c r="P578" s="48"/>
      <c r="Q578" s="17"/>
      <c r="R578" s="17"/>
      <c r="S578" s="17"/>
      <c r="T578" s="17"/>
      <c r="U578" s="17"/>
      <c r="V578" s="17"/>
      <c r="W578" s="31"/>
      <c r="X578" s="17"/>
      <c r="Y578" s="17"/>
      <c r="Z578" s="31"/>
      <c r="AA578" s="17"/>
      <c r="AB578" s="17"/>
      <c r="AC578" s="17"/>
      <c r="AD578" s="32"/>
      <c r="AE578" s="31"/>
    </row>
    <row r="579" spans="14:31" x14ac:dyDescent="0.4">
      <c r="N579" s="10"/>
      <c r="P579" s="48"/>
      <c r="Q579" s="17"/>
      <c r="R579" s="17"/>
      <c r="S579" s="17"/>
      <c r="T579" s="17"/>
      <c r="U579" s="17"/>
      <c r="V579" s="17"/>
      <c r="W579" s="31"/>
      <c r="X579" s="17"/>
      <c r="Y579" s="17"/>
      <c r="Z579" s="31"/>
      <c r="AA579" s="17"/>
      <c r="AB579" s="17"/>
      <c r="AC579" s="17"/>
      <c r="AD579" s="32"/>
      <c r="AE579" s="31"/>
    </row>
    <row r="580" spans="14:31" x14ac:dyDescent="0.4">
      <c r="N580" s="10"/>
      <c r="P580" s="48"/>
      <c r="Q580" s="17"/>
      <c r="R580" s="17"/>
      <c r="S580" s="17"/>
      <c r="T580" s="17"/>
      <c r="U580" s="17"/>
      <c r="V580" s="17"/>
      <c r="W580" s="31"/>
      <c r="X580" s="17"/>
      <c r="Y580" s="17"/>
      <c r="Z580" s="31"/>
      <c r="AA580" s="17"/>
      <c r="AB580" s="17"/>
      <c r="AC580" s="17"/>
      <c r="AD580" s="32"/>
      <c r="AE580" s="31"/>
    </row>
    <row r="581" spans="14:31" x14ac:dyDescent="0.4">
      <c r="N581" s="10"/>
      <c r="P581" s="48"/>
      <c r="Q581" s="17"/>
      <c r="R581" s="17"/>
      <c r="S581" s="17"/>
      <c r="T581" s="17"/>
      <c r="U581" s="17"/>
      <c r="V581" s="17"/>
      <c r="W581" s="31"/>
      <c r="X581" s="17"/>
      <c r="Y581" s="17"/>
      <c r="Z581" s="31"/>
      <c r="AA581" s="17"/>
      <c r="AB581" s="17"/>
      <c r="AC581" s="17"/>
      <c r="AD581" s="32"/>
      <c r="AE581" s="31"/>
    </row>
    <row r="582" spans="14:31" x14ac:dyDescent="0.4">
      <c r="N582" s="10"/>
      <c r="P582" s="48"/>
      <c r="Q582" s="17"/>
      <c r="R582" s="17"/>
      <c r="S582" s="17"/>
      <c r="T582" s="17"/>
      <c r="U582" s="17"/>
      <c r="V582" s="17"/>
      <c r="W582" s="31"/>
      <c r="X582" s="17"/>
      <c r="Y582" s="17"/>
      <c r="Z582" s="31"/>
      <c r="AA582" s="17"/>
      <c r="AB582" s="17"/>
      <c r="AC582" s="17"/>
      <c r="AD582" s="32"/>
      <c r="AE582" s="31"/>
    </row>
    <row r="583" spans="14:31" x14ac:dyDescent="0.4">
      <c r="N583" s="10"/>
      <c r="P583" s="48"/>
      <c r="Q583" s="17"/>
      <c r="R583" s="17"/>
      <c r="S583" s="17"/>
      <c r="T583" s="17"/>
      <c r="U583" s="17"/>
      <c r="V583" s="17"/>
      <c r="W583" s="31"/>
      <c r="X583" s="17"/>
      <c r="Y583" s="17"/>
      <c r="Z583" s="31"/>
      <c r="AA583" s="17"/>
      <c r="AB583" s="17"/>
      <c r="AC583" s="17"/>
      <c r="AD583" s="32"/>
      <c r="AE583" s="31"/>
    </row>
    <row r="584" spans="14:31" x14ac:dyDescent="0.4">
      <c r="N584" s="10"/>
      <c r="P584" s="48"/>
      <c r="Q584" s="17"/>
      <c r="R584" s="17"/>
      <c r="S584" s="17"/>
      <c r="T584" s="17"/>
      <c r="U584" s="17"/>
      <c r="V584" s="17"/>
      <c r="W584" s="31"/>
      <c r="X584" s="17"/>
      <c r="Y584" s="17"/>
      <c r="Z584" s="31"/>
      <c r="AA584" s="17"/>
      <c r="AB584" s="17"/>
      <c r="AC584" s="17"/>
      <c r="AD584" s="32"/>
      <c r="AE584" s="31"/>
    </row>
    <row r="585" spans="14:31" x14ac:dyDescent="0.4">
      <c r="N585" s="10"/>
      <c r="P585" s="48"/>
      <c r="Q585" s="17"/>
      <c r="R585" s="17"/>
      <c r="S585" s="17"/>
      <c r="T585" s="17"/>
      <c r="U585" s="17"/>
      <c r="V585" s="17"/>
      <c r="W585" s="31"/>
      <c r="X585" s="17"/>
      <c r="Y585" s="17"/>
      <c r="Z585" s="31"/>
      <c r="AA585" s="17"/>
      <c r="AB585" s="17"/>
      <c r="AC585" s="17"/>
      <c r="AD585" s="32"/>
      <c r="AE585" s="31"/>
    </row>
    <row r="586" spans="14:31" x14ac:dyDescent="0.4">
      <c r="N586" s="10"/>
      <c r="P586" s="48"/>
      <c r="Q586" s="17"/>
      <c r="R586" s="17"/>
      <c r="S586" s="17"/>
      <c r="T586" s="17"/>
      <c r="U586" s="17"/>
      <c r="V586" s="17"/>
      <c r="W586" s="31"/>
      <c r="X586" s="17"/>
      <c r="Y586" s="17"/>
      <c r="Z586" s="31"/>
      <c r="AA586" s="17"/>
      <c r="AB586" s="17"/>
      <c r="AC586" s="17"/>
      <c r="AD586" s="32"/>
      <c r="AE586" s="31"/>
    </row>
    <row r="587" spans="14:31" x14ac:dyDescent="0.4">
      <c r="N587" s="10"/>
      <c r="P587" s="48"/>
      <c r="Q587" s="17"/>
      <c r="R587" s="17"/>
      <c r="S587" s="17"/>
      <c r="T587" s="17"/>
      <c r="U587" s="17"/>
      <c r="V587" s="17"/>
      <c r="W587" s="31"/>
      <c r="X587" s="17"/>
      <c r="Y587" s="17"/>
      <c r="Z587" s="31"/>
      <c r="AA587" s="17"/>
      <c r="AB587" s="17"/>
      <c r="AC587" s="17"/>
      <c r="AD587" s="32"/>
      <c r="AE587" s="31"/>
    </row>
    <row r="588" spans="14:31" x14ac:dyDescent="0.4">
      <c r="N588" s="10"/>
      <c r="P588" s="48"/>
      <c r="Q588" s="17"/>
      <c r="R588" s="17"/>
      <c r="S588" s="17"/>
      <c r="T588" s="17"/>
      <c r="U588" s="17"/>
      <c r="V588" s="17"/>
      <c r="W588" s="31"/>
      <c r="X588" s="17"/>
      <c r="Y588" s="17"/>
      <c r="Z588" s="31"/>
      <c r="AA588" s="17"/>
      <c r="AB588" s="17"/>
      <c r="AC588" s="17"/>
      <c r="AD588" s="32"/>
      <c r="AE588" s="31"/>
    </row>
    <row r="589" spans="14:31" x14ac:dyDescent="0.4">
      <c r="N589" s="10"/>
      <c r="P589" s="48"/>
      <c r="Q589" s="17"/>
      <c r="R589" s="17"/>
      <c r="S589" s="17"/>
      <c r="T589" s="17"/>
      <c r="U589" s="17"/>
      <c r="V589" s="17"/>
      <c r="W589" s="31"/>
      <c r="X589" s="17"/>
      <c r="Y589" s="17"/>
      <c r="Z589" s="31"/>
      <c r="AA589" s="17"/>
      <c r="AB589" s="17"/>
      <c r="AC589" s="17"/>
      <c r="AD589" s="32"/>
      <c r="AE589" s="31"/>
    </row>
    <row r="590" spans="14:31" x14ac:dyDescent="0.4">
      <c r="N590" s="10"/>
      <c r="P590" s="48"/>
      <c r="Q590" s="17"/>
      <c r="R590" s="17"/>
      <c r="S590" s="17"/>
      <c r="T590" s="17"/>
      <c r="U590" s="17"/>
      <c r="V590" s="17"/>
      <c r="W590" s="31"/>
      <c r="X590" s="17"/>
      <c r="Y590" s="17"/>
      <c r="Z590" s="31"/>
      <c r="AA590" s="17"/>
      <c r="AB590" s="17"/>
      <c r="AC590" s="17"/>
      <c r="AD590" s="32"/>
      <c r="AE590" s="31"/>
    </row>
    <row r="591" spans="14:31" x14ac:dyDescent="0.4">
      <c r="N591" s="10"/>
      <c r="P591" s="48"/>
      <c r="Q591" s="17"/>
      <c r="R591" s="17"/>
      <c r="S591" s="17"/>
      <c r="T591" s="17"/>
      <c r="U591" s="17"/>
      <c r="V591" s="17"/>
      <c r="W591" s="31"/>
      <c r="X591" s="17"/>
      <c r="Y591" s="17"/>
      <c r="Z591" s="31"/>
      <c r="AA591" s="17"/>
      <c r="AB591" s="17"/>
      <c r="AC591" s="17"/>
      <c r="AD591" s="32"/>
      <c r="AE591" s="31"/>
    </row>
    <row r="592" spans="14:31" x14ac:dyDescent="0.4">
      <c r="N592" s="10"/>
      <c r="P592" s="48"/>
      <c r="Q592" s="17"/>
      <c r="R592" s="17"/>
      <c r="S592" s="17"/>
      <c r="T592" s="17"/>
      <c r="U592" s="17"/>
      <c r="V592" s="17"/>
      <c r="W592" s="31"/>
      <c r="X592" s="17"/>
      <c r="Y592" s="17"/>
      <c r="Z592" s="31"/>
      <c r="AA592" s="17"/>
      <c r="AB592" s="17"/>
      <c r="AC592" s="17"/>
      <c r="AD592" s="32"/>
      <c r="AE592" s="31"/>
    </row>
    <row r="593" spans="14:31" x14ac:dyDescent="0.4">
      <c r="N593" s="10"/>
      <c r="P593" s="48"/>
      <c r="Q593" s="17"/>
      <c r="R593" s="17"/>
      <c r="S593" s="17"/>
      <c r="T593" s="17"/>
      <c r="U593" s="17"/>
      <c r="V593" s="17"/>
      <c r="W593" s="31"/>
      <c r="X593" s="17"/>
      <c r="Y593" s="17"/>
      <c r="Z593" s="31"/>
      <c r="AA593" s="17"/>
      <c r="AB593" s="17"/>
      <c r="AC593" s="17"/>
      <c r="AD593" s="32"/>
      <c r="AE593" s="31"/>
    </row>
    <row r="594" spans="14:31" x14ac:dyDescent="0.4">
      <c r="N594" s="10"/>
      <c r="P594" s="48"/>
      <c r="Q594" s="17"/>
      <c r="R594" s="17"/>
      <c r="S594" s="17"/>
      <c r="T594" s="17"/>
      <c r="U594" s="17"/>
      <c r="V594" s="17"/>
      <c r="W594" s="31"/>
      <c r="X594" s="17"/>
      <c r="Y594" s="17"/>
      <c r="Z594" s="31"/>
      <c r="AA594" s="17"/>
      <c r="AB594" s="17"/>
      <c r="AC594" s="17"/>
      <c r="AD594" s="32"/>
      <c r="AE594" s="31"/>
    </row>
    <row r="595" spans="14:31" x14ac:dyDescent="0.4">
      <c r="N595" s="10"/>
      <c r="P595" s="48"/>
      <c r="Q595" s="17"/>
      <c r="R595" s="17"/>
      <c r="S595" s="17"/>
      <c r="T595" s="17"/>
      <c r="U595" s="17"/>
      <c r="V595" s="17"/>
      <c r="W595" s="31"/>
      <c r="X595" s="17"/>
      <c r="Y595" s="17"/>
      <c r="Z595" s="31"/>
      <c r="AA595" s="17"/>
      <c r="AB595" s="17"/>
      <c r="AC595" s="17"/>
      <c r="AD595" s="32"/>
      <c r="AE595" s="31"/>
    </row>
    <row r="596" spans="14:31" x14ac:dyDescent="0.4">
      <c r="N596" s="10"/>
      <c r="P596" s="48"/>
      <c r="Q596" s="17"/>
      <c r="R596" s="17"/>
      <c r="S596" s="17"/>
      <c r="T596" s="17"/>
      <c r="U596" s="17"/>
      <c r="V596" s="17"/>
      <c r="W596" s="31"/>
      <c r="X596" s="17"/>
      <c r="Y596" s="17"/>
      <c r="Z596" s="31"/>
      <c r="AA596" s="17"/>
      <c r="AB596" s="17"/>
      <c r="AC596" s="17"/>
      <c r="AD596" s="32"/>
      <c r="AE596" s="31"/>
    </row>
    <row r="597" spans="14:31" x14ac:dyDescent="0.4">
      <c r="N597" s="10"/>
      <c r="P597" s="48"/>
      <c r="Q597" s="17"/>
      <c r="R597" s="17"/>
      <c r="S597" s="17"/>
      <c r="T597" s="17"/>
      <c r="U597" s="17"/>
      <c r="V597" s="17"/>
      <c r="W597" s="31"/>
      <c r="X597" s="17"/>
      <c r="Y597" s="17"/>
      <c r="Z597" s="31"/>
      <c r="AA597" s="17"/>
      <c r="AB597" s="17"/>
      <c r="AC597" s="17"/>
      <c r="AD597" s="32"/>
      <c r="AE597" s="31"/>
    </row>
    <row r="598" spans="14:31" x14ac:dyDescent="0.4">
      <c r="N598" s="10"/>
      <c r="P598" s="48"/>
      <c r="Q598" s="17"/>
      <c r="R598" s="17"/>
      <c r="S598" s="17"/>
      <c r="T598" s="17"/>
      <c r="U598" s="17"/>
      <c r="V598" s="17"/>
      <c r="W598" s="31"/>
      <c r="X598" s="17"/>
      <c r="Y598" s="17"/>
      <c r="Z598" s="31"/>
      <c r="AA598" s="17"/>
      <c r="AB598" s="17"/>
      <c r="AC598" s="17"/>
      <c r="AD598" s="32"/>
      <c r="AE598" s="31"/>
    </row>
    <row r="599" spans="14:31" x14ac:dyDescent="0.4">
      <c r="N599" s="10"/>
      <c r="P599" s="48"/>
      <c r="Q599" s="17"/>
      <c r="R599" s="17"/>
      <c r="S599" s="17"/>
      <c r="T599" s="17"/>
      <c r="U599" s="17"/>
      <c r="V599" s="17"/>
      <c r="W599" s="31"/>
      <c r="X599" s="17"/>
      <c r="Y599" s="17"/>
      <c r="Z599" s="31"/>
      <c r="AA599" s="17"/>
      <c r="AB599" s="17"/>
      <c r="AC599" s="17"/>
      <c r="AD599" s="32"/>
      <c r="AE599" s="31"/>
    </row>
    <row r="600" spans="14:31" x14ac:dyDescent="0.4">
      <c r="N600" s="10"/>
      <c r="P600" s="48"/>
      <c r="Q600" s="17"/>
      <c r="R600" s="17"/>
      <c r="S600" s="17"/>
      <c r="T600" s="17"/>
      <c r="U600" s="17"/>
      <c r="V600" s="17"/>
      <c r="W600" s="31"/>
      <c r="X600" s="17"/>
      <c r="Y600" s="17"/>
      <c r="Z600" s="31"/>
      <c r="AA600" s="17"/>
      <c r="AB600" s="17"/>
      <c r="AC600" s="17"/>
      <c r="AD600" s="32"/>
      <c r="AE600" s="31"/>
    </row>
    <row r="601" spans="14:31" x14ac:dyDescent="0.4">
      <c r="N601" s="10"/>
      <c r="P601" s="48"/>
      <c r="Q601" s="17"/>
      <c r="R601" s="17"/>
      <c r="S601" s="17"/>
      <c r="T601" s="17"/>
      <c r="U601" s="17"/>
      <c r="V601" s="17"/>
      <c r="W601" s="31"/>
      <c r="X601" s="17"/>
      <c r="Y601" s="17"/>
      <c r="Z601" s="31"/>
      <c r="AA601" s="17"/>
      <c r="AB601" s="17"/>
      <c r="AC601" s="17"/>
      <c r="AD601" s="32"/>
      <c r="AE601" s="31"/>
    </row>
    <row r="602" spans="14:31" x14ac:dyDescent="0.4">
      <c r="N602" s="10"/>
      <c r="P602" s="48"/>
      <c r="Q602" s="17"/>
      <c r="R602" s="17"/>
      <c r="S602" s="17"/>
      <c r="T602" s="17"/>
      <c r="U602" s="17"/>
      <c r="V602" s="17"/>
      <c r="W602" s="31"/>
      <c r="X602" s="17"/>
      <c r="Y602" s="17"/>
      <c r="Z602" s="31"/>
      <c r="AA602" s="17"/>
      <c r="AB602" s="17"/>
      <c r="AC602" s="17"/>
      <c r="AD602" s="32"/>
      <c r="AE602" s="31"/>
    </row>
    <row r="603" spans="14:31" x14ac:dyDescent="0.4">
      <c r="N603" s="10"/>
      <c r="P603" s="48"/>
      <c r="Q603" s="17"/>
      <c r="R603" s="17"/>
      <c r="S603" s="17"/>
      <c r="T603" s="17"/>
      <c r="U603" s="17"/>
      <c r="V603" s="17"/>
      <c r="W603" s="31"/>
      <c r="X603" s="17"/>
      <c r="Y603" s="17"/>
      <c r="Z603" s="31"/>
      <c r="AA603" s="17"/>
      <c r="AB603" s="17"/>
      <c r="AC603" s="17"/>
      <c r="AD603" s="32"/>
      <c r="AE603" s="31"/>
    </row>
    <row r="604" spans="14:31" x14ac:dyDescent="0.4">
      <c r="N604" s="10"/>
      <c r="P604" s="48"/>
      <c r="Q604" s="17"/>
      <c r="R604" s="17"/>
      <c r="S604" s="17"/>
      <c r="T604" s="17"/>
      <c r="U604" s="17"/>
      <c r="V604" s="17"/>
      <c r="W604" s="31"/>
      <c r="X604" s="17"/>
      <c r="Y604" s="17"/>
      <c r="Z604" s="31"/>
      <c r="AA604" s="17"/>
      <c r="AB604" s="17"/>
      <c r="AC604" s="17"/>
      <c r="AD604" s="32"/>
      <c r="AE604" s="31"/>
    </row>
    <row r="605" spans="14:31" x14ac:dyDescent="0.4">
      <c r="N605" s="10"/>
      <c r="P605" s="48"/>
      <c r="Q605" s="17"/>
      <c r="R605" s="17"/>
      <c r="S605" s="17"/>
      <c r="T605" s="17"/>
      <c r="U605" s="17"/>
      <c r="V605" s="17"/>
      <c r="W605" s="31"/>
      <c r="X605" s="17"/>
      <c r="Y605" s="17"/>
      <c r="Z605" s="31"/>
      <c r="AA605" s="17"/>
      <c r="AB605" s="17"/>
      <c r="AC605" s="17"/>
      <c r="AD605" s="32"/>
      <c r="AE605" s="31"/>
    </row>
    <row r="606" spans="14:31" x14ac:dyDescent="0.4">
      <c r="N606" s="10"/>
      <c r="P606" s="48"/>
      <c r="Q606" s="17"/>
      <c r="R606" s="17"/>
      <c r="S606" s="17"/>
      <c r="T606" s="17"/>
      <c r="U606" s="17"/>
      <c r="V606" s="17"/>
      <c r="W606" s="31"/>
      <c r="X606" s="17"/>
      <c r="Y606" s="17"/>
      <c r="Z606" s="31"/>
      <c r="AA606" s="17"/>
      <c r="AB606" s="17"/>
      <c r="AC606" s="17"/>
      <c r="AD606" s="32"/>
      <c r="AE606" s="31"/>
    </row>
    <row r="607" spans="14:31" x14ac:dyDescent="0.4">
      <c r="N607" s="10"/>
      <c r="P607" s="48"/>
      <c r="Q607" s="17"/>
      <c r="R607" s="17"/>
      <c r="S607" s="17"/>
      <c r="T607" s="17"/>
      <c r="U607" s="17"/>
      <c r="V607" s="17"/>
      <c r="W607" s="31"/>
      <c r="X607" s="17"/>
      <c r="Y607" s="17"/>
      <c r="Z607" s="31"/>
      <c r="AA607" s="17"/>
      <c r="AB607" s="17"/>
      <c r="AC607" s="17"/>
      <c r="AD607" s="32"/>
      <c r="AE607" s="31"/>
    </row>
    <row r="608" spans="14:31" x14ac:dyDescent="0.4">
      <c r="N608" s="10"/>
      <c r="P608" s="48"/>
      <c r="Q608" s="17"/>
      <c r="R608" s="17"/>
      <c r="S608" s="17"/>
      <c r="T608" s="17"/>
      <c r="U608" s="17"/>
      <c r="V608" s="17"/>
      <c r="W608" s="31"/>
      <c r="X608" s="17"/>
      <c r="Y608" s="17"/>
      <c r="Z608" s="31"/>
      <c r="AA608" s="17"/>
      <c r="AB608" s="17"/>
      <c r="AC608" s="17"/>
      <c r="AD608" s="32"/>
      <c r="AE608" s="31"/>
    </row>
    <row r="609" spans="14:31" x14ac:dyDescent="0.4">
      <c r="N609" s="10"/>
      <c r="P609" s="48"/>
      <c r="Q609" s="17"/>
      <c r="R609" s="17"/>
      <c r="S609" s="17"/>
      <c r="T609" s="17"/>
      <c r="U609" s="17"/>
      <c r="V609" s="17"/>
      <c r="W609" s="31"/>
      <c r="X609" s="17"/>
      <c r="Y609" s="17"/>
      <c r="Z609" s="31"/>
      <c r="AA609" s="17"/>
      <c r="AB609" s="17"/>
      <c r="AC609" s="17"/>
      <c r="AD609" s="32"/>
      <c r="AE609" s="31"/>
    </row>
    <row r="610" spans="14:31" x14ac:dyDescent="0.4">
      <c r="N610" s="10"/>
      <c r="P610" s="48"/>
      <c r="Q610" s="17"/>
      <c r="R610" s="17"/>
      <c r="S610" s="17"/>
      <c r="T610" s="17"/>
      <c r="U610" s="17"/>
      <c r="V610" s="17"/>
      <c r="W610" s="31"/>
      <c r="X610" s="17"/>
      <c r="Y610" s="17"/>
      <c r="Z610" s="31"/>
      <c r="AA610" s="17"/>
      <c r="AB610" s="17"/>
      <c r="AC610" s="17"/>
      <c r="AD610" s="32"/>
      <c r="AE610" s="31"/>
    </row>
    <row r="611" spans="14:31" x14ac:dyDescent="0.4">
      <c r="N611" s="10"/>
      <c r="P611" s="48"/>
      <c r="Q611" s="17"/>
      <c r="R611" s="17"/>
      <c r="S611" s="17"/>
      <c r="T611" s="17"/>
      <c r="U611" s="17"/>
      <c r="V611" s="17"/>
      <c r="W611" s="31"/>
      <c r="X611" s="17"/>
      <c r="Y611" s="17"/>
      <c r="Z611" s="31"/>
      <c r="AA611" s="17"/>
      <c r="AB611" s="17"/>
      <c r="AC611" s="17"/>
      <c r="AD611" s="32"/>
      <c r="AE611" s="31"/>
    </row>
    <row r="612" spans="14:31" x14ac:dyDescent="0.4">
      <c r="N612" s="10"/>
      <c r="P612" s="48"/>
      <c r="Q612" s="17"/>
      <c r="R612" s="17"/>
      <c r="S612" s="17"/>
      <c r="T612" s="17"/>
      <c r="U612" s="17"/>
      <c r="V612" s="17"/>
      <c r="W612" s="31"/>
      <c r="X612" s="17"/>
      <c r="Y612" s="17"/>
      <c r="Z612" s="31"/>
      <c r="AA612" s="17"/>
      <c r="AB612" s="17"/>
      <c r="AC612" s="17"/>
      <c r="AD612" s="32"/>
      <c r="AE612" s="31"/>
    </row>
    <row r="613" spans="14:31" x14ac:dyDescent="0.4">
      <c r="N613" s="10"/>
      <c r="P613" s="48"/>
      <c r="Q613" s="17"/>
      <c r="R613" s="17"/>
      <c r="S613" s="17"/>
      <c r="T613" s="17"/>
      <c r="U613" s="17"/>
      <c r="V613" s="17"/>
      <c r="W613" s="31"/>
      <c r="X613" s="17"/>
      <c r="Y613" s="17"/>
      <c r="Z613" s="31"/>
      <c r="AA613" s="17"/>
      <c r="AB613" s="17"/>
      <c r="AC613" s="17"/>
      <c r="AD613" s="32"/>
      <c r="AE613" s="31"/>
    </row>
    <row r="614" spans="14:31" x14ac:dyDescent="0.4">
      <c r="N614" s="10"/>
      <c r="P614" s="48"/>
      <c r="Q614" s="17"/>
      <c r="R614" s="17"/>
      <c r="S614" s="17"/>
      <c r="T614" s="17"/>
      <c r="U614" s="17"/>
      <c r="V614" s="17"/>
      <c r="W614" s="31"/>
      <c r="X614" s="17"/>
      <c r="Y614" s="17"/>
      <c r="Z614" s="31"/>
      <c r="AA614" s="17"/>
      <c r="AB614" s="17"/>
      <c r="AC614" s="17"/>
      <c r="AD614" s="32"/>
      <c r="AE614" s="31"/>
    </row>
    <row r="615" spans="14:31" x14ac:dyDescent="0.4">
      <c r="N615" s="10"/>
      <c r="P615" s="48"/>
      <c r="Q615" s="17"/>
      <c r="R615" s="17"/>
      <c r="S615" s="17"/>
      <c r="T615" s="17"/>
      <c r="U615" s="17"/>
      <c r="V615" s="17"/>
      <c r="W615" s="31"/>
      <c r="X615" s="17"/>
      <c r="Y615" s="17"/>
      <c r="Z615" s="31"/>
      <c r="AA615" s="17"/>
      <c r="AB615" s="17"/>
      <c r="AC615" s="17"/>
      <c r="AD615" s="32"/>
      <c r="AE615" s="31"/>
    </row>
    <row r="616" spans="14:31" x14ac:dyDescent="0.4">
      <c r="N616" s="10"/>
      <c r="P616" s="48"/>
      <c r="Q616" s="17"/>
      <c r="R616" s="17"/>
      <c r="S616" s="17"/>
      <c r="T616" s="17"/>
      <c r="U616" s="17"/>
      <c r="V616" s="17"/>
      <c r="W616" s="31"/>
      <c r="X616" s="17"/>
      <c r="Y616" s="17"/>
      <c r="Z616" s="31"/>
      <c r="AA616" s="17"/>
      <c r="AB616" s="17"/>
      <c r="AC616" s="17"/>
      <c r="AD616" s="32"/>
      <c r="AE616" s="31"/>
    </row>
    <row r="617" spans="14:31" x14ac:dyDescent="0.4">
      <c r="N617" s="10"/>
      <c r="P617" s="48"/>
      <c r="Q617" s="17"/>
      <c r="R617" s="17"/>
      <c r="S617" s="17"/>
      <c r="T617" s="17"/>
      <c r="U617" s="17"/>
      <c r="V617" s="17"/>
      <c r="W617" s="31"/>
      <c r="X617" s="17"/>
      <c r="Y617" s="17"/>
      <c r="Z617" s="31"/>
      <c r="AA617" s="17"/>
      <c r="AB617" s="17"/>
      <c r="AC617" s="17"/>
      <c r="AD617" s="32"/>
      <c r="AE617" s="31"/>
    </row>
    <row r="618" spans="14:31" x14ac:dyDescent="0.4">
      <c r="N618" s="10"/>
      <c r="P618" s="48"/>
      <c r="Q618" s="17"/>
      <c r="R618" s="17"/>
      <c r="S618" s="17"/>
      <c r="T618" s="17"/>
      <c r="U618" s="17"/>
      <c r="V618" s="17"/>
      <c r="W618" s="31"/>
      <c r="X618" s="17"/>
      <c r="Y618" s="17"/>
      <c r="Z618" s="31"/>
      <c r="AA618" s="17"/>
      <c r="AB618" s="17"/>
      <c r="AC618" s="17"/>
      <c r="AD618" s="32"/>
      <c r="AE618" s="31"/>
    </row>
    <row r="619" spans="14:31" x14ac:dyDescent="0.4">
      <c r="N619" s="10"/>
      <c r="P619" s="48"/>
      <c r="Q619" s="17"/>
      <c r="R619" s="17"/>
      <c r="S619" s="17"/>
      <c r="T619" s="17"/>
      <c r="U619" s="17"/>
      <c r="V619" s="17"/>
      <c r="W619" s="31"/>
      <c r="X619" s="17"/>
      <c r="Y619" s="17"/>
      <c r="Z619" s="31"/>
      <c r="AA619" s="17"/>
      <c r="AB619" s="17"/>
      <c r="AC619" s="17"/>
      <c r="AD619" s="32"/>
      <c r="AE619" s="31"/>
    </row>
    <row r="620" spans="14:31" x14ac:dyDescent="0.4">
      <c r="N620" s="10"/>
      <c r="P620" s="48"/>
      <c r="Q620" s="17"/>
      <c r="R620" s="17"/>
      <c r="S620" s="17"/>
      <c r="T620" s="17"/>
      <c r="U620" s="17"/>
      <c r="V620" s="17"/>
      <c r="W620" s="31"/>
      <c r="X620" s="17"/>
      <c r="Y620" s="17"/>
      <c r="Z620" s="31"/>
      <c r="AA620" s="17"/>
      <c r="AB620" s="17"/>
      <c r="AC620" s="17"/>
      <c r="AD620" s="32"/>
      <c r="AE620" s="31"/>
    </row>
    <row r="621" spans="14:31" x14ac:dyDescent="0.4">
      <c r="N621" s="10"/>
      <c r="P621" s="48"/>
      <c r="Q621" s="17"/>
      <c r="R621" s="17"/>
      <c r="S621" s="17"/>
      <c r="T621" s="17"/>
      <c r="U621" s="17"/>
      <c r="V621" s="17"/>
      <c r="W621" s="31"/>
      <c r="X621" s="17"/>
      <c r="Y621" s="17"/>
      <c r="Z621" s="31"/>
      <c r="AA621" s="17"/>
      <c r="AB621" s="17"/>
      <c r="AC621" s="17"/>
      <c r="AD621" s="32"/>
      <c r="AE621" s="31"/>
    </row>
    <row r="622" spans="14:31" x14ac:dyDescent="0.4">
      <c r="N622" s="10"/>
      <c r="P622" s="48"/>
      <c r="Q622" s="17"/>
      <c r="R622" s="17"/>
      <c r="S622" s="17"/>
      <c r="T622" s="17"/>
      <c r="U622" s="17"/>
      <c r="V622" s="17"/>
      <c r="W622" s="31"/>
      <c r="X622" s="17"/>
      <c r="Y622" s="17"/>
      <c r="Z622" s="31"/>
      <c r="AA622" s="17"/>
      <c r="AB622" s="17"/>
      <c r="AC622" s="17"/>
      <c r="AD622" s="32"/>
      <c r="AE622" s="31"/>
    </row>
    <row r="623" spans="14:31" x14ac:dyDescent="0.4">
      <c r="N623" s="10"/>
      <c r="P623" s="48"/>
      <c r="Q623" s="17"/>
      <c r="R623" s="17"/>
      <c r="S623" s="17"/>
      <c r="T623" s="17"/>
      <c r="U623" s="17"/>
      <c r="V623" s="17"/>
      <c r="W623" s="31"/>
      <c r="X623" s="17"/>
      <c r="Y623" s="17"/>
      <c r="Z623" s="31"/>
      <c r="AA623" s="17"/>
      <c r="AB623" s="17"/>
      <c r="AC623" s="17"/>
      <c r="AD623" s="32"/>
      <c r="AE623" s="31"/>
    </row>
    <row r="624" spans="14:31" x14ac:dyDescent="0.4">
      <c r="N624" s="10"/>
      <c r="P624" s="48"/>
      <c r="Q624" s="17"/>
      <c r="R624" s="17"/>
      <c r="S624" s="17"/>
      <c r="T624" s="17"/>
      <c r="U624" s="17"/>
      <c r="V624" s="17"/>
      <c r="W624" s="31"/>
      <c r="X624" s="17"/>
      <c r="Y624" s="17"/>
      <c r="Z624" s="31"/>
      <c r="AA624" s="17"/>
      <c r="AB624" s="17"/>
      <c r="AC624" s="17"/>
      <c r="AD624" s="32"/>
      <c r="AE624" s="31"/>
    </row>
    <row r="625" spans="14:31" x14ac:dyDescent="0.4">
      <c r="N625" s="10"/>
      <c r="P625" s="48"/>
      <c r="Q625" s="17"/>
      <c r="R625" s="17"/>
      <c r="S625" s="17"/>
      <c r="T625" s="17"/>
      <c r="U625" s="17"/>
      <c r="V625" s="17"/>
      <c r="W625" s="31"/>
      <c r="X625" s="17"/>
      <c r="Y625" s="17"/>
      <c r="Z625" s="31"/>
      <c r="AA625" s="17"/>
      <c r="AB625" s="17"/>
      <c r="AC625" s="17"/>
      <c r="AD625" s="32"/>
      <c r="AE625" s="31"/>
    </row>
    <row r="626" spans="14:31" x14ac:dyDescent="0.4">
      <c r="N626" s="10"/>
      <c r="P626" s="48"/>
      <c r="Q626" s="17"/>
      <c r="R626" s="17"/>
      <c r="S626" s="17"/>
      <c r="T626" s="17"/>
      <c r="U626" s="17"/>
      <c r="V626" s="17"/>
      <c r="W626" s="31"/>
      <c r="X626" s="17"/>
      <c r="Y626" s="17"/>
      <c r="Z626" s="31"/>
      <c r="AA626" s="17"/>
      <c r="AB626" s="17"/>
      <c r="AC626" s="17"/>
      <c r="AD626" s="32"/>
      <c r="AE626" s="31"/>
    </row>
    <row r="627" spans="14:31" x14ac:dyDescent="0.4">
      <c r="N627" s="10"/>
      <c r="P627" s="48"/>
      <c r="Q627" s="17"/>
      <c r="R627" s="17"/>
      <c r="S627" s="17"/>
      <c r="T627" s="17"/>
      <c r="U627" s="17"/>
      <c r="V627" s="17"/>
      <c r="W627" s="31"/>
      <c r="X627" s="17"/>
      <c r="Y627" s="17"/>
      <c r="Z627" s="31"/>
      <c r="AA627" s="17"/>
      <c r="AB627" s="17"/>
      <c r="AC627" s="17"/>
      <c r="AD627" s="32"/>
      <c r="AE627" s="31"/>
    </row>
    <row r="628" spans="14:31" x14ac:dyDescent="0.4">
      <c r="N628" s="10"/>
      <c r="P628" s="48"/>
      <c r="Q628" s="17"/>
      <c r="R628" s="17"/>
      <c r="S628" s="17"/>
      <c r="T628" s="17"/>
      <c r="U628" s="17"/>
      <c r="V628" s="17"/>
      <c r="W628" s="31"/>
      <c r="X628" s="17"/>
      <c r="Y628" s="17"/>
      <c r="Z628" s="31"/>
      <c r="AA628" s="17"/>
      <c r="AB628" s="17"/>
      <c r="AC628" s="17"/>
      <c r="AD628" s="32"/>
      <c r="AE628" s="31"/>
    </row>
    <row r="629" spans="14:31" x14ac:dyDescent="0.4">
      <c r="N629" s="10"/>
      <c r="P629" s="48"/>
      <c r="Q629" s="17"/>
      <c r="R629" s="17"/>
      <c r="S629" s="17"/>
      <c r="T629" s="17"/>
      <c r="U629" s="17"/>
      <c r="V629" s="17"/>
      <c r="W629" s="31"/>
      <c r="X629" s="17"/>
      <c r="Y629" s="17"/>
      <c r="Z629" s="31"/>
      <c r="AA629" s="17"/>
      <c r="AB629" s="17"/>
      <c r="AC629" s="17"/>
      <c r="AD629" s="32"/>
      <c r="AE629" s="31"/>
    </row>
    <row r="630" spans="14:31" x14ac:dyDescent="0.4">
      <c r="N630" s="10"/>
      <c r="P630" s="48"/>
      <c r="Q630" s="17"/>
      <c r="R630" s="17"/>
      <c r="S630" s="17"/>
      <c r="T630" s="17"/>
      <c r="U630" s="17"/>
      <c r="V630" s="17"/>
      <c r="W630" s="31"/>
      <c r="X630" s="17"/>
      <c r="Y630" s="17"/>
      <c r="Z630" s="31"/>
      <c r="AA630" s="17"/>
      <c r="AB630" s="17"/>
      <c r="AC630" s="17"/>
      <c r="AD630" s="32"/>
      <c r="AE630" s="31"/>
    </row>
    <row r="631" spans="14:31" x14ac:dyDescent="0.4">
      <c r="N631" s="10"/>
      <c r="P631" s="48"/>
      <c r="Q631" s="17"/>
      <c r="R631" s="17"/>
      <c r="S631" s="17"/>
      <c r="T631" s="17"/>
      <c r="U631" s="17"/>
      <c r="V631" s="17"/>
      <c r="W631" s="31"/>
      <c r="X631" s="17"/>
      <c r="Y631" s="17"/>
      <c r="Z631" s="31"/>
      <c r="AA631" s="17"/>
      <c r="AB631" s="17"/>
      <c r="AC631" s="17"/>
      <c r="AD631" s="32"/>
      <c r="AE631" s="31"/>
    </row>
    <row r="632" spans="14:31" x14ac:dyDescent="0.4">
      <c r="N632" s="10"/>
      <c r="P632" s="48"/>
      <c r="Q632" s="17"/>
      <c r="R632" s="17"/>
      <c r="S632" s="17"/>
      <c r="T632" s="17"/>
      <c r="U632" s="17"/>
      <c r="V632" s="17"/>
      <c r="W632" s="31"/>
      <c r="X632" s="17"/>
      <c r="Y632" s="17"/>
      <c r="Z632" s="31"/>
      <c r="AA632" s="17"/>
      <c r="AB632" s="17"/>
      <c r="AC632" s="17"/>
      <c r="AD632" s="32"/>
      <c r="AE632" s="31"/>
    </row>
    <row r="633" spans="14:31" x14ac:dyDescent="0.4">
      <c r="N633" s="10"/>
      <c r="P633" s="48"/>
      <c r="Q633" s="17"/>
      <c r="R633" s="17"/>
      <c r="S633" s="17"/>
      <c r="T633" s="17"/>
      <c r="U633" s="17"/>
      <c r="V633" s="17"/>
      <c r="W633" s="31"/>
      <c r="X633" s="17"/>
      <c r="Y633" s="17"/>
      <c r="Z633" s="31"/>
      <c r="AA633" s="17"/>
      <c r="AB633" s="17"/>
      <c r="AC633" s="17"/>
      <c r="AD633" s="32"/>
      <c r="AE633" s="31"/>
    </row>
    <row r="634" spans="14:31" x14ac:dyDescent="0.4">
      <c r="N634" s="10"/>
      <c r="P634" s="48"/>
      <c r="Q634" s="17"/>
      <c r="R634" s="17"/>
      <c r="S634" s="17"/>
      <c r="T634" s="17"/>
      <c r="U634" s="17"/>
      <c r="V634" s="17"/>
      <c r="W634" s="31"/>
      <c r="X634" s="17"/>
      <c r="Y634" s="17"/>
      <c r="Z634" s="31"/>
      <c r="AA634" s="17"/>
      <c r="AB634" s="17"/>
      <c r="AC634" s="17"/>
      <c r="AD634" s="32"/>
      <c r="AE634" s="31"/>
    </row>
    <row r="635" spans="14:31" x14ac:dyDescent="0.4">
      <c r="N635" s="10"/>
      <c r="P635" s="48"/>
      <c r="Q635" s="17"/>
      <c r="R635" s="17"/>
      <c r="S635" s="17"/>
      <c r="T635" s="17"/>
      <c r="U635" s="17"/>
      <c r="V635" s="17"/>
      <c r="W635" s="31"/>
      <c r="X635" s="17"/>
      <c r="Y635" s="17"/>
      <c r="Z635" s="31"/>
      <c r="AA635" s="17"/>
      <c r="AB635" s="17"/>
      <c r="AC635" s="17"/>
      <c r="AD635" s="32"/>
      <c r="AE635" s="31"/>
    </row>
    <row r="636" spans="14:31" x14ac:dyDescent="0.4">
      <c r="N636" s="10"/>
      <c r="P636" s="48"/>
      <c r="Q636" s="17"/>
      <c r="R636" s="17"/>
      <c r="S636" s="17"/>
      <c r="T636" s="17"/>
      <c r="U636" s="17"/>
      <c r="V636" s="17"/>
      <c r="W636" s="31"/>
      <c r="X636" s="17"/>
      <c r="Y636" s="17"/>
      <c r="Z636" s="31"/>
      <c r="AA636" s="17"/>
      <c r="AB636" s="17"/>
      <c r="AC636" s="17"/>
      <c r="AD636" s="32"/>
      <c r="AE636" s="31"/>
    </row>
    <row r="637" spans="14:31" x14ac:dyDescent="0.4">
      <c r="N637" s="10"/>
      <c r="P637" s="48"/>
      <c r="Q637" s="17"/>
      <c r="R637" s="17"/>
      <c r="S637" s="17"/>
      <c r="T637" s="17"/>
      <c r="U637" s="17"/>
      <c r="V637" s="17"/>
      <c r="W637" s="31"/>
      <c r="X637" s="17"/>
      <c r="Y637" s="17"/>
      <c r="Z637" s="31"/>
      <c r="AA637" s="17"/>
      <c r="AB637" s="17"/>
      <c r="AC637" s="17"/>
      <c r="AD637" s="32"/>
      <c r="AE637" s="31"/>
    </row>
    <row r="638" spans="14:31" x14ac:dyDescent="0.4">
      <c r="N638" s="10"/>
      <c r="P638" s="48"/>
      <c r="Q638" s="17"/>
      <c r="R638" s="17"/>
      <c r="S638" s="17"/>
      <c r="T638" s="17"/>
      <c r="U638" s="17"/>
      <c r="V638" s="17"/>
      <c r="W638" s="31"/>
      <c r="X638" s="17"/>
      <c r="Y638" s="17"/>
      <c r="Z638" s="31"/>
      <c r="AA638" s="17"/>
      <c r="AB638" s="17"/>
      <c r="AC638" s="17"/>
      <c r="AD638" s="32"/>
      <c r="AE638" s="31"/>
    </row>
    <row r="639" spans="14:31" x14ac:dyDescent="0.4">
      <c r="N639" s="10"/>
      <c r="P639" s="48"/>
      <c r="Q639" s="17"/>
      <c r="R639" s="17"/>
      <c r="S639" s="17"/>
      <c r="T639" s="17"/>
      <c r="U639" s="17"/>
      <c r="V639" s="17"/>
      <c r="W639" s="31"/>
      <c r="X639" s="17"/>
      <c r="Y639" s="17"/>
      <c r="Z639" s="31"/>
      <c r="AA639" s="17"/>
      <c r="AB639" s="17"/>
      <c r="AC639" s="17"/>
      <c r="AD639" s="32"/>
      <c r="AE639" s="31"/>
    </row>
    <row r="640" spans="14:31" x14ac:dyDescent="0.4">
      <c r="N640" s="10"/>
      <c r="P640" s="48"/>
      <c r="Q640" s="17"/>
      <c r="R640" s="17"/>
      <c r="S640" s="17"/>
      <c r="T640" s="17"/>
      <c r="U640" s="17"/>
      <c r="V640" s="17"/>
      <c r="W640" s="31"/>
      <c r="X640" s="17"/>
      <c r="Y640" s="17"/>
      <c r="Z640" s="31"/>
      <c r="AA640" s="17"/>
      <c r="AB640" s="17"/>
      <c r="AC640" s="17"/>
      <c r="AD640" s="32"/>
      <c r="AE640" s="31"/>
    </row>
    <row r="641" spans="14:31" x14ac:dyDescent="0.4">
      <c r="N641" s="10"/>
      <c r="P641" s="48"/>
      <c r="Q641" s="17"/>
      <c r="R641" s="17"/>
      <c r="S641" s="17"/>
      <c r="T641" s="17"/>
      <c r="U641" s="17"/>
      <c r="V641" s="17"/>
      <c r="W641" s="31"/>
      <c r="X641" s="17"/>
      <c r="Y641" s="17"/>
      <c r="Z641" s="31"/>
      <c r="AA641" s="17"/>
      <c r="AB641" s="17"/>
      <c r="AC641" s="17"/>
      <c r="AD641" s="32"/>
      <c r="AE641" s="31"/>
    </row>
    <row r="642" spans="14:31" x14ac:dyDescent="0.4">
      <c r="N642" s="10"/>
      <c r="P642" s="48"/>
      <c r="Q642" s="17"/>
      <c r="R642" s="17"/>
      <c r="S642" s="17"/>
      <c r="T642" s="17"/>
      <c r="U642" s="17"/>
      <c r="V642" s="17"/>
      <c r="W642" s="31"/>
      <c r="X642" s="17"/>
      <c r="Y642" s="17"/>
      <c r="Z642" s="31"/>
      <c r="AA642" s="17"/>
      <c r="AB642" s="17"/>
      <c r="AC642" s="17"/>
      <c r="AD642" s="32"/>
      <c r="AE642" s="31"/>
    </row>
    <row r="643" spans="14:31" x14ac:dyDescent="0.4">
      <c r="N643" s="10"/>
      <c r="P643" s="48"/>
      <c r="Q643" s="17"/>
      <c r="R643" s="17"/>
      <c r="S643" s="17"/>
      <c r="T643" s="17"/>
      <c r="U643" s="17"/>
      <c r="V643" s="17"/>
      <c r="W643" s="31"/>
      <c r="X643" s="17"/>
      <c r="Y643" s="17"/>
      <c r="Z643" s="31"/>
      <c r="AA643" s="17"/>
      <c r="AB643" s="17"/>
      <c r="AC643" s="17"/>
      <c r="AD643" s="32"/>
      <c r="AE643" s="31"/>
    </row>
    <row r="644" spans="14:31" x14ac:dyDescent="0.4">
      <c r="N644" s="10"/>
      <c r="P644" s="48"/>
      <c r="Q644" s="17"/>
      <c r="R644" s="17"/>
      <c r="S644" s="17"/>
      <c r="T644" s="17"/>
      <c r="U644" s="17"/>
      <c r="V644" s="17"/>
      <c r="W644" s="31"/>
      <c r="X644" s="17"/>
      <c r="Y644" s="17"/>
      <c r="Z644" s="31"/>
      <c r="AA644" s="17"/>
      <c r="AB644" s="17"/>
      <c r="AC644" s="17"/>
      <c r="AD644" s="32"/>
      <c r="AE644" s="31"/>
    </row>
    <row r="645" spans="14:31" x14ac:dyDescent="0.4">
      <c r="N645" s="10"/>
      <c r="P645" s="48"/>
      <c r="Q645" s="17"/>
      <c r="R645" s="17"/>
      <c r="S645" s="17"/>
      <c r="T645" s="17"/>
      <c r="U645" s="17"/>
      <c r="V645" s="17"/>
      <c r="W645" s="31"/>
      <c r="X645" s="17"/>
      <c r="Y645" s="17"/>
      <c r="Z645" s="31"/>
      <c r="AA645" s="17"/>
      <c r="AB645" s="17"/>
      <c r="AC645" s="17"/>
      <c r="AD645" s="32"/>
      <c r="AE645" s="31"/>
    </row>
    <row r="646" spans="14:31" x14ac:dyDescent="0.4">
      <c r="N646" s="10"/>
      <c r="P646" s="48"/>
      <c r="Q646" s="17"/>
      <c r="R646" s="17"/>
      <c r="S646" s="17"/>
      <c r="T646" s="17"/>
      <c r="U646" s="17"/>
      <c r="V646" s="17"/>
      <c r="W646" s="31"/>
      <c r="X646" s="17"/>
      <c r="Y646" s="17"/>
      <c r="Z646" s="31"/>
      <c r="AA646" s="17"/>
      <c r="AB646" s="17"/>
      <c r="AC646" s="17"/>
      <c r="AD646" s="32"/>
      <c r="AE646" s="31"/>
    </row>
    <row r="647" spans="14:31" x14ac:dyDescent="0.4">
      <c r="N647" s="10"/>
      <c r="P647" s="48"/>
      <c r="Q647" s="17"/>
      <c r="R647" s="17"/>
      <c r="S647" s="17"/>
      <c r="T647" s="17"/>
      <c r="U647" s="17"/>
      <c r="V647" s="17"/>
      <c r="W647" s="31"/>
      <c r="X647" s="17"/>
      <c r="Y647" s="17"/>
      <c r="Z647" s="31"/>
      <c r="AA647" s="17"/>
      <c r="AB647" s="17"/>
      <c r="AC647" s="17"/>
      <c r="AD647" s="32"/>
      <c r="AE647" s="31"/>
    </row>
    <row r="648" spans="14:31" x14ac:dyDescent="0.4">
      <c r="N648" s="10"/>
      <c r="P648" s="48"/>
      <c r="Q648" s="17"/>
      <c r="R648" s="17"/>
      <c r="S648" s="17"/>
      <c r="T648" s="17"/>
      <c r="U648" s="17"/>
      <c r="V648" s="17"/>
      <c r="W648" s="31"/>
      <c r="X648" s="17"/>
      <c r="Y648" s="17"/>
      <c r="Z648" s="31"/>
      <c r="AA648" s="17"/>
      <c r="AB648" s="17"/>
      <c r="AC648" s="17"/>
      <c r="AD648" s="32"/>
      <c r="AE648" s="31"/>
    </row>
    <row r="649" spans="14:31" x14ac:dyDescent="0.4">
      <c r="N649" s="10"/>
      <c r="P649" s="48"/>
      <c r="Q649" s="17"/>
      <c r="R649" s="17"/>
      <c r="S649" s="17"/>
      <c r="T649" s="17"/>
      <c r="U649" s="17"/>
      <c r="V649" s="17"/>
      <c r="W649" s="31"/>
      <c r="X649" s="17"/>
      <c r="Y649" s="17"/>
      <c r="Z649" s="31"/>
      <c r="AA649" s="17"/>
      <c r="AB649" s="17"/>
      <c r="AC649" s="17"/>
      <c r="AD649" s="32"/>
      <c r="AE649" s="31"/>
    </row>
    <row r="650" spans="14:31" x14ac:dyDescent="0.4">
      <c r="N650" s="10"/>
      <c r="P650" s="48"/>
      <c r="Q650" s="17"/>
      <c r="R650" s="17"/>
      <c r="S650" s="17"/>
      <c r="T650" s="17"/>
      <c r="U650" s="17"/>
      <c r="V650" s="17"/>
      <c r="W650" s="31"/>
      <c r="X650" s="17"/>
      <c r="Y650" s="17"/>
      <c r="Z650" s="31"/>
      <c r="AA650" s="17"/>
      <c r="AB650" s="17"/>
      <c r="AC650" s="17"/>
      <c r="AD650" s="32"/>
      <c r="AE650" s="31"/>
    </row>
    <row r="651" spans="14:31" x14ac:dyDescent="0.4">
      <c r="N651" s="10"/>
      <c r="P651" s="48"/>
      <c r="Q651" s="17"/>
      <c r="R651" s="17"/>
      <c r="S651" s="17"/>
      <c r="T651" s="17"/>
      <c r="U651" s="17"/>
      <c r="V651" s="17"/>
      <c r="W651" s="31"/>
      <c r="X651" s="17"/>
      <c r="Y651" s="17"/>
      <c r="Z651" s="31"/>
      <c r="AA651" s="17"/>
      <c r="AB651" s="17"/>
      <c r="AC651" s="17"/>
      <c r="AD651" s="32"/>
      <c r="AE651" s="31"/>
    </row>
    <row r="652" spans="14:31" x14ac:dyDescent="0.4">
      <c r="N652" s="10"/>
      <c r="P652" s="48"/>
      <c r="Q652" s="17"/>
      <c r="R652" s="17"/>
      <c r="S652" s="17"/>
      <c r="T652" s="17"/>
      <c r="U652" s="17"/>
      <c r="V652" s="17"/>
      <c r="W652" s="31"/>
      <c r="X652" s="17"/>
      <c r="Y652" s="17"/>
      <c r="Z652" s="31"/>
      <c r="AA652" s="17"/>
      <c r="AB652" s="17"/>
      <c r="AC652" s="17"/>
      <c r="AD652" s="32"/>
      <c r="AE652" s="31"/>
    </row>
    <row r="653" spans="14:31" x14ac:dyDescent="0.4">
      <c r="N653" s="10"/>
      <c r="P653" s="48"/>
      <c r="Q653" s="17"/>
      <c r="R653" s="17"/>
      <c r="S653" s="17"/>
      <c r="T653" s="17"/>
      <c r="U653" s="17"/>
      <c r="V653" s="17"/>
      <c r="W653" s="31"/>
      <c r="X653" s="17"/>
      <c r="Y653" s="17"/>
      <c r="Z653" s="31"/>
      <c r="AA653" s="17"/>
      <c r="AB653" s="17"/>
      <c r="AC653" s="17"/>
      <c r="AD653" s="32"/>
      <c r="AE653" s="31"/>
    </row>
    <row r="654" spans="14:31" x14ac:dyDescent="0.4">
      <c r="N654" s="10"/>
      <c r="P654" s="48"/>
      <c r="Q654" s="17"/>
      <c r="R654" s="17"/>
      <c r="S654" s="17"/>
      <c r="T654" s="17"/>
      <c r="U654" s="17"/>
      <c r="V654" s="17"/>
      <c r="W654" s="31"/>
      <c r="X654" s="17"/>
      <c r="Y654" s="17"/>
      <c r="Z654" s="31"/>
      <c r="AA654" s="17"/>
      <c r="AB654" s="17"/>
      <c r="AC654" s="17"/>
      <c r="AD654" s="32"/>
      <c r="AE654" s="31"/>
    </row>
    <row r="655" spans="14:31" x14ac:dyDescent="0.4">
      <c r="N655" s="10"/>
      <c r="P655" s="48"/>
      <c r="Q655" s="17"/>
      <c r="R655" s="17"/>
      <c r="S655" s="17"/>
      <c r="T655" s="17"/>
      <c r="U655" s="17"/>
      <c r="V655" s="17"/>
      <c r="W655" s="31"/>
      <c r="X655" s="17"/>
      <c r="Y655" s="17"/>
      <c r="Z655" s="31"/>
      <c r="AA655" s="17"/>
      <c r="AB655" s="17"/>
      <c r="AC655" s="17"/>
      <c r="AD655" s="32"/>
      <c r="AE655" s="31"/>
    </row>
    <row r="656" spans="14:31" x14ac:dyDescent="0.4">
      <c r="N656" s="10"/>
      <c r="P656" s="48"/>
      <c r="Q656" s="17"/>
      <c r="R656" s="17"/>
      <c r="S656" s="17"/>
      <c r="T656" s="17"/>
      <c r="U656" s="17"/>
      <c r="V656" s="17"/>
      <c r="W656" s="31"/>
      <c r="X656" s="17"/>
      <c r="Y656" s="17"/>
      <c r="Z656" s="31"/>
      <c r="AA656" s="17"/>
      <c r="AB656" s="17"/>
      <c r="AC656" s="17"/>
      <c r="AD656" s="32"/>
      <c r="AE656" s="31"/>
    </row>
    <row r="657" spans="14:31" x14ac:dyDescent="0.4">
      <c r="N657" s="10"/>
      <c r="P657" s="48"/>
      <c r="Q657" s="17"/>
      <c r="R657" s="17"/>
      <c r="S657" s="17"/>
      <c r="T657" s="17"/>
      <c r="U657" s="17"/>
      <c r="V657" s="17"/>
      <c r="W657" s="31"/>
      <c r="X657" s="17"/>
      <c r="Y657" s="17"/>
      <c r="Z657" s="31"/>
      <c r="AA657" s="17"/>
      <c r="AB657" s="17"/>
      <c r="AC657" s="17"/>
      <c r="AD657" s="32"/>
      <c r="AE657" s="31"/>
    </row>
    <row r="658" spans="14:31" x14ac:dyDescent="0.4">
      <c r="N658" s="10"/>
      <c r="P658" s="48"/>
      <c r="Q658" s="17"/>
      <c r="R658" s="17"/>
      <c r="S658" s="17"/>
      <c r="T658" s="17"/>
      <c r="U658" s="17"/>
      <c r="V658" s="17"/>
      <c r="W658" s="31"/>
      <c r="X658" s="17"/>
      <c r="Y658" s="17"/>
      <c r="Z658" s="31"/>
      <c r="AA658" s="17"/>
      <c r="AB658" s="17"/>
      <c r="AC658" s="17"/>
      <c r="AD658" s="32"/>
      <c r="AE658" s="31"/>
    </row>
    <row r="659" spans="14:31" x14ac:dyDescent="0.4">
      <c r="N659" s="10"/>
      <c r="P659" s="48"/>
      <c r="Q659" s="17"/>
      <c r="R659" s="17"/>
      <c r="S659" s="17"/>
      <c r="T659" s="17"/>
      <c r="U659" s="17"/>
      <c r="V659" s="17"/>
      <c r="W659" s="31"/>
      <c r="X659" s="17"/>
      <c r="Y659" s="17"/>
      <c r="Z659" s="31"/>
      <c r="AA659" s="17"/>
      <c r="AB659" s="17"/>
      <c r="AC659" s="17"/>
      <c r="AD659" s="32"/>
      <c r="AE659" s="31"/>
    </row>
    <row r="660" spans="14:31" x14ac:dyDescent="0.4">
      <c r="N660" s="10"/>
      <c r="P660" s="48"/>
      <c r="Q660" s="17"/>
      <c r="R660" s="17"/>
      <c r="S660" s="17"/>
      <c r="T660" s="17"/>
      <c r="U660" s="17"/>
      <c r="V660" s="17"/>
      <c r="W660" s="31"/>
      <c r="X660" s="17"/>
      <c r="Y660" s="17"/>
      <c r="Z660" s="31"/>
      <c r="AA660" s="17"/>
      <c r="AB660" s="17"/>
      <c r="AC660" s="17"/>
      <c r="AD660" s="32"/>
      <c r="AE660" s="31"/>
    </row>
    <row r="661" spans="14:31" x14ac:dyDescent="0.4">
      <c r="N661" s="10"/>
      <c r="P661" s="48"/>
      <c r="Q661" s="17"/>
      <c r="R661" s="17"/>
      <c r="S661" s="17"/>
      <c r="T661" s="17"/>
      <c r="U661" s="17"/>
      <c r="V661" s="17"/>
      <c r="W661" s="31"/>
      <c r="X661" s="17"/>
      <c r="Y661" s="17"/>
      <c r="Z661" s="31"/>
      <c r="AA661" s="17"/>
      <c r="AB661" s="17"/>
      <c r="AC661" s="17"/>
      <c r="AD661" s="32"/>
      <c r="AE661" s="31"/>
    </row>
    <row r="662" spans="14:31" x14ac:dyDescent="0.4">
      <c r="N662" s="10"/>
      <c r="P662" s="48"/>
      <c r="Q662" s="17"/>
      <c r="R662" s="17"/>
      <c r="S662" s="17"/>
      <c r="T662" s="17"/>
      <c r="U662" s="17"/>
      <c r="V662" s="17"/>
      <c r="W662" s="31"/>
      <c r="X662" s="17"/>
      <c r="Y662" s="17"/>
      <c r="Z662" s="31"/>
      <c r="AA662" s="17"/>
      <c r="AB662" s="17"/>
      <c r="AC662" s="17"/>
      <c r="AD662" s="32"/>
      <c r="AE662" s="31"/>
    </row>
    <row r="663" spans="14:31" x14ac:dyDescent="0.4">
      <c r="N663" s="10"/>
      <c r="P663" s="48"/>
      <c r="Q663" s="17"/>
      <c r="R663" s="17"/>
      <c r="S663" s="17"/>
      <c r="T663" s="17"/>
      <c r="U663" s="17"/>
      <c r="V663" s="17"/>
      <c r="W663" s="31"/>
      <c r="X663" s="17"/>
      <c r="Y663" s="17"/>
      <c r="Z663" s="31"/>
      <c r="AA663" s="17"/>
      <c r="AB663" s="17"/>
      <c r="AC663" s="17"/>
      <c r="AD663" s="32"/>
      <c r="AE663" s="31"/>
    </row>
    <row r="664" spans="14:31" x14ac:dyDescent="0.4">
      <c r="N664" s="10"/>
      <c r="P664" s="48"/>
      <c r="Q664" s="17"/>
      <c r="R664" s="17"/>
      <c r="S664" s="17"/>
      <c r="T664" s="17"/>
      <c r="U664" s="17"/>
      <c r="V664" s="17"/>
      <c r="W664" s="31"/>
      <c r="X664" s="17"/>
      <c r="Y664" s="17"/>
      <c r="Z664" s="31"/>
      <c r="AA664" s="17"/>
      <c r="AB664" s="17"/>
      <c r="AC664" s="17"/>
      <c r="AD664" s="32"/>
      <c r="AE664" s="31"/>
    </row>
    <row r="665" spans="14:31" x14ac:dyDescent="0.4">
      <c r="N665" s="10"/>
      <c r="P665" s="48"/>
      <c r="Q665" s="17"/>
      <c r="R665" s="17"/>
      <c r="S665" s="17"/>
      <c r="T665" s="17"/>
      <c r="U665" s="17"/>
      <c r="V665" s="17"/>
      <c r="W665" s="31"/>
      <c r="X665" s="17"/>
      <c r="Y665" s="17"/>
      <c r="Z665" s="31"/>
      <c r="AA665" s="17"/>
      <c r="AB665" s="17"/>
      <c r="AC665" s="17"/>
      <c r="AD665" s="32"/>
      <c r="AE665" s="31"/>
    </row>
    <row r="666" spans="14:31" x14ac:dyDescent="0.4">
      <c r="N666" s="10"/>
      <c r="P666" s="48"/>
      <c r="Q666" s="17"/>
      <c r="R666" s="17"/>
      <c r="S666" s="17"/>
      <c r="T666" s="17"/>
      <c r="U666" s="17"/>
      <c r="V666" s="17"/>
      <c r="W666" s="31"/>
      <c r="X666" s="17"/>
      <c r="Y666" s="17"/>
      <c r="Z666" s="31"/>
      <c r="AA666" s="17"/>
      <c r="AB666" s="17"/>
      <c r="AC666" s="17"/>
      <c r="AD666" s="32"/>
      <c r="AE666" s="31"/>
    </row>
    <row r="667" spans="14:31" x14ac:dyDescent="0.4">
      <c r="N667" s="10"/>
      <c r="P667" s="48"/>
      <c r="Q667" s="17"/>
      <c r="R667" s="17"/>
      <c r="S667" s="17"/>
      <c r="T667" s="17"/>
      <c r="U667" s="17"/>
      <c r="V667" s="17"/>
      <c r="W667" s="31"/>
      <c r="X667" s="17"/>
      <c r="Y667" s="17"/>
      <c r="Z667" s="31"/>
      <c r="AA667" s="17"/>
      <c r="AB667" s="17"/>
      <c r="AC667" s="17"/>
      <c r="AD667" s="32"/>
      <c r="AE667" s="31"/>
    </row>
    <row r="668" spans="14:31" x14ac:dyDescent="0.4">
      <c r="N668" s="10"/>
      <c r="P668" s="48"/>
      <c r="Q668" s="17"/>
      <c r="R668" s="17"/>
      <c r="S668" s="17"/>
      <c r="T668" s="17"/>
      <c r="U668" s="17"/>
      <c r="V668" s="17"/>
      <c r="W668" s="31"/>
      <c r="X668" s="17"/>
      <c r="Y668" s="17"/>
      <c r="Z668" s="31"/>
      <c r="AA668" s="17"/>
      <c r="AB668" s="17"/>
      <c r="AC668" s="17"/>
      <c r="AD668" s="32"/>
      <c r="AE668" s="31"/>
    </row>
    <row r="669" spans="14:31" x14ac:dyDescent="0.4">
      <c r="N669" s="10"/>
      <c r="P669" s="48"/>
      <c r="Q669" s="17"/>
      <c r="R669" s="17"/>
      <c r="S669" s="17"/>
      <c r="T669" s="17"/>
      <c r="U669" s="17"/>
      <c r="V669" s="17"/>
      <c r="W669" s="31"/>
      <c r="X669" s="17"/>
      <c r="Y669" s="17"/>
      <c r="Z669" s="31"/>
      <c r="AA669" s="17"/>
      <c r="AB669" s="17"/>
      <c r="AC669" s="17"/>
      <c r="AD669" s="32"/>
      <c r="AE669" s="31"/>
    </row>
    <row r="670" spans="14:31" x14ac:dyDescent="0.4">
      <c r="N670" s="10"/>
      <c r="P670" s="48"/>
      <c r="Q670" s="17"/>
      <c r="R670" s="17"/>
      <c r="S670" s="17"/>
      <c r="T670" s="17"/>
      <c r="U670" s="17"/>
      <c r="V670" s="17"/>
      <c r="W670" s="31"/>
      <c r="X670" s="17"/>
      <c r="Y670" s="17"/>
      <c r="Z670" s="31"/>
      <c r="AA670" s="17"/>
      <c r="AB670" s="17"/>
      <c r="AC670" s="17"/>
      <c r="AD670" s="32"/>
      <c r="AE670" s="31"/>
    </row>
    <row r="671" spans="14:31" x14ac:dyDescent="0.4">
      <c r="N671" s="10"/>
      <c r="P671" s="48"/>
      <c r="Q671" s="17"/>
      <c r="R671" s="17"/>
      <c r="S671" s="17"/>
      <c r="T671" s="17"/>
      <c r="U671" s="17"/>
      <c r="V671" s="17"/>
      <c r="W671" s="31"/>
      <c r="X671" s="17"/>
      <c r="Y671" s="17"/>
      <c r="Z671" s="31"/>
      <c r="AA671" s="17"/>
      <c r="AB671" s="17"/>
      <c r="AC671" s="17"/>
      <c r="AD671" s="32"/>
      <c r="AE671" s="31"/>
    </row>
    <row r="672" spans="14:31" x14ac:dyDescent="0.4">
      <c r="N672" s="10"/>
      <c r="P672" s="48"/>
      <c r="Q672" s="17"/>
      <c r="R672" s="17"/>
      <c r="S672" s="17"/>
      <c r="T672" s="17"/>
      <c r="U672" s="17"/>
      <c r="V672" s="17"/>
      <c r="W672" s="31"/>
      <c r="X672" s="17"/>
      <c r="Y672" s="17"/>
      <c r="Z672" s="31"/>
      <c r="AA672" s="17"/>
      <c r="AB672" s="17"/>
      <c r="AC672" s="17"/>
      <c r="AD672" s="32"/>
      <c r="AE672" s="31"/>
    </row>
    <row r="673" spans="14:31" x14ac:dyDescent="0.4">
      <c r="N673" s="10"/>
      <c r="P673" s="48"/>
      <c r="Q673" s="17"/>
      <c r="R673" s="17"/>
      <c r="S673" s="17"/>
      <c r="T673" s="17"/>
      <c r="U673" s="17"/>
      <c r="V673" s="17"/>
      <c r="W673" s="31"/>
      <c r="X673" s="17"/>
      <c r="Y673" s="17"/>
      <c r="Z673" s="31"/>
      <c r="AA673" s="17"/>
      <c r="AB673" s="17"/>
      <c r="AC673" s="17"/>
      <c r="AD673" s="32"/>
      <c r="AE673" s="31"/>
    </row>
    <row r="674" spans="14:31" x14ac:dyDescent="0.4">
      <c r="N674" s="10"/>
      <c r="P674" s="48"/>
      <c r="Q674" s="17"/>
      <c r="R674" s="17"/>
      <c r="S674" s="17"/>
      <c r="T674" s="17"/>
      <c r="U674" s="17"/>
      <c r="V674" s="17"/>
      <c r="W674" s="31"/>
      <c r="X674" s="17"/>
      <c r="Y674" s="17"/>
      <c r="Z674" s="31"/>
      <c r="AA674" s="17"/>
      <c r="AB674" s="17"/>
      <c r="AC674" s="17"/>
      <c r="AD674" s="32"/>
      <c r="AE674" s="31"/>
    </row>
    <row r="675" spans="14:31" x14ac:dyDescent="0.4">
      <c r="N675" s="10"/>
      <c r="P675" s="48"/>
      <c r="Q675" s="17"/>
      <c r="R675" s="17"/>
      <c r="S675" s="17"/>
      <c r="T675" s="17"/>
      <c r="U675" s="17"/>
      <c r="V675" s="17"/>
      <c r="W675" s="31"/>
      <c r="X675" s="17"/>
      <c r="Y675" s="17"/>
      <c r="Z675" s="31"/>
      <c r="AA675" s="17"/>
      <c r="AB675" s="17"/>
      <c r="AC675" s="17"/>
      <c r="AD675" s="32"/>
      <c r="AE675" s="31"/>
    </row>
    <row r="676" spans="14:31" x14ac:dyDescent="0.4">
      <c r="N676" s="10"/>
      <c r="P676" s="48"/>
      <c r="Q676" s="17"/>
      <c r="R676" s="17"/>
      <c r="S676" s="17"/>
      <c r="T676" s="17"/>
      <c r="U676" s="17"/>
      <c r="V676" s="17"/>
      <c r="W676" s="31"/>
      <c r="X676" s="17"/>
      <c r="Y676" s="17"/>
      <c r="Z676" s="31"/>
      <c r="AA676" s="17"/>
      <c r="AB676" s="17"/>
      <c r="AC676" s="17"/>
      <c r="AD676" s="32"/>
      <c r="AE676" s="31"/>
    </row>
    <row r="677" spans="14:31" x14ac:dyDescent="0.4">
      <c r="N677" s="10"/>
      <c r="P677" s="48"/>
      <c r="Q677" s="17"/>
      <c r="R677" s="17"/>
      <c r="S677" s="17"/>
      <c r="T677" s="17"/>
      <c r="U677" s="17"/>
      <c r="V677" s="17"/>
      <c r="W677" s="31"/>
      <c r="X677" s="17"/>
      <c r="Y677" s="17"/>
      <c r="Z677" s="31"/>
      <c r="AA677" s="17"/>
      <c r="AB677" s="17"/>
      <c r="AC677" s="17"/>
      <c r="AD677" s="32"/>
      <c r="AE677" s="31"/>
    </row>
    <row r="678" spans="14:31" x14ac:dyDescent="0.4">
      <c r="N678" s="10"/>
      <c r="P678" s="48"/>
      <c r="Q678" s="17"/>
      <c r="R678" s="17"/>
      <c r="S678" s="17"/>
      <c r="T678" s="17"/>
      <c r="U678" s="17"/>
      <c r="V678" s="17"/>
      <c r="W678" s="31"/>
      <c r="X678" s="17"/>
      <c r="Y678" s="17"/>
      <c r="Z678" s="31"/>
      <c r="AA678" s="17"/>
      <c r="AB678" s="17"/>
      <c r="AC678" s="17"/>
      <c r="AD678" s="32"/>
      <c r="AE678" s="31"/>
    </row>
    <row r="679" spans="14:31" x14ac:dyDescent="0.4">
      <c r="N679" s="10"/>
      <c r="P679" s="48"/>
      <c r="Q679" s="17"/>
      <c r="R679" s="17"/>
      <c r="S679" s="17"/>
      <c r="T679" s="17"/>
      <c r="U679" s="17"/>
      <c r="V679" s="17"/>
      <c r="W679" s="31"/>
      <c r="X679" s="17"/>
      <c r="Y679" s="17"/>
      <c r="Z679" s="31"/>
      <c r="AA679" s="17"/>
      <c r="AB679" s="17"/>
      <c r="AC679" s="17"/>
      <c r="AD679" s="32"/>
      <c r="AE679" s="31"/>
    </row>
    <row r="680" spans="14:31" x14ac:dyDescent="0.4">
      <c r="N680" s="10"/>
      <c r="P680" s="48"/>
      <c r="Q680" s="17"/>
      <c r="R680" s="17"/>
      <c r="S680" s="17"/>
      <c r="T680" s="17"/>
      <c r="U680" s="17"/>
      <c r="V680" s="17"/>
      <c r="W680" s="31"/>
      <c r="X680" s="17"/>
      <c r="Y680" s="17"/>
      <c r="Z680" s="31"/>
      <c r="AA680" s="17"/>
      <c r="AB680" s="17"/>
      <c r="AC680" s="17"/>
      <c r="AD680" s="32"/>
      <c r="AE680" s="31"/>
    </row>
    <row r="681" spans="14:31" x14ac:dyDescent="0.4">
      <c r="N681" s="10"/>
      <c r="P681" s="48"/>
      <c r="Q681" s="17"/>
      <c r="R681" s="17"/>
      <c r="S681" s="17"/>
      <c r="T681" s="17"/>
      <c r="U681" s="17"/>
      <c r="V681" s="17"/>
      <c r="W681" s="31"/>
      <c r="X681" s="17"/>
      <c r="Y681" s="17"/>
      <c r="Z681" s="31"/>
      <c r="AA681" s="17"/>
      <c r="AB681" s="17"/>
      <c r="AC681" s="17"/>
      <c r="AD681" s="32"/>
      <c r="AE681" s="31"/>
    </row>
    <row r="682" spans="14:31" x14ac:dyDescent="0.4">
      <c r="N682" s="10"/>
      <c r="P682" s="48"/>
      <c r="Q682" s="17"/>
      <c r="R682" s="17"/>
      <c r="S682" s="17"/>
      <c r="T682" s="17"/>
      <c r="U682" s="17"/>
      <c r="V682" s="17"/>
      <c r="W682" s="31"/>
      <c r="X682" s="17"/>
      <c r="Y682" s="17"/>
      <c r="Z682" s="31"/>
      <c r="AA682" s="17"/>
      <c r="AB682" s="17"/>
      <c r="AC682" s="17"/>
      <c r="AD682" s="32"/>
      <c r="AE682" s="31"/>
    </row>
    <row r="683" spans="14:31" x14ac:dyDescent="0.4">
      <c r="N683" s="10"/>
      <c r="P683" s="48"/>
      <c r="Q683" s="17"/>
      <c r="R683" s="17"/>
      <c r="S683" s="17"/>
      <c r="T683" s="17"/>
      <c r="U683" s="17"/>
      <c r="V683" s="17"/>
      <c r="W683" s="31"/>
      <c r="X683" s="17"/>
      <c r="Y683" s="17"/>
      <c r="Z683" s="31"/>
      <c r="AA683" s="17"/>
      <c r="AB683" s="17"/>
      <c r="AC683" s="17"/>
      <c r="AD683" s="32"/>
      <c r="AE683" s="31"/>
    </row>
    <row r="684" spans="14:31" x14ac:dyDescent="0.4">
      <c r="N684" s="10"/>
      <c r="P684" s="48"/>
      <c r="Q684" s="17"/>
      <c r="R684" s="17"/>
      <c r="S684" s="17"/>
      <c r="T684" s="17"/>
      <c r="U684" s="17"/>
      <c r="V684" s="17"/>
      <c r="W684" s="31"/>
      <c r="X684" s="17"/>
      <c r="Y684" s="17"/>
      <c r="Z684" s="31"/>
      <c r="AA684" s="17"/>
      <c r="AB684" s="17"/>
      <c r="AC684" s="17"/>
      <c r="AD684" s="32"/>
      <c r="AE684" s="31"/>
    </row>
    <row r="685" spans="14:31" x14ac:dyDescent="0.4">
      <c r="N685" s="10"/>
      <c r="P685" s="48"/>
      <c r="Q685" s="17"/>
      <c r="R685" s="17"/>
      <c r="S685" s="17"/>
      <c r="T685" s="17"/>
      <c r="U685" s="17"/>
      <c r="V685" s="17"/>
      <c r="W685" s="31"/>
      <c r="X685" s="17"/>
      <c r="Y685" s="17"/>
      <c r="Z685" s="31"/>
      <c r="AA685" s="17"/>
      <c r="AB685" s="17"/>
      <c r="AC685" s="17"/>
      <c r="AD685" s="32"/>
      <c r="AE685" s="31"/>
    </row>
    <row r="686" spans="14:31" x14ac:dyDescent="0.4">
      <c r="N686" s="10"/>
      <c r="P686" s="48"/>
      <c r="Q686" s="17"/>
      <c r="R686" s="17"/>
      <c r="S686" s="17"/>
      <c r="T686" s="17"/>
      <c r="U686" s="17"/>
      <c r="V686" s="17"/>
      <c r="W686" s="31"/>
      <c r="X686" s="17"/>
      <c r="Y686" s="17"/>
      <c r="Z686" s="31"/>
      <c r="AA686" s="17"/>
      <c r="AB686" s="17"/>
      <c r="AC686" s="17"/>
      <c r="AD686" s="32"/>
      <c r="AE686" s="31"/>
    </row>
    <row r="687" spans="14:31" x14ac:dyDescent="0.4">
      <c r="N687" s="10"/>
      <c r="P687" s="48"/>
      <c r="Q687" s="17"/>
      <c r="R687" s="17"/>
      <c r="S687" s="17"/>
      <c r="T687" s="17"/>
      <c r="U687" s="17"/>
      <c r="V687" s="17"/>
      <c r="W687" s="31"/>
      <c r="X687" s="17"/>
      <c r="Y687" s="17"/>
      <c r="Z687" s="31"/>
      <c r="AA687" s="17"/>
      <c r="AB687" s="17"/>
      <c r="AC687" s="17"/>
      <c r="AD687" s="32"/>
      <c r="AE687" s="31"/>
    </row>
    <row r="688" spans="14:31" x14ac:dyDescent="0.4">
      <c r="N688" s="10"/>
      <c r="P688" s="48"/>
      <c r="Q688" s="17"/>
      <c r="R688" s="17"/>
      <c r="S688" s="17"/>
      <c r="T688" s="17"/>
      <c r="U688" s="17"/>
      <c r="V688" s="17"/>
      <c r="W688" s="31"/>
      <c r="X688" s="17"/>
      <c r="Y688" s="17"/>
      <c r="Z688" s="31"/>
      <c r="AA688" s="17"/>
      <c r="AB688" s="17"/>
      <c r="AC688" s="17"/>
      <c r="AD688" s="32"/>
      <c r="AE688" s="31"/>
    </row>
    <row r="689" spans="14:31" x14ac:dyDescent="0.4">
      <c r="N689" s="10"/>
      <c r="P689" s="48"/>
      <c r="Q689" s="17"/>
      <c r="R689" s="17"/>
      <c r="S689" s="17"/>
      <c r="T689" s="17"/>
      <c r="U689" s="17"/>
      <c r="V689" s="17"/>
      <c r="W689" s="31"/>
      <c r="X689" s="17"/>
      <c r="Y689" s="17"/>
      <c r="Z689" s="31"/>
      <c r="AA689" s="17"/>
      <c r="AB689" s="17"/>
      <c r="AC689" s="17"/>
      <c r="AD689" s="32"/>
      <c r="AE689" s="31"/>
    </row>
    <row r="690" spans="14:31" x14ac:dyDescent="0.4">
      <c r="N690" s="10"/>
      <c r="P690" s="48"/>
      <c r="Q690" s="17"/>
      <c r="R690" s="17"/>
      <c r="S690" s="17"/>
      <c r="T690" s="17"/>
      <c r="U690" s="17"/>
      <c r="V690" s="17"/>
      <c r="W690" s="31"/>
      <c r="X690" s="17"/>
      <c r="Y690" s="17"/>
      <c r="Z690" s="31"/>
      <c r="AA690" s="17"/>
      <c r="AB690" s="17"/>
      <c r="AC690" s="17"/>
      <c r="AD690" s="32"/>
      <c r="AE690" s="31"/>
    </row>
    <row r="691" spans="14:31" x14ac:dyDescent="0.4">
      <c r="N691" s="10"/>
      <c r="P691" s="48"/>
      <c r="Q691" s="17"/>
      <c r="R691" s="17"/>
      <c r="S691" s="17"/>
      <c r="T691" s="17"/>
      <c r="U691" s="17"/>
      <c r="V691" s="17"/>
      <c r="W691" s="31"/>
      <c r="X691" s="17"/>
      <c r="Y691" s="17"/>
      <c r="Z691" s="31"/>
      <c r="AA691" s="17"/>
      <c r="AB691" s="17"/>
      <c r="AC691" s="17"/>
      <c r="AD691" s="32"/>
      <c r="AE691" s="31"/>
    </row>
    <row r="692" spans="14:31" x14ac:dyDescent="0.4">
      <c r="N692" s="10"/>
      <c r="P692" s="48"/>
      <c r="Q692" s="17"/>
      <c r="R692" s="17"/>
      <c r="S692" s="17"/>
      <c r="T692" s="17"/>
      <c r="U692" s="17"/>
      <c r="V692" s="17"/>
      <c r="W692" s="31"/>
      <c r="X692" s="17"/>
      <c r="Y692" s="17"/>
      <c r="Z692" s="31"/>
      <c r="AA692" s="17"/>
      <c r="AB692" s="17"/>
      <c r="AC692" s="17"/>
      <c r="AD692" s="32"/>
      <c r="AE692" s="31"/>
    </row>
    <row r="693" spans="14:31" x14ac:dyDescent="0.4">
      <c r="N693" s="10"/>
      <c r="P693" s="48"/>
      <c r="Q693" s="17"/>
      <c r="R693" s="17"/>
      <c r="S693" s="17"/>
      <c r="T693" s="17"/>
      <c r="U693" s="17"/>
      <c r="V693" s="17"/>
      <c r="W693" s="31"/>
      <c r="X693" s="17"/>
      <c r="Y693" s="17"/>
      <c r="Z693" s="31"/>
      <c r="AA693" s="17"/>
      <c r="AB693" s="17"/>
      <c r="AC693" s="17"/>
      <c r="AD693" s="32"/>
      <c r="AE693" s="31"/>
    </row>
    <row r="694" spans="14:31" x14ac:dyDescent="0.4">
      <c r="N694" s="10"/>
      <c r="P694" s="48"/>
      <c r="Q694" s="17"/>
      <c r="R694" s="17"/>
      <c r="S694" s="17"/>
      <c r="T694" s="17"/>
      <c r="U694" s="17"/>
      <c r="V694" s="17"/>
      <c r="W694" s="31"/>
      <c r="X694" s="17"/>
      <c r="Y694" s="17"/>
      <c r="Z694" s="31"/>
      <c r="AA694" s="17"/>
      <c r="AB694" s="17"/>
      <c r="AC694" s="17"/>
      <c r="AD694" s="32"/>
      <c r="AE694" s="31"/>
    </row>
    <row r="695" spans="14:31" x14ac:dyDescent="0.4">
      <c r="N695" s="10"/>
      <c r="P695" s="48"/>
      <c r="Q695" s="17"/>
      <c r="R695" s="17"/>
      <c r="S695" s="17"/>
      <c r="T695" s="17"/>
      <c r="U695" s="17"/>
      <c r="V695" s="17"/>
      <c r="W695" s="31"/>
      <c r="X695" s="17"/>
      <c r="Y695" s="17"/>
      <c r="Z695" s="31"/>
      <c r="AA695" s="17"/>
      <c r="AB695" s="17"/>
      <c r="AC695" s="17"/>
      <c r="AD695" s="32"/>
      <c r="AE695" s="31"/>
    </row>
    <row r="696" spans="14:31" x14ac:dyDescent="0.4">
      <c r="N696" s="10"/>
      <c r="P696" s="48"/>
      <c r="Q696" s="17"/>
      <c r="R696" s="17"/>
      <c r="S696" s="17"/>
      <c r="T696" s="17"/>
      <c r="U696" s="17"/>
      <c r="V696" s="17"/>
      <c r="W696" s="31"/>
      <c r="X696" s="17"/>
      <c r="Y696" s="17"/>
      <c r="Z696" s="31"/>
      <c r="AA696" s="17"/>
      <c r="AB696" s="17"/>
      <c r="AC696" s="17"/>
      <c r="AD696" s="32"/>
      <c r="AE696" s="31"/>
    </row>
    <row r="697" spans="14:31" x14ac:dyDescent="0.4">
      <c r="N697" s="10"/>
      <c r="P697" s="48"/>
      <c r="Q697" s="17"/>
      <c r="R697" s="17"/>
      <c r="S697" s="17"/>
      <c r="T697" s="17"/>
      <c r="U697" s="17"/>
      <c r="V697" s="17"/>
      <c r="W697" s="31"/>
      <c r="X697" s="17"/>
      <c r="Y697" s="17"/>
      <c r="Z697" s="31"/>
      <c r="AA697" s="17"/>
      <c r="AB697" s="17"/>
      <c r="AC697" s="17"/>
      <c r="AD697" s="32"/>
      <c r="AE697" s="31"/>
    </row>
    <row r="698" spans="14:31" x14ac:dyDescent="0.4">
      <c r="N698" s="10"/>
      <c r="P698" s="48"/>
      <c r="Q698" s="17"/>
      <c r="R698" s="17"/>
      <c r="S698" s="17"/>
      <c r="T698" s="17"/>
      <c r="U698" s="17"/>
      <c r="V698" s="17"/>
      <c r="W698" s="31"/>
      <c r="X698" s="17"/>
      <c r="Y698" s="17"/>
      <c r="Z698" s="31"/>
      <c r="AA698" s="17"/>
      <c r="AB698" s="17"/>
      <c r="AC698" s="17"/>
      <c r="AD698" s="32"/>
      <c r="AE698" s="31"/>
    </row>
    <row r="699" spans="14:31" x14ac:dyDescent="0.4">
      <c r="N699" s="10"/>
      <c r="P699" s="48"/>
      <c r="Q699" s="17"/>
      <c r="R699" s="17"/>
      <c r="S699" s="17"/>
      <c r="T699" s="17"/>
      <c r="U699" s="17"/>
      <c r="V699" s="17"/>
      <c r="W699" s="31"/>
      <c r="X699" s="17"/>
      <c r="Y699" s="17"/>
      <c r="Z699" s="31"/>
      <c r="AA699" s="17"/>
      <c r="AB699" s="17"/>
      <c r="AC699" s="17"/>
      <c r="AD699" s="32"/>
      <c r="AE699" s="31"/>
    </row>
    <row r="700" spans="14:31" x14ac:dyDescent="0.4">
      <c r="N700" s="10"/>
      <c r="P700" s="48"/>
      <c r="Q700" s="17"/>
      <c r="R700" s="17"/>
      <c r="S700" s="17"/>
      <c r="T700" s="17"/>
      <c r="U700" s="17"/>
      <c r="V700" s="17"/>
      <c r="W700" s="31"/>
      <c r="X700" s="17"/>
      <c r="Y700" s="17"/>
      <c r="Z700" s="31"/>
      <c r="AA700" s="17"/>
      <c r="AB700" s="17"/>
      <c r="AC700" s="17"/>
      <c r="AD700" s="32"/>
      <c r="AE700" s="31"/>
    </row>
    <row r="701" spans="14:31" x14ac:dyDescent="0.4">
      <c r="N701" s="10"/>
      <c r="P701" s="48"/>
      <c r="Q701" s="17"/>
      <c r="R701" s="17"/>
      <c r="S701" s="17"/>
      <c r="T701" s="17"/>
      <c r="U701" s="17"/>
      <c r="V701" s="17"/>
      <c r="W701" s="31"/>
      <c r="X701" s="17"/>
      <c r="Y701" s="17"/>
      <c r="Z701" s="31"/>
      <c r="AA701" s="17"/>
      <c r="AB701" s="17"/>
      <c r="AC701" s="17"/>
      <c r="AD701" s="32"/>
      <c r="AE701" s="31"/>
    </row>
    <row r="702" spans="14:31" x14ac:dyDescent="0.4">
      <c r="N702" s="10"/>
      <c r="P702" s="48"/>
      <c r="Q702" s="17"/>
      <c r="R702" s="17"/>
      <c r="S702" s="17"/>
      <c r="T702" s="17"/>
      <c r="U702" s="17"/>
      <c r="V702" s="17"/>
      <c r="W702" s="31"/>
      <c r="X702" s="17"/>
      <c r="Y702" s="17"/>
      <c r="Z702" s="31"/>
      <c r="AA702" s="17"/>
      <c r="AB702" s="17"/>
      <c r="AC702" s="17"/>
      <c r="AD702" s="32"/>
      <c r="AE702" s="31"/>
    </row>
    <row r="703" spans="14:31" x14ac:dyDescent="0.4">
      <c r="N703" s="10"/>
      <c r="P703" s="48"/>
      <c r="Q703" s="17"/>
      <c r="R703" s="17"/>
      <c r="S703" s="17"/>
      <c r="T703" s="17"/>
      <c r="U703" s="17"/>
      <c r="V703" s="17"/>
      <c r="W703" s="31"/>
      <c r="X703" s="17"/>
      <c r="Y703" s="17"/>
      <c r="Z703" s="31"/>
      <c r="AA703" s="17"/>
      <c r="AB703" s="17"/>
      <c r="AC703" s="17"/>
      <c r="AD703" s="32"/>
      <c r="AE703" s="31"/>
    </row>
    <row r="704" spans="14:31" x14ac:dyDescent="0.4">
      <c r="N704" s="10"/>
      <c r="P704" s="48"/>
      <c r="Q704" s="17"/>
      <c r="R704" s="17"/>
      <c r="S704" s="17"/>
      <c r="T704" s="17"/>
      <c r="U704" s="17"/>
      <c r="V704" s="17"/>
      <c r="W704" s="31"/>
      <c r="X704" s="17"/>
      <c r="Y704" s="17"/>
      <c r="Z704" s="31"/>
      <c r="AA704" s="17"/>
      <c r="AB704" s="17"/>
      <c r="AC704" s="17"/>
      <c r="AD704" s="32"/>
      <c r="AE704" s="31"/>
    </row>
    <row r="705" spans="14:31" x14ac:dyDescent="0.4">
      <c r="N705" s="10"/>
      <c r="P705" s="48"/>
      <c r="Q705" s="17"/>
      <c r="R705" s="17"/>
      <c r="S705" s="17"/>
      <c r="T705" s="17"/>
      <c r="U705" s="17"/>
      <c r="V705" s="17"/>
      <c r="W705" s="31"/>
      <c r="X705" s="17"/>
      <c r="Y705" s="17"/>
      <c r="Z705" s="31"/>
      <c r="AA705" s="17"/>
      <c r="AB705" s="17"/>
      <c r="AC705" s="17"/>
      <c r="AD705" s="32"/>
      <c r="AE705" s="31"/>
    </row>
    <row r="706" spans="14:31" x14ac:dyDescent="0.4">
      <c r="N706" s="10"/>
      <c r="P706" s="48"/>
      <c r="Q706" s="17"/>
      <c r="R706" s="17"/>
      <c r="S706" s="17"/>
      <c r="T706" s="17"/>
      <c r="U706" s="17"/>
      <c r="V706" s="17"/>
      <c r="W706" s="31"/>
      <c r="X706" s="17"/>
      <c r="Y706" s="17"/>
      <c r="Z706" s="31"/>
      <c r="AA706" s="17"/>
      <c r="AB706" s="17"/>
      <c r="AC706" s="17"/>
      <c r="AD706" s="32"/>
      <c r="AE706" s="31"/>
    </row>
    <row r="707" spans="14:31" x14ac:dyDescent="0.4">
      <c r="N707" s="10"/>
      <c r="P707" s="48"/>
      <c r="Q707" s="17"/>
      <c r="R707" s="17"/>
      <c r="S707" s="17"/>
      <c r="T707" s="17"/>
      <c r="U707" s="17"/>
      <c r="V707" s="17"/>
      <c r="W707" s="31"/>
      <c r="X707" s="17"/>
      <c r="Y707" s="17"/>
      <c r="Z707" s="31"/>
      <c r="AA707" s="17"/>
      <c r="AB707" s="17"/>
      <c r="AC707" s="17"/>
      <c r="AD707" s="32"/>
      <c r="AE707" s="31"/>
    </row>
    <row r="708" spans="14:31" x14ac:dyDescent="0.4">
      <c r="N708" s="10"/>
      <c r="P708" s="48"/>
      <c r="Q708" s="17"/>
      <c r="R708" s="17"/>
      <c r="S708" s="17"/>
      <c r="T708" s="17"/>
      <c r="U708" s="17"/>
      <c r="V708" s="17"/>
      <c r="W708" s="31"/>
      <c r="X708" s="17"/>
      <c r="Y708" s="17"/>
      <c r="Z708" s="31"/>
      <c r="AA708" s="17"/>
      <c r="AB708" s="17"/>
      <c r="AC708" s="17"/>
      <c r="AD708" s="32"/>
      <c r="AE708" s="31"/>
    </row>
  </sheetData>
  <mergeCells count="29">
    <mergeCell ref="A1:M1"/>
    <mergeCell ref="E6:K6"/>
    <mergeCell ref="Q17:S17"/>
    <mergeCell ref="T17:V17"/>
    <mergeCell ref="W17:Y17"/>
    <mergeCell ref="P16:AE16"/>
    <mergeCell ref="Z17:AB17"/>
    <mergeCell ref="N1:X1"/>
    <mergeCell ref="P4:AE4"/>
    <mergeCell ref="AF4:AR4"/>
    <mergeCell ref="AS4:AU4"/>
    <mergeCell ref="Q5:S5"/>
    <mergeCell ref="T5:V5"/>
    <mergeCell ref="W5:Y5"/>
    <mergeCell ref="Z5:AB5"/>
    <mergeCell ref="AC5:AE5"/>
    <mergeCell ref="AG5:AI5"/>
    <mergeCell ref="AJ5:AL5"/>
    <mergeCell ref="AM5:AO5"/>
    <mergeCell ref="AP5:AR5"/>
    <mergeCell ref="AS5:AU5"/>
    <mergeCell ref="AP17:AR17"/>
    <mergeCell ref="AC17:AE17"/>
    <mergeCell ref="AS16:AU16"/>
    <mergeCell ref="AS17:AU17"/>
    <mergeCell ref="AG17:AI17"/>
    <mergeCell ref="AJ17:AL17"/>
    <mergeCell ref="AM17:AO17"/>
    <mergeCell ref="AF16:AR16"/>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Z157"/>
  <sheetViews>
    <sheetView zoomScale="85" zoomScaleNormal="85" workbookViewId="0">
      <pane ySplit="6" topLeftCell="A7" activePane="bottomLeft" state="frozen"/>
      <selection activeCell="R1" sqref="R1"/>
      <selection pane="bottomLeft" activeCell="H9" sqref="H9"/>
    </sheetView>
  </sheetViews>
  <sheetFormatPr defaultColWidth="8.84375" defaultRowHeight="14.6" x14ac:dyDescent="0.4"/>
  <cols>
    <col min="1" max="1" width="25.4609375" style="49" customWidth="1"/>
    <col min="2" max="2" width="14.69140625" style="49" customWidth="1"/>
    <col min="3" max="9" width="8.84375" style="49"/>
    <col min="10" max="10" width="10" style="49" bestFit="1" customWidth="1"/>
    <col min="11" max="20" width="8.84375" style="49"/>
    <col min="21" max="21" width="7.84375" style="49" customWidth="1"/>
    <col min="22" max="25" width="8.84375" style="49"/>
    <col min="26" max="26" width="12" style="49" bestFit="1" customWidth="1"/>
    <col min="27" max="46" width="8.84375" style="49"/>
    <col min="47" max="47" width="11.84375" style="49" bestFit="1" customWidth="1"/>
    <col min="48" max="56" width="8.84375" style="49"/>
    <col min="57" max="58" width="14.69140625" style="49" bestFit="1" customWidth="1"/>
    <col min="59" max="59" width="9.69140625" style="49" customWidth="1"/>
    <col min="60" max="60" width="9.4609375" style="49" customWidth="1"/>
    <col min="61" max="62" width="11.84375" style="49" customWidth="1"/>
    <col min="63" max="65" width="8.84375" style="49"/>
    <col min="66" max="67" width="8.53515625" style="49" bestFit="1" customWidth="1"/>
    <col min="68" max="68" width="10.69140625" style="49" bestFit="1" customWidth="1"/>
    <col min="69" max="69" width="9.69140625" style="49" bestFit="1" customWidth="1"/>
    <col min="70" max="70" width="8.4609375" style="49" bestFit="1" customWidth="1"/>
    <col min="71" max="71" width="9.3046875" style="49" bestFit="1" customWidth="1"/>
    <col min="72" max="72" width="11.3046875" style="49" bestFit="1" customWidth="1"/>
    <col min="73" max="73" width="12.4609375" style="49" bestFit="1" customWidth="1"/>
    <col min="74" max="75" width="8.84375" style="49"/>
    <col min="76" max="76" width="14.69140625" style="49" bestFit="1" customWidth="1"/>
    <col min="77" max="16384" width="8.84375" style="49"/>
  </cols>
  <sheetData>
    <row r="1" spans="1:78" ht="27.45" x14ac:dyDescent="0.65">
      <c r="A1" s="295" t="s">
        <v>16</v>
      </c>
      <c r="B1" s="295"/>
      <c r="C1" s="295"/>
      <c r="D1" s="295"/>
      <c r="E1" s="295"/>
      <c r="F1" s="295"/>
      <c r="G1" s="295"/>
      <c r="H1" s="295"/>
      <c r="I1" s="295"/>
      <c r="J1" s="295"/>
      <c r="K1" s="295"/>
      <c r="L1" s="295"/>
      <c r="M1" s="295"/>
    </row>
    <row r="2" spans="1:78" x14ac:dyDescent="0.4">
      <c r="AN2" s="49" t="s">
        <v>602</v>
      </c>
      <c r="AO2" s="49">
        <f>((NS1_/Np)^2)*Lm</f>
        <v>2.8799999999999997E-3</v>
      </c>
    </row>
    <row r="3" spans="1:78" ht="15" thickBot="1" x14ac:dyDescent="0.45">
      <c r="AX3" s="49" t="s">
        <v>668</v>
      </c>
    </row>
    <row r="4" spans="1:78" ht="15" thickBot="1" x14ac:dyDescent="0.45">
      <c r="R4" s="296" t="s">
        <v>325</v>
      </c>
      <c r="S4" s="293"/>
      <c r="T4" s="294"/>
      <c r="U4" s="297" t="s">
        <v>599</v>
      </c>
      <c r="V4" s="298"/>
      <c r="W4" s="298"/>
      <c r="X4" s="298"/>
      <c r="Y4" s="298"/>
      <c r="Z4" s="298"/>
      <c r="AA4" s="298"/>
      <c r="AB4" s="298"/>
      <c r="AC4" s="298"/>
      <c r="AD4" s="298"/>
      <c r="AE4" s="299"/>
      <c r="AF4" s="208"/>
      <c r="AG4" s="208"/>
      <c r="AH4" s="74"/>
      <c r="AI4" s="74"/>
      <c r="AJ4" s="77"/>
      <c r="AK4" s="297" t="s">
        <v>614</v>
      </c>
      <c r="AL4" s="298"/>
      <c r="AM4" s="298"/>
      <c r="AN4" s="298"/>
      <c r="AO4" s="298"/>
      <c r="AP4" s="298"/>
      <c r="AQ4" s="298"/>
      <c r="AR4" s="298"/>
      <c r="AS4" s="298"/>
      <c r="AT4" s="298"/>
      <c r="AU4" s="298"/>
      <c r="AV4" s="298"/>
      <c r="AW4" s="298"/>
      <c r="AX4" s="298"/>
      <c r="AY4" s="299"/>
      <c r="AZ4" s="296" t="s">
        <v>487</v>
      </c>
      <c r="BA4" s="293"/>
      <c r="BB4" s="293"/>
      <c r="BC4" s="293"/>
      <c r="BD4" s="293"/>
      <c r="BE4" s="293"/>
      <c r="BF4" s="293"/>
      <c r="BG4" s="293"/>
      <c r="BH4" s="293"/>
      <c r="BI4" s="294"/>
      <c r="BJ4" s="208"/>
      <c r="BK4" s="296" t="s">
        <v>627</v>
      </c>
      <c r="BL4" s="293"/>
      <c r="BM4" s="293"/>
      <c r="BN4" s="293"/>
      <c r="BO4" s="293"/>
      <c r="BP4" s="293"/>
      <c r="BQ4" s="293"/>
      <c r="BR4" s="293"/>
      <c r="BS4" s="293"/>
      <c r="BT4" s="293"/>
      <c r="BU4" s="71"/>
      <c r="BV4" s="74"/>
      <c r="BW4" s="77"/>
      <c r="BY4" s="49" t="s">
        <v>632</v>
      </c>
    </row>
    <row r="5" spans="1:78" x14ac:dyDescent="0.4">
      <c r="R5" s="291"/>
      <c r="S5" s="290"/>
      <c r="T5" s="292"/>
      <c r="U5" s="224" t="s">
        <v>326</v>
      </c>
      <c r="V5" s="209"/>
      <c r="W5" s="207"/>
      <c r="X5" s="207"/>
      <c r="Y5" s="224" t="s">
        <v>596</v>
      </c>
      <c r="Z5" s="209"/>
      <c r="AA5" s="209"/>
      <c r="AB5" s="210"/>
      <c r="AC5" s="224"/>
      <c r="AD5" s="209"/>
      <c r="AE5" s="210"/>
      <c r="AF5" s="296" t="s">
        <v>629</v>
      </c>
      <c r="AG5" s="294"/>
      <c r="AH5" s="296" t="s">
        <v>628</v>
      </c>
      <c r="AI5" s="293"/>
      <c r="AJ5" s="294"/>
      <c r="AK5" s="296"/>
      <c r="AL5" s="293"/>
      <c r="AM5" s="294"/>
      <c r="AN5" s="296"/>
      <c r="AO5" s="293"/>
      <c r="AP5" s="293"/>
      <c r="AQ5" s="293"/>
      <c r="AR5" s="293"/>
      <c r="AS5" s="294"/>
      <c r="AT5" s="296" t="s">
        <v>615</v>
      </c>
      <c r="AU5" s="293"/>
      <c r="AV5" s="294"/>
      <c r="AW5" s="296" t="s">
        <v>616</v>
      </c>
      <c r="AX5" s="293"/>
      <c r="AY5" s="294"/>
      <c r="AZ5" s="296"/>
      <c r="BA5" s="293"/>
      <c r="BB5" s="293"/>
      <c r="BC5" s="294"/>
      <c r="BD5" s="296" t="s">
        <v>615</v>
      </c>
      <c r="BE5" s="293"/>
      <c r="BF5" s="294"/>
      <c r="BG5" s="296" t="s">
        <v>616</v>
      </c>
      <c r="BH5" s="293"/>
      <c r="BI5" s="294"/>
      <c r="BJ5" s="208"/>
      <c r="BK5" s="296"/>
      <c r="BL5" s="293"/>
      <c r="BM5" s="293"/>
      <c r="BN5" s="294"/>
      <c r="BO5" s="296" t="s">
        <v>615</v>
      </c>
      <c r="BP5" s="293"/>
      <c r="BQ5" s="294"/>
      <c r="BR5" s="296" t="s">
        <v>616</v>
      </c>
      <c r="BS5" s="293"/>
      <c r="BT5" s="294"/>
      <c r="BU5" s="300" t="s">
        <v>378</v>
      </c>
      <c r="BV5" s="301"/>
      <c r="BW5" s="302"/>
      <c r="BX5" s="212"/>
    </row>
    <row r="6" spans="1:78" ht="17.149999999999999" x14ac:dyDescent="0.55000000000000004">
      <c r="R6" s="58" t="s">
        <v>597</v>
      </c>
      <c r="S6" s="49" t="s">
        <v>280</v>
      </c>
      <c r="T6" s="61" t="s">
        <v>283</v>
      </c>
      <c r="U6" s="58" t="s">
        <v>281</v>
      </c>
      <c r="V6" s="49" t="s">
        <v>282</v>
      </c>
      <c r="W6" s="49" t="s">
        <v>600</v>
      </c>
      <c r="X6" s="49" t="s">
        <v>601</v>
      </c>
      <c r="Y6" s="58" t="s">
        <v>598</v>
      </c>
      <c r="Z6" s="213" t="s">
        <v>327</v>
      </c>
      <c r="AA6" s="213" t="s">
        <v>329</v>
      </c>
      <c r="AB6" s="218" t="s">
        <v>328</v>
      </c>
      <c r="AC6" s="222" t="s">
        <v>331</v>
      </c>
      <c r="AD6" s="214" t="s">
        <v>332</v>
      </c>
      <c r="AE6" s="216" t="s">
        <v>371</v>
      </c>
      <c r="AF6" s="222" t="s">
        <v>630</v>
      </c>
      <c r="AG6" s="216" t="s">
        <v>631</v>
      </c>
      <c r="AH6" s="222" t="s">
        <v>369</v>
      </c>
      <c r="AI6" s="214" t="s">
        <v>368</v>
      </c>
      <c r="AJ6" s="216" t="s">
        <v>370</v>
      </c>
      <c r="AK6" s="58" t="s">
        <v>422</v>
      </c>
      <c r="AL6" s="49" t="s">
        <v>419</v>
      </c>
      <c r="AM6" s="61" t="s">
        <v>420</v>
      </c>
      <c r="AN6" s="222" t="s">
        <v>281</v>
      </c>
      <c r="AO6" s="214" t="s">
        <v>610</v>
      </c>
      <c r="AP6" s="214" t="s">
        <v>609</v>
      </c>
      <c r="AQ6" s="214" t="s">
        <v>611</v>
      </c>
      <c r="AR6" s="214" t="s">
        <v>612</v>
      </c>
      <c r="AS6" s="216" t="s">
        <v>613</v>
      </c>
      <c r="AT6" s="222" t="s">
        <v>331</v>
      </c>
      <c r="AU6" s="214" t="s">
        <v>332</v>
      </c>
      <c r="AV6" s="216" t="s">
        <v>371</v>
      </c>
      <c r="AW6" s="222" t="s">
        <v>617</v>
      </c>
      <c r="AX6" s="214" t="s">
        <v>618</v>
      </c>
      <c r="AY6" s="216" t="s">
        <v>619</v>
      </c>
      <c r="AZ6" s="58" t="s">
        <v>426</v>
      </c>
      <c r="BA6" s="49" t="s">
        <v>423</v>
      </c>
      <c r="BB6" s="49" t="s">
        <v>424</v>
      </c>
      <c r="BC6" s="216" t="s">
        <v>608</v>
      </c>
      <c r="BD6" s="222" t="s">
        <v>331</v>
      </c>
      <c r="BE6" s="214" t="s">
        <v>332</v>
      </c>
      <c r="BF6" s="216" t="s">
        <v>371</v>
      </c>
      <c r="BG6" s="222" t="s">
        <v>617</v>
      </c>
      <c r="BH6" s="214" t="s">
        <v>618</v>
      </c>
      <c r="BI6" s="216" t="s">
        <v>619</v>
      </c>
      <c r="BJ6" s="214"/>
      <c r="BK6" s="58" t="s">
        <v>430</v>
      </c>
      <c r="BL6" s="49" t="s">
        <v>427</v>
      </c>
      <c r="BM6" s="49" t="s">
        <v>428</v>
      </c>
      <c r="BN6" s="216" t="s">
        <v>626</v>
      </c>
      <c r="BO6" s="222" t="s">
        <v>331</v>
      </c>
      <c r="BP6" s="214" t="s">
        <v>332</v>
      </c>
      <c r="BQ6" s="216" t="s">
        <v>371</v>
      </c>
      <c r="BR6" s="222" t="s">
        <v>617</v>
      </c>
      <c r="BS6" s="214" t="s">
        <v>618</v>
      </c>
      <c r="BT6" s="216" t="s">
        <v>619</v>
      </c>
      <c r="BU6" s="217" t="s">
        <v>372</v>
      </c>
      <c r="BV6" s="213" t="s">
        <v>373</v>
      </c>
      <c r="BW6" s="218" t="s">
        <v>374</v>
      </c>
      <c r="BX6" s="213" t="s">
        <v>633</v>
      </c>
    </row>
    <row r="7" spans="1:78" x14ac:dyDescent="0.4">
      <c r="Q7" s="49">
        <v>0</v>
      </c>
      <c r="R7" s="58">
        <f t="shared" ref="R7:R38" si="0">AK7+AZ7+BK7</f>
        <v>0</v>
      </c>
      <c r="S7" s="49">
        <f t="shared" ref="S7:S70" si="1">VIN_var</f>
        <v>15</v>
      </c>
      <c r="T7" s="61">
        <f t="shared" ref="T7:T38" si="2">(R7)/(S7*EFF_est)</f>
        <v>0</v>
      </c>
      <c r="U7" s="58">
        <f t="shared" ref="U7:U38" si="3">IF(R7&lt;((((Np/NS1_)*(AL7)/((S7+((Np/NS1_)*(AL7)))))^2)*(S7^2))/(2*Lm*Fsw),1,2)</f>
        <v>1</v>
      </c>
      <c r="V7" s="49">
        <f t="shared" ref="V7:V38" si="4">CHOOSE(U7,SQRT((2*Lm*R7*Fsw)/((S7^2)*EFF_est)),(((Np/NS1_)*(AL7))/(S7+((Np/NS1_)*(AL7)))))</f>
        <v>0</v>
      </c>
      <c r="W7" s="49">
        <f t="shared" ref="W7:W38" si="5">CHOOSE(U7,(NS1_*S7*V7)/(Np*AL7),1-V7)</f>
        <v>0</v>
      </c>
      <c r="X7" s="49">
        <f>CHOOSE(U7,1-V7-W7,0)</f>
        <v>1</v>
      </c>
      <c r="Y7" s="58">
        <v>0</v>
      </c>
      <c r="Z7" s="49">
        <f t="shared" ref="Z7:Z38" si="6">(S7*V7)/(Lm*Fsw)</f>
        <v>0</v>
      </c>
      <c r="AA7" s="49">
        <f>Y7+(Z7/2)</f>
        <v>0</v>
      </c>
      <c r="AB7" s="61">
        <f t="shared" ref="AB7:AB38" si="7">CHOOSE(U7,AA7*SQRT(V7/3),SQRT(V7*((AA7^2)+((Z7^2)/(3))-(AA7*Z7))))</f>
        <v>0</v>
      </c>
      <c r="AC7" s="58">
        <v>0</v>
      </c>
      <c r="AD7" s="49">
        <f>(AB7^2)*Rdcr</f>
        <v>0</v>
      </c>
      <c r="AE7" s="61">
        <f>AC7+AD7</f>
        <v>0</v>
      </c>
      <c r="AF7" s="58">
        <f t="shared" ref="AF7:AF38" si="8">R7*0.02</f>
        <v>0</v>
      </c>
      <c r="AG7" s="61">
        <f t="shared" ref="AG7:AG38" si="9">R7*0.02</f>
        <v>0</v>
      </c>
      <c r="AH7" s="58">
        <f t="shared" ref="AH7:AH38" si="10">(AB7^2)*RDS_on</f>
        <v>0</v>
      </c>
      <c r="AI7" s="49">
        <f t="shared" ref="AI7:AI38" si="11">((Y7*(S7+((Np/NS1_)*VOUT1)))/2)*Fsw*(tr_sw+tf_sw)</f>
        <v>0</v>
      </c>
      <c r="AJ7" s="61">
        <f>AH7+AI7</f>
        <v>0</v>
      </c>
      <c r="AK7" s="58">
        <f t="shared" ref="AK7:AK38" si="12">Q7*$B$11</f>
        <v>0</v>
      </c>
      <c r="AL7" s="49">
        <f t="shared" ref="AL7:AL70" si="13">VOUT1</f>
        <v>1500</v>
      </c>
      <c r="AM7" s="61">
        <f>AK7/AL7</f>
        <v>0</v>
      </c>
      <c r="AN7" s="58"/>
      <c r="AS7" s="61"/>
      <c r="AT7" s="58"/>
      <c r="AV7" s="61"/>
      <c r="AW7" s="58"/>
      <c r="AY7" s="61"/>
      <c r="AZ7" s="58">
        <f t="shared" ref="AZ7:AZ38" si="14">IF(EN_OUT_2=1,Q7*$B$15,0)</f>
        <v>0</v>
      </c>
      <c r="BA7" s="49">
        <f t="shared" ref="BA7:BA38" si="15">IF(EN_OUT_2=1,VOUT2,0)</f>
        <v>0</v>
      </c>
      <c r="BB7" s="49">
        <f>IF(EN_OUT_2=1,AZ7/BA7,0)</f>
        <v>0</v>
      </c>
      <c r="BC7" s="61"/>
      <c r="BD7" s="58"/>
      <c r="BF7" s="61"/>
      <c r="BG7" s="58"/>
      <c r="BI7" s="61"/>
      <c r="BK7" s="58">
        <f t="shared" ref="BK7:BK38" si="16">IF(EN_OUT_3=1,Q7*$B$19,0)</f>
        <v>0</v>
      </c>
      <c r="BL7" s="49">
        <f t="shared" ref="BL7:BL70" si="17">IF(EN_OUT_3=1,VOUT3,0)</f>
        <v>0</v>
      </c>
      <c r="BM7" s="49">
        <f t="shared" ref="BM7:BM38" si="18">IF(EN_OUT_3=1,BK7/BL7,0)</f>
        <v>0</v>
      </c>
      <c r="BN7" s="61"/>
      <c r="BO7" s="58"/>
      <c r="BQ7" s="61"/>
      <c r="BR7" s="58"/>
      <c r="BT7" s="61"/>
      <c r="BU7" s="58">
        <f t="shared" ref="BU7:BU38" si="19">(AB7^2)*R_cs</f>
        <v>0</v>
      </c>
      <c r="BV7" s="49">
        <f t="shared" ref="BV7:BV70" si="20">Qg_tot*Vcc*Fsw</f>
        <v>1.0800000000000002E-3</v>
      </c>
      <c r="BW7" s="61">
        <f t="shared" ref="BW7:BW38" si="21">IQ*S7</f>
        <v>6.7499999999999999E-3</v>
      </c>
      <c r="BX7" s="49">
        <f>BF7+BQ7+AE7+AG7</f>
        <v>0</v>
      </c>
      <c r="BY7" s="49">
        <f>BW7+BV7+BU7+BT7+BQ7+BI7+BF7++AY7+AV7+AJ7+AF7+AE7+AG7</f>
        <v>7.8300000000000002E-3</v>
      </c>
      <c r="BZ7" s="49">
        <f>R7/(R7+BY7)</f>
        <v>0</v>
      </c>
    </row>
    <row r="8" spans="1:78" x14ac:dyDescent="0.4">
      <c r="M8" s="49">
        <f>Fsw</f>
        <v>100000</v>
      </c>
      <c r="Q8" s="49">
        <v>1</v>
      </c>
      <c r="R8" s="217">
        <f t="shared" si="0"/>
        <v>0.5</v>
      </c>
      <c r="S8" s="213">
        <f t="shared" si="1"/>
        <v>15</v>
      </c>
      <c r="T8" s="218">
        <f t="shared" si="2"/>
        <v>3.3333333333333333E-2</v>
      </c>
      <c r="U8" s="217">
        <f t="shared" si="3"/>
        <v>1</v>
      </c>
      <c r="V8" s="213">
        <f t="shared" si="4"/>
        <v>0.1414213562373095</v>
      </c>
      <c r="W8" s="213">
        <f t="shared" si="5"/>
        <v>1.131370849898476E-2</v>
      </c>
      <c r="X8" s="213">
        <f t="shared" ref="X8:X71" si="22">CHOOSE(U8,1-V8-W8,0)</f>
        <v>0.84726493526370583</v>
      </c>
      <c r="Y8" s="217">
        <f t="shared" ref="Y8:Y39" si="23">R8/(S8*EFF_est*V8)</f>
        <v>0.23570226039551587</v>
      </c>
      <c r="Z8" s="213">
        <f t="shared" si="6"/>
        <v>0.47140452079103162</v>
      </c>
      <c r="AA8" s="213">
        <f t="shared" ref="AA8:AA71" si="24">Y8+(Z8/2)</f>
        <v>0.47140452079103168</v>
      </c>
      <c r="AB8" s="218">
        <f>CHOOSE(U8,AA8*SQRT(V8/3),SQRT(V8*((AA8^2)+((Z8^2)/(3))-(AA8*Z8))))</f>
        <v>0.10235065225770903</v>
      </c>
      <c r="AC8" s="217">
        <v>0</v>
      </c>
      <c r="AD8" s="213">
        <f t="shared" ref="AD8:AD38" si="25">(AB8^2)*Rdcr</f>
        <v>1.2047004420215253E-2</v>
      </c>
      <c r="AE8" s="218">
        <f t="shared" ref="AE8:AE71" si="26">AC8+AD8</f>
        <v>1.2047004420215253E-2</v>
      </c>
      <c r="AF8" s="58">
        <f t="shared" si="8"/>
        <v>0.01</v>
      </c>
      <c r="AG8" s="61">
        <f t="shared" si="9"/>
        <v>0.01</v>
      </c>
      <c r="AH8" s="58">
        <f>(AB8^2)*RDS_on</f>
        <v>2.4617791641309431E-3</v>
      </c>
      <c r="AI8" s="49">
        <f>((Y8*(S8+((Np/NS1_)*VOUT1)))/2)*Fsw*(tr_sw+tf_sw)</f>
        <v>3.0000496395794049E-3</v>
      </c>
      <c r="AJ8" s="61">
        <f>AH8+AI8</f>
        <v>5.4618288037103484E-3</v>
      </c>
      <c r="AK8" s="217">
        <f t="shared" si="12"/>
        <v>0.5</v>
      </c>
      <c r="AL8" s="213">
        <f t="shared" si="13"/>
        <v>1500</v>
      </c>
      <c r="AM8" s="218">
        <f t="shared" ref="AM8:AM71" si="27">AK8/AL8</f>
        <v>3.3333333333333332E-4</v>
      </c>
      <c r="AN8" s="217">
        <f t="shared" ref="AN8:AN39" si="28">IF(((AL8*AO8)/(Fsw*$AO$2))/2&gt;AP8,1,2)</f>
        <v>2</v>
      </c>
      <c r="AO8" s="213">
        <f t="shared" ref="AO8:AO39" si="29">AM8/AP8</f>
        <v>1.1313708498984758E-2</v>
      </c>
      <c r="AP8" s="213">
        <f t="shared" ref="AP8:AP39" si="30">Np*$Y8*AK8/(R8*NS1_)</f>
        <v>2.9462782549439483E-2</v>
      </c>
      <c r="AQ8" s="213">
        <f t="shared" ref="AQ8:AQ39" si="31">(AL8*AO8)/(Fsw*$AO$2)</f>
        <v>5.8925565098878953E-2</v>
      </c>
      <c r="AR8" s="213">
        <f>AP8+(AQ8/2)</f>
        <v>5.892556509887896E-2</v>
      </c>
      <c r="AS8" s="218">
        <f>CHOOSE(AN8,AR8*SQRT(AO8/3),SQRT(AO8*((AR8^2)+((AQ8^2)/(3))-(AQ8*AR8))))</f>
        <v>3.6186420135146148E-3</v>
      </c>
      <c r="AT8" s="217"/>
      <c r="AU8" s="213">
        <f t="shared" ref="AU8:AU39" si="32">(AM8^2)*Rdcr1</f>
        <v>3.0000000000000001E-6</v>
      </c>
      <c r="AV8" s="218">
        <f>AT8+AU8</f>
        <v>3.0000000000000001E-6</v>
      </c>
      <c r="AW8" s="217">
        <f t="shared" ref="AW8:AW39" si="33">(VOUT1+((NS1_/Np)*S8))*QRR1_*Fsw</f>
        <v>0</v>
      </c>
      <c r="AX8" s="213">
        <f t="shared" ref="AX8:AX39" si="34">AM8*VD1_</f>
        <v>3.8333333333333329E-4</v>
      </c>
      <c r="AY8" s="218">
        <f>AW8+AX8</f>
        <v>3.8333333333333329E-4</v>
      </c>
      <c r="AZ8" s="217">
        <f t="shared" si="14"/>
        <v>0</v>
      </c>
      <c r="BA8" s="213">
        <f t="shared" si="15"/>
        <v>0</v>
      </c>
      <c r="BB8" s="213">
        <f>IF(EN_OUT_2=1,AZ8/BA8,0)</f>
        <v>0</v>
      </c>
      <c r="BC8" s="61">
        <f t="shared" ref="BC8:BC39" si="35">IF(EN_OUT_2=1,AZ8/BA8,0)</f>
        <v>0</v>
      </c>
      <c r="BD8" s="58">
        <v>0</v>
      </c>
      <c r="BE8" s="49">
        <f>(BB8^2)*Rdcr2</f>
        <v>0</v>
      </c>
      <c r="BF8" s="61">
        <f>BD8+BE8</f>
        <v>0</v>
      </c>
      <c r="BG8" s="58">
        <f t="shared" ref="BG8:BG39" si="36">(VOUT2+((NS2_/Np)*S8))*QRR2_*Fsw</f>
        <v>0</v>
      </c>
      <c r="BH8" s="49">
        <f t="shared" ref="BH8:BH39" si="37">BB8*VD2_</f>
        <v>0</v>
      </c>
      <c r="BI8" s="61">
        <f t="shared" ref="BI8:BI39" si="38">BH8+BG8</f>
        <v>0</v>
      </c>
      <c r="BK8" s="217">
        <f t="shared" si="16"/>
        <v>0</v>
      </c>
      <c r="BL8" s="213">
        <f t="shared" si="17"/>
        <v>0</v>
      </c>
      <c r="BM8" s="213">
        <f t="shared" si="18"/>
        <v>0</v>
      </c>
      <c r="BN8" s="61">
        <f t="shared" ref="BN8:BN39" si="39">Y8*(Np/NS3_)*(BK8/R8)</f>
        <v>0</v>
      </c>
      <c r="BO8" s="58">
        <v>0</v>
      </c>
      <c r="BP8" s="49">
        <f t="shared" ref="BP8:BP39" si="40">(BM8^2)*Rdcr3</f>
        <v>0</v>
      </c>
      <c r="BQ8" s="61">
        <f>BO8+BP8</f>
        <v>0</v>
      </c>
      <c r="BR8" s="58">
        <f t="shared" ref="BR8:BR39" si="41">(VOUT3+((NS3_/Np)*S8))*QRR3_*Fsw</f>
        <v>0</v>
      </c>
      <c r="BS8" s="49">
        <f>BM8*VD3_</f>
        <v>0</v>
      </c>
      <c r="BT8" s="61">
        <f>BS8+BR8</f>
        <v>0</v>
      </c>
      <c r="BU8" s="58">
        <f>(AB8^2)*R_cs</f>
        <v>4.1902624070313919E-5</v>
      </c>
      <c r="BV8" s="49">
        <f t="shared" si="20"/>
        <v>1.0800000000000002E-3</v>
      </c>
      <c r="BW8" s="61">
        <f t="shared" si="21"/>
        <v>6.7499999999999999E-3</v>
      </c>
      <c r="BX8" s="49">
        <f>BF8+BQ8+AE8</f>
        <v>1.2047004420215253E-2</v>
      </c>
      <c r="BY8" s="49">
        <f t="shared" ref="BY8:BY71" si="42">BW8+BV8+BU8+BT8+BQ8+BI8+BF8++AY8+AV8+AJ8+AF8+AE8+AG8</f>
        <v>4.5767069181329251E-2</v>
      </c>
      <c r="BZ8" s="49">
        <f t="shared" ref="BZ8:BZ39" si="43">(R8/(R8+BY8))*100</f>
        <v>91.614175393546276</v>
      </c>
    </row>
    <row r="9" spans="1:78" x14ac:dyDescent="0.4">
      <c r="N9" s="49" t="s">
        <v>187</v>
      </c>
      <c r="O9" s="49">
        <f>VIN_var</f>
        <v>15</v>
      </c>
      <c r="P9" s="49" t="s">
        <v>11</v>
      </c>
      <c r="Q9" s="49">
        <v>2</v>
      </c>
      <c r="R9" s="217">
        <f t="shared" si="0"/>
        <v>1</v>
      </c>
      <c r="S9" s="213">
        <f t="shared" si="1"/>
        <v>15</v>
      </c>
      <c r="T9" s="218">
        <f t="shared" si="2"/>
        <v>6.6666666666666666E-2</v>
      </c>
      <c r="U9" s="217">
        <f t="shared" si="3"/>
        <v>1</v>
      </c>
      <c r="V9" s="213">
        <f t="shared" si="4"/>
        <v>0.2</v>
      </c>
      <c r="W9" s="213">
        <f t="shared" si="5"/>
        <v>1.6E-2</v>
      </c>
      <c r="X9" s="213">
        <f t="shared" si="22"/>
        <v>0.78400000000000003</v>
      </c>
      <c r="Y9" s="217">
        <f t="shared" si="23"/>
        <v>0.33333333333333331</v>
      </c>
      <c r="Z9" s="213">
        <f t="shared" si="6"/>
        <v>0.66666666666666663</v>
      </c>
      <c r="AA9" s="213">
        <f t="shared" si="24"/>
        <v>0.66666666666666663</v>
      </c>
      <c r="AB9" s="218">
        <f t="shared" si="7"/>
        <v>0.17213259316477406</v>
      </c>
      <c r="AC9" s="217">
        <v>0</v>
      </c>
      <c r="AD9" s="213">
        <f t="shared" si="25"/>
        <v>3.4074074074074069E-2</v>
      </c>
      <c r="AE9" s="218">
        <f t="shared" si="26"/>
        <v>3.4074074074074069E-2</v>
      </c>
      <c r="AF9" s="58">
        <f t="shared" si="8"/>
        <v>0.02</v>
      </c>
      <c r="AG9" s="61">
        <f t="shared" si="9"/>
        <v>0.02</v>
      </c>
      <c r="AH9" s="58">
        <f t="shared" si="10"/>
        <v>6.9629629629629616E-3</v>
      </c>
      <c r="AI9" s="49">
        <f t="shared" si="11"/>
        <v>4.2427108880857102E-3</v>
      </c>
      <c r="AJ9" s="61">
        <f t="shared" ref="AJ9:AJ71" si="44">AH9+AI9</f>
        <v>1.1205673851048672E-2</v>
      </c>
      <c r="AK9" s="217">
        <f t="shared" si="12"/>
        <v>1</v>
      </c>
      <c r="AL9" s="213">
        <f t="shared" si="13"/>
        <v>1500</v>
      </c>
      <c r="AM9" s="218">
        <f t="shared" si="27"/>
        <v>6.6666666666666664E-4</v>
      </c>
      <c r="AN9" s="217">
        <f t="shared" si="28"/>
        <v>2</v>
      </c>
      <c r="AO9" s="213">
        <f t="shared" si="29"/>
        <v>1.6E-2</v>
      </c>
      <c r="AP9" s="213">
        <f t="shared" si="30"/>
        <v>4.1666666666666664E-2</v>
      </c>
      <c r="AQ9" s="213">
        <f t="shared" si="31"/>
        <v>8.3333333333333329E-2</v>
      </c>
      <c r="AR9" s="213">
        <f t="shared" ref="AR9:AR72" si="45">AP9+(AQ9/2)</f>
        <v>8.3333333333333329E-2</v>
      </c>
      <c r="AS9" s="218">
        <f t="shared" ref="AS9:AS72" si="46">CHOOSE(AN9,AR9*SQRT(AO9/3),SQRT(AO9*((AR9^2)+((AQ9^2)/(3))-(AQ9*AR9))))</f>
        <v>6.0858061945018461E-3</v>
      </c>
      <c r="AT9" s="217"/>
      <c r="AU9" s="213">
        <f t="shared" si="32"/>
        <v>1.2E-5</v>
      </c>
      <c r="AV9" s="218">
        <f t="shared" ref="AV9:AV72" si="47">AT9+AU9</f>
        <v>1.2E-5</v>
      </c>
      <c r="AW9" s="217">
        <f t="shared" si="33"/>
        <v>0</v>
      </c>
      <c r="AX9" s="213">
        <f t="shared" si="34"/>
        <v>7.6666666666666658E-4</v>
      </c>
      <c r="AY9" s="218">
        <f t="shared" ref="AY9:AY72" si="48">AW9+AX9</f>
        <v>7.6666666666666658E-4</v>
      </c>
      <c r="AZ9" s="217">
        <f t="shared" si="14"/>
        <v>0</v>
      </c>
      <c r="BA9" s="213">
        <f t="shared" si="15"/>
        <v>0</v>
      </c>
      <c r="BB9" s="213">
        <f t="shared" ref="BB9:BB72" si="49">IF(EN_OUT_2=1,AZ9/BA9,0)</f>
        <v>0</v>
      </c>
      <c r="BC9" s="61">
        <f t="shared" si="35"/>
        <v>0</v>
      </c>
      <c r="BD9" s="58">
        <v>0</v>
      </c>
      <c r="BE9" s="49">
        <f t="shared" ref="BE9:BE39" si="50">(BB9^2)*Rdcr2</f>
        <v>0</v>
      </c>
      <c r="BF9" s="61">
        <f t="shared" ref="BF9:BF72" si="51">BD9+BE9</f>
        <v>0</v>
      </c>
      <c r="BG9" s="58">
        <f t="shared" si="36"/>
        <v>0</v>
      </c>
      <c r="BH9" s="49">
        <f t="shared" si="37"/>
        <v>0</v>
      </c>
      <c r="BI9" s="61">
        <f t="shared" si="38"/>
        <v>0</v>
      </c>
      <c r="BK9" s="217">
        <f t="shared" si="16"/>
        <v>0</v>
      </c>
      <c r="BL9" s="213">
        <f t="shared" si="17"/>
        <v>0</v>
      </c>
      <c r="BM9" s="213">
        <f t="shared" si="18"/>
        <v>0</v>
      </c>
      <c r="BN9" s="61">
        <f t="shared" si="39"/>
        <v>0</v>
      </c>
      <c r="BO9" s="58">
        <v>0</v>
      </c>
      <c r="BP9" s="49">
        <f t="shared" si="40"/>
        <v>0</v>
      </c>
      <c r="BQ9" s="61">
        <f t="shared" ref="BQ9:BQ72" si="52">BO9+BP9</f>
        <v>0</v>
      </c>
      <c r="BR9" s="58">
        <f t="shared" si="41"/>
        <v>0</v>
      </c>
      <c r="BS9" s="49">
        <f t="shared" ref="BS9:BS39" si="53">BM9*VD3_</f>
        <v>0</v>
      </c>
      <c r="BT9" s="61">
        <f t="shared" ref="BT9:BT72" si="54">BS9+BR9</f>
        <v>0</v>
      </c>
      <c r="BU9" s="58">
        <f t="shared" si="19"/>
        <v>1.1851851851851848E-4</v>
      </c>
      <c r="BV9" s="49">
        <f t="shared" si="20"/>
        <v>1.0800000000000002E-3</v>
      </c>
      <c r="BW9" s="61">
        <f t="shared" si="21"/>
        <v>6.7499999999999999E-3</v>
      </c>
      <c r="BX9" s="49">
        <f t="shared" ref="BX9:BX71" si="55">BF9+BQ9+AE9+AG9</f>
        <v>5.4074074074074066E-2</v>
      </c>
      <c r="BY9" s="49">
        <f t="shared" si="42"/>
        <v>9.400693311030793E-2</v>
      </c>
      <c r="BZ9" s="49">
        <f t="shared" si="43"/>
        <v>91.407098962065774</v>
      </c>
    </row>
    <row r="10" spans="1:78" x14ac:dyDescent="0.4">
      <c r="A10" s="49" t="s">
        <v>422</v>
      </c>
      <c r="B10" s="50">
        <f>VOUT1*IOUT1</f>
        <v>75</v>
      </c>
      <c r="Q10" s="49">
        <v>3</v>
      </c>
      <c r="R10" s="217">
        <f t="shared" si="0"/>
        <v>1.5</v>
      </c>
      <c r="S10" s="213">
        <f t="shared" si="1"/>
        <v>15</v>
      </c>
      <c r="T10" s="218">
        <f t="shared" si="2"/>
        <v>0.1</v>
      </c>
      <c r="U10" s="217">
        <f t="shared" si="3"/>
        <v>1</v>
      </c>
      <c r="V10" s="213">
        <f t="shared" si="4"/>
        <v>0.2449489742783178</v>
      </c>
      <c r="W10" s="213">
        <f t="shared" si="5"/>
        <v>1.9595917942265423E-2</v>
      </c>
      <c r="X10" s="213">
        <f t="shared" si="22"/>
        <v>0.73545510777941681</v>
      </c>
      <c r="Y10" s="217">
        <f t="shared" si="23"/>
        <v>0.40824829046386307</v>
      </c>
      <c r="Z10" s="213">
        <f t="shared" si="6"/>
        <v>0.81649658092772592</v>
      </c>
      <c r="AA10" s="213">
        <f t="shared" si="24"/>
        <v>0.81649658092772603</v>
      </c>
      <c r="AB10" s="218">
        <f t="shared" si="7"/>
        <v>0.23330903410537218</v>
      </c>
      <c r="AC10" s="217">
        <v>0</v>
      </c>
      <c r="AD10" s="213">
        <f t="shared" si="25"/>
        <v>6.2598071204458983E-2</v>
      </c>
      <c r="AE10" s="218">
        <f t="shared" si="26"/>
        <v>6.2598071204458983E-2</v>
      </c>
      <c r="AF10" s="58">
        <f t="shared" si="8"/>
        <v>0.03</v>
      </c>
      <c r="AG10" s="61">
        <f t="shared" si="9"/>
        <v>0.03</v>
      </c>
      <c r="AH10" s="58">
        <f t="shared" si="10"/>
        <v>1.2791779767867707E-2</v>
      </c>
      <c r="AI10" s="49">
        <f t="shared" si="11"/>
        <v>5.1962384009802288E-3</v>
      </c>
      <c r="AJ10" s="61">
        <f t="shared" si="44"/>
        <v>1.7988018168847937E-2</v>
      </c>
      <c r="AK10" s="217">
        <f t="shared" si="12"/>
        <v>1.5</v>
      </c>
      <c r="AL10" s="213">
        <f t="shared" si="13"/>
        <v>1500</v>
      </c>
      <c r="AM10" s="218">
        <f t="shared" si="27"/>
        <v>1E-3</v>
      </c>
      <c r="AN10" s="217">
        <f t="shared" si="28"/>
        <v>2</v>
      </c>
      <c r="AO10" s="213">
        <f t="shared" si="29"/>
        <v>1.9595917942265423E-2</v>
      </c>
      <c r="AP10" s="213">
        <f t="shared" si="30"/>
        <v>5.1031036307982884E-2</v>
      </c>
      <c r="AQ10" s="213">
        <f t="shared" si="31"/>
        <v>0.10206207261596574</v>
      </c>
      <c r="AR10" s="213">
        <f t="shared" si="45"/>
        <v>0.10206207261596575</v>
      </c>
      <c r="AS10" s="218">
        <f t="shared" si="46"/>
        <v>8.2487200063996093E-3</v>
      </c>
      <c r="AT10" s="217"/>
      <c r="AU10" s="213">
        <f t="shared" si="32"/>
        <v>2.6999999999999999E-5</v>
      </c>
      <c r="AV10" s="218">
        <f t="shared" si="47"/>
        <v>2.6999999999999999E-5</v>
      </c>
      <c r="AW10" s="217">
        <f t="shared" si="33"/>
        <v>0</v>
      </c>
      <c r="AX10" s="213">
        <f t="shared" si="34"/>
        <v>1.15E-3</v>
      </c>
      <c r="AY10" s="218">
        <f t="shared" si="48"/>
        <v>1.15E-3</v>
      </c>
      <c r="AZ10" s="217">
        <f t="shared" si="14"/>
        <v>0</v>
      </c>
      <c r="BA10" s="213">
        <f t="shared" si="15"/>
        <v>0</v>
      </c>
      <c r="BB10" s="213">
        <f t="shared" si="49"/>
        <v>0</v>
      </c>
      <c r="BC10" s="61">
        <f t="shared" si="35"/>
        <v>0</v>
      </c>
      <c r="BD10" s="58">
        <v>0</v>
      </c>
      <c r="BE10" s="49">
        <f t="shared" si="50"/>
        <v>0</v>
      </c>
      <c r="BF10" s="61">
        <f t="shared" si="51"/>
        <v>0</v>
      </c>
      <c r="BG10" s="58">
        <f t="shared" si="36"/>
        <v>0</v>
      </c>
      <c r="BH10" s="49">
        <f t="shared" si="37"/>
        <v>0</v>
      </c>
      <c r="BI10" s="61">
        <f t="shared" si="38"/>
        <v>0</v>
      </c>
      <c r="BK10" s="217">
        <f t="shared" si="16"/>
        <v>0</v>
      </c>
      <c r="BL10" s="213">
        <f t="shared" si="17"/>
        <v>0</v>
      </c>
      <c r="BM10" s="213">
        <f t="shared" si="18"/>
        <v>0</v>
      </c>
      <c r="BN10" s="61">
        <f t="shared" si="39"/>
        <v>0</v>
      </c>
      <c r="BO10" s="58">
        <v>0</v>
      </c>
      <c r="BP10" s="49">
        <f t="shared" si="40"/>
        <v>0</v>
      </c>
      <c r="BQ10" s="61">
        <f t="shared" si="52"/>
        <v>0</v>
      </c>
      <c r="BR10" s="58">
        <f t="shared" si="41"/>
        <v>0</v>
      </c>
      <c r="BS10" s="49">
        <f t="shared" si="53"/>
        <v>0</v>
      </c>
      <c r="BT10" s="61">
        <f t="shared" si="54"/>
        <v>0</v>
      </c>
      <c r="BU10" s="58">
        <f t="shared" si="19"/>
        <v>2.1773242158072689E-4</v>
      </c>
      <c r="BV10" s="49">
        <f t="shared" si="20"/>
        <v>1.0800000000000002E-3</v>
      </c>
      <c r="BW10" s="61">
        <f t="shared" si="21"/>
        <v>6.7499999999999999E-3</v>
      </c>
      <c r="BX10" s="49">
        <f t="shared" si="55"/>
        <v>9.2598071204458982E-2</v>
      </c>
      <c r="BY10" s="49">
        <f t="shared" si="42"/>
        <v>0.14981082179488764</v>
      </c>
      <c r="BZ10" s="49">
        <f t="shared" si="43"/>
        <v>90.919515145869681</v>
      </c>
    </row>
    <row r="11" spans="1:78" x14ac:dyDescent="0.4">
      <c r="A11" s="49" t="s">
        <v>593</v>
      </c>
      <c r="B11" s="49">
        <f>B10/(O11)</f>
        <v>0.5</v>
      </c>
      <c r="N11" s="49" t="s">
        <v>278</v>
      </c>
      <c r="O11" s="49">
        <v>150</v>
      </c>
      <c r="Q11" s="49">
        <v>4</v>
      </c>
      <c r="R11" s="217">
        <f t="shared" si="0"/>
        <v>2</v>
      </c>
      <c r="S11" s="213">
        <f t="shared" si="1"/>
        <v>15</v>
      </c>
      <c r="T11" s="218">
        <f t="shared" si="2"/>
        <v>0.13333333333333333</v>
      </c>
      <c r="U11" s="217">
        <f t="shared" si="3"/>
        <v>1</v>
      </c>
      <c r="V11" s="213">
        <f t="shared" si="4"/>
        <v>0.28284271247461901</v>
      </c>
      <c r="W11" s="213">
        <f t="shared" si="5"/>
        <v>2.262741699796952E-2</v>
      </c>
      <c r="X11" s="213">
        <f t="shared" si="22"/>
        <v>0.69452987052741144</v>
      </c>
      <c r="Y11" s="217">
        <f t="shared" si="23"/>
        <v>0.47140452079103173</v>
      </c>
      <c r="Z11" s="213">
        <f t="shared" si="6"/>
        <v>0.94280904158206325</v>
      </c>
      <c r="AA11" s="213">
        <f t="shared" si="24"/>
        <v>0.94280904158206336</v>
      </c>
      <c r="AB11" s="218">
        <f t="shared" si="7"/>
        <v>0.28949136108116913</v>
      </c>
      <c r="AC11" s="217">
        <v>0</v>
      </c>
      <c r="AD11" s="213">
        <f t="shared" si="25"/>
        <v>9.6376035361722026E-2</v>
      </c>
      <c r="AE11" s="218">
        <f t="shared" si="26"/>
        <v>9.6376035361722026E-2</v>
      </c>
      <c r="AF11" s="58">
        <f t="shared" si="8"/>
        <v>0.04</v>
      </c>
      <c r="AG11" s="61">
        <f t="shared" si="9"/>
        <v>0.04</v>
      </c>
      <c r="AH11" s="58">
        <f t="shared" si="10"/>
        <v>1.9694233313047545E-2</v>
      </c>
      <c r="AI11" s="49">
        <f t="shared" si="11"/>
        <v>6.0000992791588098E-3</v>
      </c>
      <c r="AJ11" s="61">
        <f t="shared" si="44"/>
        <v>2.5694332592206354E-2</v>
      </c>
      <c r="AK11" s="217">
        <f t="shared" si="12"/>
        <v>2</v>
      </c>
      <c r="AL11" s="213">
        <f t="shared" si="13"/>
        <v>1500</v>
      </c>
      <c r="AM11" s="218">
        <f t="shared" si="27"/>
        <v>1.3333333333333333E-3</v>
      </c>
      <c r="AN11" s="217">
        <f t="shared" si="28"/>
        <v>2</v>
      </c>
      <c r="AO11" s="213">
        <f t="shared" si="29"/>
        <v>2.2627416997969517E-2</v>
      </c>
      <c r="AP11" s="213">
        <f t="shared" si="30"/>
        <v>5.8925565098878967E-2</v>
      </c>
      <c r="AQ11" s="213">
        <f t="shared" si="31"/>
        <v>0.11785113019775791</v>
      </c>
      <c r="AR11" s="213">
        <f t="shared" si="45"/>
        <v>0.11785113019775792</v>
      </c>
      <c r="AS11" s="218">
        <f t="shared" si="46"/>
        <v>1.0235065225770905E-2</v>
      </c>
      <c r="AT11" s="217"/>
      <c r="AU11" s="213">
        <f t="shared" si="32"/>
        <v>4.8000000000000001E-5</v>
      </c>
      <c r="AV11" s="218">
        <f t="shared" si="47"/>
        <v>4.8000000000000001E-5</v>
      </c>
      <c r="AW11" s="217">
        <f t="shared" si="33"/>
        <v>0</v>
      </c>
      <c r="AX11" s="213">
        <f t="shared" si="34"/>
        <v>1.5333333333333332E-3</v>
      </c>
      <c r="AY11" s="218">
        <f t="shared" si="48"/>
        <v>1.5333333333333332E-3</v>
      </c>
      <c r="AZ11" s="217">
        <f t="shared" si="14"/>
        <v>0</v>
      </c>
      <c r="BA11" s="213">
        <f t="shared" si="15"/>
        <v>0</v>
      </c>
      <c r="BB11" s="213">
        <f t="shared" si="49"/>
        <v>0</v>
      </c>
      <c r="BC11" s="61">
        <f t="shared" si="35"/>
        <v>0</v>
      </c>
      <c r="BD11" s="58">
        <v>0</v>
      </c>
      <c r="BE11" s="49">
        <f t="shared" si="50"/>
        <v>0</v>
      </c>
      <c r="BF11" s="61">
        <f t="shared" si="51"/>
        <v>0</v>
      </c>
      <c r="BG11" s="58">
        <f t="shared" si="36"/>
        <v>0</v>
      </c>
      <c r="BH11" s="49">
        <f t="shared" si="37"/>
        <v>0</v>
      </c>
      <c r="BI11" s="61">
        <f t="shared" si="38"/>
        <v>0</v>
      </c>
      <c r="BK11" s="217">
        <f t="shared" si="16"/>
        <v>0</v>
      </c>
      <c r="BL11" s="213">
        <f t="shared" si="17"/>
        <v>0</v>
      </c>
      <c r="BM11" s="213">
        <f t="shared" si="18"/>
        <v>0</v>
      </c>
      <c r="BN11" s="61">
        <f t="shared" si="39"/>
        <v>0</v>
      </c>
      <c r="BO11" s="58">
        <v>0</v>
      </c>
      <c r="BP11" s="49">
        <f t="shared" si="40"/>
        <v>0</v>
      </c>
      <c r="BQ11" s="61">
        <f t="shared" si="52"/>
        <v>0</v>
      </c>
      <c r="BR11" s="58">
        <f t="shared" si="41"/>
        <v>0</v>
      </c>
      <c r="BS11" s="49">
        <f t="shared" si="53"/>
        <v>0</v>
      </c>
      <c r="BT11" s="61">
        <f t="shared" si="54"/>
        <v>0</v>
      </c>
      <c r="BU11" s="58">
        <f t="shared" si="19"/>
        <v>3.3522099256251135E-4</v>
      </c>
      <c r="BV11" s="49">
        <f t="shared" si="20"/>
        <v>1.0800000000000002E-3</v>
      </c>
      <c r="BW11" s="61">
        <f t="shared" si="21"/>
        <v>6.7499999999999999E-3</v>
      </c>
      <c r="BX11" s="49">
        <f t="shared" si="55"/>
        <v>0.13637603536172202</v>
      </c>
      <c r="BY11" s="49">
        <f t="shared" si="42"/>
        <v>0.21181692227982421</v>
      </c>
      <c r="BZ11" s="49">
        <f t="shared" si="43"/>
        <v>90.423397156149136</v>
      </c>
    </row>
    <row r="12" spans="1:78" x14ac:dyDescent="0.4">
      <c r="N12" s="49" t="s">
        <v>279</v>
      </c>
      <c r="O12" s="49">
        <f>IOUT1/(O11)</f>
        <v>3.3333333333333338E-4</v>
      </c>
      <c r="Q12" s="49">
        <v>5</v>
      </c>
      <c r="R12" s="217">
        <f t="shared" si="0"/>
        <v>2.5</v>
      </c>
      <c r="S12" s="213">
        <f t="shared" si="1"/>
        <v>15</v>
      </c>
      <c r="T12" s="218">
        <f t="shared" si="2"/>
        <v>0.16666666666666666</v>
      </c>
      <c r="U12" s="217">
        <f t="shared" si="3"/>
        <v>1</v>
      </c>
      <c r="V12" s="213">
        <f t="shared" si="4"/>
        <v>0.31622776601683794</v>
      </c>
      <c r="W12" s="213">
        <f t="shared" si="5"/>
        <v>2.5298221281347035E-2</v>
      </c>
      <c r="X12" s="213">
        <f t="shared" si="22"/>
        <v>0.65847401270181494</v>
      </c>
      <c r="Y12" s="217">
        <f t="shared" si="23"/>
        <v>0.52704627669472992</v>
      </c>
      <c r="Z12" s="213">
        <f t="shared" si="6"/>
        <v>1.0540925533894598</v>
      </c>
      <c r="AA12" s="213">
        <f t="shared" si="24"/>
        <v>1.0540925533894598</v>
      </c>
      <c r="AB12" s="218">
        <f t="shared" si="7"/>
        <v>0.34223003202678037</v>
      </c>
      <c r="AC12" s="217">
        <v>0</v>
      </c>
      <c r="AD12" s="213">
        <f t="shared" si="25"/>
        <v>0.13468960404420879</v>
      </c>
      <c r="AE12" s="218">
        <f t="shared" si="26"/>
        <v>0.13468960404420879</v>
      </c>
      <c r="AF12" s="58">
        <f t="shared" si="8"/>
        <v>0.05</v>
      </c>
      <c r="AG12" s="61">
        <f t="shared" si="9"/>
        <v>0.05</v>
      </c>
      <c r="AH12" s="58">
        <f t="shared" si="10"/>
        <v>2.7523527782947015E-2</v>
      </c>
      <c r="AI12" s="49">
        <f t="shared" si="11"/>
        <v>6.7083149299732936E-3</v>
      </c>
      <c r="AJ12" s="61">
        <f t="shared" si="44"/>
        <v>3.4231842712920312E-2</v>
      </c>
      <c r="AK12" s="217">
        <f t="shared" si="12"/>
        <v>2.5</v>
      </c>
      <c r="AL12" s="213">
        <f t="shared" si="13"/>
        <v>1500</v>
      </c>
      <c r="AM12" s="218">
        <f t="shared" si="27"/>
        <v>1.6666666666666668E-3</v>
      </c>
      <c r="AN12" s="217">
        <f t="shared" si="28"/>
        <v>2</v>
      </c>
      <c r="AO12" s="213">
        <f t="shared" si="29"/>
        <v>2.5298221281347035E-2</v>
      </c>
      <c r="AP12" s="213">
        <f t="shared" si="30"/>
        <v>6.588078458684124E-2</v>
      </c>
      <c r="AQ12" s="213">
        <f t="shared" si="31"/>
        <v>0.13176156917368248</v>
      </c>
      <c r="AR12" s="213">
        <f t="shared" si="45"/>
        <v>0.13176156917368248</v>
      </c>
      <c r="AS12" s="218">
        <f t="shared" si="46"/>
        <v>1.2099658818591286E-2</v>
      </c>
      <c r="AT12" s="217"/>
      <c r="AU12" s="213">
        <f t="shared" si="32"/>
        <v>7.5000000000000021E-5</v>
      </c>
      <c r="AV12" s="218">
        <f t="shared" si="47"/>
        <v>7.5000000000000021E-5</v>
      </c>
      <c r="AW12" s="217">
        <f t="shared" si="33"/>
        <v>0</v>
      </c>
      <c r="AX12" s="213">
        <f t="shared" si="34"/>
        <v>1.9166666666666666E-3</v>
      </c>
      <c r="AY12" s="218">
        <f t="shared" si="48"/>
        <v>1.9166666666666666E-3</v>
      </c>
      <c r="AZ12" s="217">
        <f t="shared" si="14"/>
        <v>0</v>
      </c>
      <c r="BA12" s="213">
        <f t="shared" si="15"/>
        <v>0</v>
      </c>
      <c r="BB12" s="213">
        <f t="shared" si="49"/>
        <v>0</v>
      </c>
      <c r="BC12" s="61">
        <f t="shared" si="35"/>
        <v>0</v>
      </c>
      <c r="BD12" s="58">
        <v>0</v>
      </c>
      <c r="BE12" s="49">
        <f t="shared" si="50"/>
        <v>0</v>
      </c>
      <c r="BF12" s="61">
        <f t="shared" si="51"/>
        <v>0</v>
      </c>
      <c r="BG12" s="58">
        <f t="shared" si="36"/>
        <v>0</v>
      </c>
      <c r="BH12" s="49">
        <f t="shared" si="37"/>
        <v>0</v>
      </c>
      <c r="BI12" s="61">
        <f t="shared" si="38"/>
        <v>0</v>
      </c>
      <c r="BK12" s="217">
        <f t="shared" si="16"/>
        <v>0</v>
      </c>
      <c r="BL12" s="213">
        <f t="shared" si="17"/>
        <v>0</v>
      </c>
      <c r="BM12" s="213">
        <f t="shared" si="18"/>
        <v>0</v>
      </c>
      <c r="BN12" s="61">
        <f t="shared" si="39"/>
        <v>0</v>
      </c>
      <c r="BO12" s="58">
        <v>0</v>
      </c>
      <c r="BP12" s="49">
        <f t="shared" si="40"/>
        <v>0</v>
      </c>
      <c r="BQ12" s="61">
        <f t="shared" si="52"/>
        <v>0</v>
      </c>
      <c r="BR12" s="58">
        <f t="shared" si="41"/>
        <v>0</v>
      </c>
      <c r="BS12" s="49">
        <f t="shared" si="53"/>
        <v>0</v>
      </c>
      <c r="BT12" s="61">
        <f t="shared" si="54"/>
        <v>0</v>
      </c>
      <c r="BU12" s="58">
        <f t="shared" si="19"/>
        <v>4.6848557928420447E-4</v>
      </c>
      <c r="BV12" s="49">
        <f t="shared" si="20"/>
        <v>1.0800000000000002E-3</v>
      </c>
      <c r="BW12" s="61">
        <f t="shared" si="21"/>
        <v>6.7499999999999999E-3</v>
      </c>
      <c r="BX12" s="49">
        <f t="shared" si="55"/>
        <v>0.18468960404420881</v>
      </c>
      <c r="BY12" s="49">
        <f t="shared" si="42"/>
        <v>0.27921159900307996</v>
      </c>
      <c r="BZ12" s="49">
        <f t="shared" si="43"/>
        <v>89.953568159285354</v>
      </c>
    </row>
    <row r="13" spans="1:78" x14ac:dyDescent="0.4">
      <c r="Q13" s="49">
        <v>6</v>
      </c>
      <c r="R13" s="217">
        <f t="shared" si="0"/>
        <v>3</v>
      </c>
      <c r="S13" s="213">
        <f t="shared" si="1"/>
        <v>15</v>
      </c>
      <c r="T13" s="218">
        <f t="shared" si="2"/>
        <v>0.2</v>
      </c>
      <c r="U13" s="217">
        <f t="shared" si="3"/>
        <v>1</v>
      </c>
      <c r="V13" s="213">
        <f t="shared" si="4"/>
        <v>0.34641016151377541</v>
      </c>
      <c r="W13" s="213">
        <f t="shared" si="5"/>
        <v>2.7712812921102031E-2</v>
      </c>
      <c r="X13" s="213">
        <f t="shared" si="22"/>
        <v>0.62587702556512259</v>
      </c>
      <c r="Y13" s="217">
        <f t="shared" si="23"/>
        <v>0.57735026918962584</v>
      </c>
      <c r="Z13" s="213">
        <f t="shared" si="6"/>
        <v>1.1547005383792515</v>
      </c>
      <c r="AA13" s="213">
        <f t="shared" si="24"/>
        <v>1.1547005383792515</v>
      </c>
      <c r="AB13" s="218">
        <f t="shared" si="7"/>
        <v>0.3923774608510282</v>
      </c>
      <c r="AC13" s="217">
        <v>0</v>
      </c>
      <c r="AD13" s="213">
        <f t="shared" si="25"/>
        <v>0.17705408255148522</v>
      </c>
      <c r="AE13" s="218">
        <f t="shared" si="26"/>
        <v>0.17705408255148522</v>
      </c>
      <c r="AF13" s="58">
        <f t="shared" si="8"/>
        <v>0.06</v>
      </c>
      <c r="AG13" s="61">
        <f t="shared" si="9"/>
        <v>0.06</v>
      </c>
      <c r="AH13" s="58">
        <f t="shared" si="10"/>
        <v>3.6180616869216545E-2</v>
      </c>
      <c r="AI13" s="49">
        <f t="shared" si="11"/>
        <v>7.3485908199901247E-3</v>
      </c>
      <c r="AJ13" s="61">
        <f t="shared" si="44"/>
        <v>4.3529207689206671E-2</v>
      </c>
      <c r="AK13" s="217">
        <f t="shared" si="12"/>
        <v>3</v>
      </c>
      <c r="AL13" s="213">
        <f t="shared" si="13"/>
        <v>1500</v>
      </c>
      <c r="AM13" s="218">
        <f t="shared" si="27"/>
        <v>2E-3</v>
      </c>
      <c r="AN13" s="217">
        <f t="shared" si="28"/>
        <v>2</v>
      </c>
      <c r="AO13" s="213">
        <f t="shared" si="29"/>
        <v>2.7712812921102035E-2</v>
      </c>
      <c r="AP13" s="213">
        <f t="shared" si="30"/>
        <v>7.216878364870323E-2</v>
      </c>
      <c r="AQ13" s="213">
        <f t="shared" si="31"/>
        <v>0.14433756729740643</v>
      </c>
      <c r="AR13" s="213">
        <f t="shared" si="45"/>
        <v>0.14433756729740643</v>
      </c>
      <c r="AS13" s="218">
        <f t="shared" si="46"/>
        <v>1.3872638167626057E-2</v>
      </c>
      <c r="AT13" s="217"/>
      <c r="AU13" s="213">
        <f t="shared" si="32"/>
        <v>1.08E-4</v>
      </c>
      <c r="AV13" s="218">
        <f t="shared" si="47"/>
        <v>1.08E-4</v>
      </c>
      <c r="AW13" s="217">
        <f t="shared" si="33"/>
        <v>0</v>
      </c>
      <c r="AX13" s="213">
        <f t="shared" si="34"/>
        <v>2.3E-3</v>
      </c>
      <c r="AY13" s="218">
        <f t="shared" si="48"/>
        <v>2.3E-3</v>
      </c>
      <c r="AZ13" s="217">
        <f t="shared" si="14"/>
        <v>0</v>
      </c>
      <c r="BA13" s="213">
        <f t="shared" si="15"/>
        <v>0</v>
      </c>
      <c r="BB13" s="213">
        <f t="shared" si="49"/>
        <v>0</v>
      </c>
      <c r="BC13" s="61">
        <f t="shared" si="35"/>
        <v>0</v>
      </c>
      <c r="BD13" s="58">
        <v>0</v>
      </c>
      <c r="BE13" s="49">
        <f t="shared" si="50"/>
        <v>0</v>
      </c>
      <c r="BF13" s="61">
        <f t="shared" si="51"/>
        <v>0</v>
      </c>
      <c r="BG13" s="58">
        <f t="shared" si="36"/>
        <v>0</v>
      </c>
      <c r="BH13" s="49">
        <f t="shared" si="37"/>
        <v>0</v>
      </c>
      <c r="BI13" s="61">
        <f t="shared" si="38"/>
        <v>0</v>
      </c>
      <c r="BK13" s="217">
        <f t="shared" si="16"/>
        <v>0</v>
      </c>
      <c r="BL13" s="213">
        <f t="shared" si="17"/>
        <v>0</v>
      </c>
      <c r="BM13" s="213">
        <f t="shared" si="18"/>
        <v>0</v>
      </c>
      <c r="BN13" s="61">
        <f t="shared" si="39"/>
        <v>0</v>
      </c>
      <c r="BO13" s="58">
        <v>0</v>
      </c>
      <c r="BP13" s="49">
        <f t="shared" si="40"/>
        <v>0</v>
      </c>
      <c r="BQ13" s="61">
        <f t="shared" si="52"/>
        <v>0</v>
      </c>
      <c r="BR13" s="58">
        <f t="shared" si="41"/>
        <v>0</v>
      </c>
      <c r="BS13" s="49">
        <f t="shared" si="53"/>
        <v>0</v>
      </c>
      <c r="BT13" s="61">
        <f t="shared" si="54"/>
        <v>0</v>
      </c>
      <c r="BU13" s="58">
        <f t="shared" si="19"/>
        <v>6.1584028713560065E-4</v>
      </c>
      <c r="BV13" s="49">
        <f t="shared" si="20"/>
        <v>1.0800000000000002E-3</v>
      </c>
      <c r="BW13" s="61">
        <f t="shared" si="21"/>
        <v>6.7499999999999999E-3</v>
      </c>
      <c r="BX13" s="49">
        <f t="shared" si="55"/>
        <v>0.23705408255148522</v>
      </c>
      <c r="BY13" s="49">
        <f t="shared" si="42"/>
        <v>0.35143713052782749</v>
      </c>
      <c r="BZ13" s="49">
        <f t="shared" si="43"/>
        <v>89.51383788982254</v>
      </c>
    </row>
    <row r="14" spans="1:78" x14ac:dyDescent="0.4">
      <c r="A14" s="49" t="s">
        <v>426</v>
      </c>
      <c r="B14" s="64">
        <f>VOUT2*IOUT2</f>
        <v>0</v>
      </c>
      <c r="Q14" s="49">
        <v>7</v>
      </c>
      <c r="R14" s="217">
        <f t="shared" si="0"/>
        <v>3.5</v>
      </c>
      <c r="S14" s="213">
        <f t="shared" si="1"/>
        <v>15</v>
      </c>
      <c r="T14" s="218">
        <f t="shared" si="2"/>
        <v>0.23333333333333334</v>
      </c>
      <c r="U14" s="217">
        <f t="shared" si="3"/>
        <v>1</v>
      </c>
      <c r="V14" s="213">
        <f t="shared" si="4"/>
        <v>0.37416573867739411</v>
      </c>
      <c r="W14" s="213">
        <f t="shared" si="5"/>
        <v>2.9933259094191526E-2</v>
      </c>
      <c r="X14" s="213">
        <f t="shared" si="22"/>
        <v>0.59590100222841436</v>
      </c>
      <c r="Y14" s="217">
        <f t="shared" si="23"/>
        <v>0.62360956446232363</v>
      </c>
      <c r="Z14" s="213">
        <f t="shared" si="6"/>
        <v>1.247219128924647</v>
      </c>
      <c r="AA14" s="213">
        <f t="shared" si="24"/>
        <v>1.2472191289246473</v>
      </c>
      <c r="AB14" s="218">
        <f t="shared" si="7"/>
        <v>0.44046777918411872</v>
      </c>
      <c r="AC14" s="217">
        <v>0</v>
      </c>
      <c r="AD14" s="213">
        <f t="shared" si="25"/>
        <v>0.22311364417429802</v>
      </c>
      <c r="AE14" s="218">
        <f t="shared" si="26"/>
        <v>0.22311364417429802</v>
      </c>
      <c r="AF14" s="58">
        <f t="shared" si="8"/>
        <v>7.0000000000000007E-2</v>
      </c>
      <c r="AG14" s="61">
        <f t="shared" si="9"/>
        <v>7.0000000000000007E-2</v>
      </c>
      <c r="AH14" s="58">
        <f t="shared" si="10"/>
        <v>4.5592788157356554E-2</v>
      </c>
      <c r="AI14" s="49">
        <f t="shared" si="11"/>
        <v>7.9373852671760642E-3</v>
      </c>
      <c r="AJ14" s="61">
        <f t="shared" si="44"/>
        <v>5.3530173424532618E-2</v>
      </c>
      <c r="AK14" s="217">
        <f t="shared" si="12"/>
        <v>3.5</v>
      </c>
      <c r="AL14" s="213">
        <f t="shared" si="13"/>
        <v>1500</v>
      </c>
      <c r="AM14" s="218">
        <f t="shared" si="27"/>
        <v>2.3333333333333335E-3</v>
      </c>
      <c r="AN14" s="217">
        <f t="shared" si="28"/>
        <v>1</v>
      </c>
      <c r="AO14" s="213">
        <f t="shared" si="29"/>
        <v>2.9933259094191537E-2</v>
      </c>
      <c r="AP14" s="213">
        <f t="shared" si="30"/>
        <v>7.795119555779044E-2</v>
      </c>
      <c r="AQ14" s="213">
        <f t="shared" si="31"/>
        <v>0.15590239111558091</v>
      </c>
      <c r="AR14" s="213">
        <f t="shared" si="45"/>
        <v>0.15590239111558091</v>
      </c>
      <c r="AS14" s="218">
        <f t="shared" si="46"/>
        <v>1.557288767776346E-2</v>
      </c>
      <c r="AT14" s="217"/>
      <c r="AU14" s="213">
        <f t="shared" si="32"/>
        <v>1.4700000000000002E-4</v>
      </c>
      <c r="AV14" s="218">
        <f t="shared" si="47"/>
        <v>1.4700000000000002E-4</v>
      </c>
      <c r="AW14" s="217">
        <f t="shared" si="33"/>
        <v>0</v>
      </c>
      <c r="AX14" s="213">
        <f t="shared" si="34"/>
        <v>2.6833333333333331E-3</v>
      </c>
      <c r="AY14" s="218">
        <f t="shared" si="48"/>
        <v>2.6833333333333331E-3</v>
      </c>
      <c r="AZ14" s="217">
        <f t="shared" si="14"/>
        <v>0</v>
      </c>
      <c r="BA14" s="213">
        <f t="shared" si="15"/>
        <v>0</v>
      </c>
      <c r="BB14" s="213">
        <f t="shared" si="49"/>
        <v>0</v>
      </c>
      <c r="BC14" s="61">
        <f t="shared" si="35"/>
        <v>0</v>
      </c>
      <c r="BD14" s="58">
        <v>0</v>
      </c>
      <c r="BE14" s="49">
        <f t="shared" si="50"/>
        <v>0</v>
      </c>
      <c r="BF14" s="61">
        <f t="shared" si="51"/>
        <v>0</v>
      </c>
      <c r="BG14" s="58">
        <f t="shared" si="36"/>
        <v>0</v>
      </c>
      <c r="BH14" s="49">
        <f t="shared" si="37"/>
        <v>0</v>
      </c>
      <c r="BI14" s="61">
        <f t="shared" si="38"/>
        <v>0</v>
      </c>
      <c r="BK14" s="217">
        <f t="shared" si="16"/>
        <v>0</v>
      </c>
      <c r="BL14" s="213">
        <f t="shared" si="17"/>
        <v>0</v>
      </c>
      <c r="BM14" s="213">
        <f t="shared" si="18"/>
        <v>0</v>
      </c>
      <c r="BN14" s="61">
        <f t="shared" si="39"/>
        <v>0</v>
      </c>
      <c r="BO14" s="58">
        <v>0</v>
      </c>
      <c r="BP14" s="49">
        <f t="shared" si="40"/>
        <v>0</v>
      </c>
      <c r="BQ14" s="61">
        <f t="shared" si="52"/>
        <v>0</v>
      </c>
      <c r="BR14" s="58">
        <f t="shared" si="41"/>
        <v>0</v>
      </c>
      <c r="BS14" s="49">
        <f t="shared" si="53"/>
        <v>0</v>
      </c>
      <c r="BT14" s="61">
        <f t="shared" si="54"/>
        <v>0</v>
      </c>
      <c r="BU14" s="58">
        <f t="shared" si="19"/>
        <v>7.7604745799755826E-4</v>
      </c>
      <c r="BV14" s="49">
        <f t="shared" si="20"/>
        <v>1.0800000000000002E-3</v>
      </c>
      <c r="BW14" s="61">
        <f t="shared" si="21"/>
        <v>6.7499999999999999E-3</v>
      </c>
      <c r="BX14" s="49">
        <f t="shared" si="55"/>
        <v>0.29311364417429803</v>
      </c>
      <c r="BY14" s="49">
        <f t="shared" si="42"/>
        <v>0.42808019839016154</v>
      </c>
      <c r="BZ14" s="49">
        <f t="shared" si="43"/>
        <v>89.102050447809063</v>
      </c>
    </row>
    <row r="15" spans="1:78" x14ac:dyDescent="0.4">
      <c r="A15" s="49" t="s">
        <v>594</v>
      </c>
      <c r="B15" s="49">
        <f>POUT2/O11</f>
        <v>0</v>
      </c>
      <c r="O15" s="49">
        <f>0.205*2.5/(Lm*Fsw)</f>
        <v>0.11388888888888887</v>
      </c>
      <c r="Q15" s="49">
        <v>8</v>
      </c>
      <c r="R15" s="217">
        <f t="shared" si="0"/>
        <v>4</v>
      </c>
      <c r="S15" s="213">
        <f t="shared" si="1"/>
        <v>15</v>
      </c>
      <c r="T15" s="218">
        <f t="shared" si="2"/>
        <v>0.26666666666666666</v>
      </c>
      <c r="U15" s="217">
        <f t="shared" si="3"/>
        <v>1</v>
      </c>
      <c r="V15" s="213">
        <f t="shared" si="4"/>
        <v>0.4</v>
      </c>
      <c r="W15" s="213">
        <f t="shared" si="5"/>
        <v>3.2000000000000001E-2</v>
      </c>
      <c r="X15" s="213">
        <f t="shared" si="22"/>
        <v>0.56799999999999995</v>
      </c>
      <c r="Y15" s="217">
        <f t="shared" si="23"/>
        <v>0.66666666666666663</v>
      </c>
      <c r="Z15" s="213">
        <f t="shared" si="6"/>
        <v>1.3333333333333333</v>
      </c>
      <c r="AA15" s="213">
        <f t="shared" si="24"/>
        <v>1.3333333333333333</v>
      </c>
      <c r="AB15" s="218">
        <f t="shared" si="7"/>
        <v>0.4868644955601476</v>
      </c>
      <c r="AC15" s="217">
        <v>0</v>
      </c>
      <c r="AD15" s="213">
        <f t="shared" si="25"/>
        <v>0.27259259259259255</v>
      </c>
      <c r="AE15" s="218">
        <f t="shared" si="26"/>
        <v>0.27259259259259255</v>
      </c>
      <c r="AF15" s="58">
        <f t="shared" si="8"/>
        <v>0.08</v>
      </c>
      <c r="AG15" s="61">
        <f t="shared" si="9"/>
        <v>0.08</v>
      </c>
      <c r="AH15" s="58">
        <f t="shared" si="10"/>
        <v>5.5703703703703693E-2</v>
      </c>
      <c r="AI15" s="49">
        <f t="shared" si="11"/>
        <v>8.4854217761714205E-3</v>
      </c>
      <c r="AJ15" s="61">
        <f t="shared" si="44"/>
        <v>6.4189125479875112E-2</v>
      </c>
      <c r="AK15" s="217">
        <f t="shared" si="12"/>
        <v>4</v>
      </c>
      <c r="AL15" s="213">
        <f t="shared" si="13"/>
        <v>1500</v>
      </c>
      <c r="AM15" s="218">
        <f t="shared" si="27"/>
        <v>2.6666666666666666E-3</v>
      </c>
      <c r="AN15" s="217">
        <f t="shared" si="28"/>
        <v>2</v>
      </c>
      <c r="AO15" s="213">
        <f t="shared" si="29"/>
        <v>3.2000000000000001E-2</v>
      </c>
      <c r="AP15" s="213">
        <f t="shared" si="30"/>
        <v>8.3333333333333329E-2</v>
      </c>
      <c r="AQ15" s="213">
        <f t="shared" si="31"/>
        <v>0.16666666666666666</v>
      </c>
      <c r="AR15" s="213">
        <f t="shared" si="45"/>
        <v>0.16666666666666666</v>
      </c>
      <c r="AS15" s="218">
        <f t="shared" si="46"/>
        <v>1.7213259316477408E-2</v>
      </c>
      <c r="AT15" s="217"/>
      <c r="AU15" s="213">
        <f t="shared" si="32"/>
        <v>1.92E-4</v>
      </c>
      <c r="AV15" s="218">
        <f t="shared" si="47"/>
        <v>1.92E-4</v>
      </c>
      <c r="AW15" s="217">
        <f t="shared" si="33"/>
        <v>0</v>
      </c>
      <c r="AX15" s="213">
        <f t="shared" si="34"/>
        <v>3.0666666666666663E-3</v>
      </c>
      <c r="AY15" s="218">
        <f t="shared" si="48"/>
        <v>3.0666666666666663E-3</v>
      </c>
      <c r="AZ15" s="217">
        <f t="shared" si="14"/>
        <v>0</v>
      </c>
      <c r="BA15" s="213">
        <f t="shared" si="15"/>
        <v>0</v>
      </c>
      <c r="BB15" s="213">
        <f t="shared" si="49"/>
        <v>0</v>
      </c>
      <c r="BC15" s="61">
        <f t="shared" si="35"/>
        <v>0</v>
      </c>
      <c r="BD15" s="58">
        <v>0</v>
      </c>
      <c r="BE15" s="49">
        <f t="shared" si="50"/>
        <v>0</v>
      </c>
      <c r="BF15" s="61">
        <f t="shared" si="51"/>
        <v>0</v>
      </c>
      <c r="BG15" s="58">
        <f t="shared" si="36"/>
        <v>0</v>
      </c>
      <c r="BH15" s="49">
        <f t="shared" si="37"/>
        <v>0</v>
      </c>
      <c r="BI15" s="61">
        <f t="shared" si="38"/>
        <v>0</v>
      </c>
      <c r="BK15" s="217">
        <f t="shared" si="16"/>
        <v>0</v>
      </c>
      <c r="BL15" s="213">
        <f t="shared" si="17"/>
        <v>0</v>
      </c>
      <c r="BM15" s="213">
        <f t="shared" si="18"/>
        <v>0</v>
      </c>
      <c r="BN15" s="61">
        <f t="shared" si="39"/>
        <v>0</v>
      </c>
      <c r="BO15" s="58">
        <v>0</v>
      </c>
      <c r="BP15" s="49">
        <f t="shared" si="40"/>
        <v>0</v>
      </c>
      <c r="BQ15" s="61">
        <f t="shared" si="52"/>
        <v>0</v>
      </c>
      <c r="BR15" s="58">
        <f t="shared" si="41"/>
        <v>0</v>
      </c>
      <c r="BS15" s="49">
        <f t="shared" si="53"/>
        <v>0</v>
      </c>
      <c r="BT15" s="61">
        <f t="shared" si="54"/>
        <v>0</v>
      </c>
      <c r="BU15" s="58">
        <f t="shared" si="19"/>
        <v>9.4814814814814794E-4</v>
      </c>
      <c r="BV15" s="49">
        <f t="shared" si="20"/>
        <v>1.0800000000000002E-3</v>
      </c>
      <c r="BW15" s="61">
        <f t="shared" si="21"/>
        <v>6.7499999999999999E-3</v>
      </c>
      <c r="BX15" s="49">
        <f t="shared" si="55"/>
        <v>0.35259259259259257</v>
      </c>
      <c r="BY15" s="49">
        <f t="shared" si="42"/>
        <v>0.50881853288728252</v>
      </c>
      <c r="BZ15" s="49">
        <f t="shared" si="43"/>
        <v>88.715036340984568</v>
      </c>
    </row>
    <row r="16" spans="1:78" x14ac:dyDescent="0.4">
      <c r="Q16" s="49">
        <v>9</v>
      </c>
      <c r="R16" s="217">
        <f t="shared" si="0"/>
        <v>4.5</v>
      </c>
      <c r="S16" s="213">
        <f t="shared" si="1"/>
        <v>15</v>
      </c>
      <c r="T16" s="218">
        <f t="shared" si="2"/>
        <v>0.3</v>
      </c>
      <c r="U16" s="217">
        <f t="shared" si="3"/>
        <v>1</v>
      </c>
      <c r="V16" s="213">
        <f t="shared" si="4"/>
        <v>0.42426406871192851</v>
      </c>
      <c r="W16" s="213">
        <f t="shared" si="5"/>
        <v>3.3941125496954279E-2</v>
      </c>
      <c r="X16" s="213">
        <f t="shared" si="22"/>
        <v>0.54179480579111716</v>
      </c>
      <c r="Y16" s="217">
        <f t="shared" si="23"/>
        <v>0.70710678118654757</v>
      </c>
      <c r="Z16" s="213">
        <f t="shared" si="6"/>
        <v>1.4142135623730949</v>
      </c>
      <c r="AA16" s="213">
        <f t="shared" si="24"/>
        <v>1.4142135623730949</v>
      </c>
      <c r="AB16" s="218">
        <f t="shared" si="7"/>
        <v>0.53182958969449878</v>
      </c>
      <c r="AC16" s="217">
        <v>0</v>
      </c>
      <c r="AD16" s="213">
        <f t="shared" si="25"/>
        <v>0.32526911934581182</v>
      </c>
      <c r="AE16" s="218">
        <f t="shared" si="26"/>
        <v>0.32526911934581182</v>
      </c>
      <c r="AF16" s="58">
        <f t="shared" si="8"/>
        <v>0.09</v>
      </c>
      <c r="AG16" s="61">
        <f t="shared" si="9"/>
        <v>0.09</v>
      </c>
      <c r="AH16" s="58">
        <f t="shared" si="10"/>
        <v>6.6468037431535454E-2</v>
      </c>
      <c r="AI16" s="49">
        <f t="shared" si="11"/>
        <v>9.0001489187382169E-3</v>
      </c>
      <c r="AJ16" s="61">
        <f t="shared" si="44"/>
        <v>7.5468186350273664E-2</v>
      </c>
      <c r="AK16" s="217">
        <f t="shared" si="12"/>
        <v>4.5</v>
      </c>
      <c r="AL16" s="213">
        <f t="shared" si="13"/>
        <v>1500</v>
      </c>
      <c r="AM16" s="218">
        <f t="shared" si="27"/>
        <v>3.0000000000000001E-3</v>
      </c>
      <c r="AN16" s="217">
        <f t="shared" si="28"/>
        <v>2</v>
      </c>
      <c r="AO16" s="213">
        <f t="shared" si="29"/>
        <v>3.3941125496954279E-2</v>
      </c>
      <c r="AP16" s="213">
        <f t="shared" si="30"/>
        <v>8.8388347648318447E-2</v>
      </c>
      <c r="AQ16" s="213">
        <f t="shared" si="31"/>
        <v>0.17677669529663687</v>
      </c>
      <c r="AR16" s="213">
        <f t="shared" si="45"/>
        <v>0.17677669529663687</v>
      </c>
      <c r="AS16" s="218">
        <f t="shared" si="46"/>
        <v>1.8803015465431963E-2</v>
      </c>
      <c r="AT16" s="217"/>
      <c r="AU16" s="213">
        <f t="shared" si="32"/>
        <v>2.43E-4</v>
      </c>
      <c r="AV16" s="218">
        <f t="shared" si="47"/>
        <v>2.43E-4</v>
      </c>
      <c r="AW16" s="217">
        <f t="shared" si="33"/>
        <v>0</v>
      </c>
      <c r="AX16" s="213">
        <f t="shared" si="34"/>
        <v>3.4499999999999999E-3</v>
      </c>
      <c r="AY16" s="218">
        <f t="shared" si="48"/>
        <v>3.4499999999999999E-3</v>
      </c>
      <c r="AZ16" s="217">
        <f t="shared" si="14"/>
        <v>0</v>
      </c>
      <c r="BA16" s="213">
        <f t="shared" si="15"/>
        <v>0</v>
      </c>
      <c r="BB16" s="213">
        <f t="shared" si="49"/>
        <v>0</v>
      </c>
      <c r="BC16" s="61">
        <f t="shared" si="35"/>
        <v>0</v>
      </c>
      <c r="BD16" s="58">
        <v>0</v>
      </c>
      <c r="BE16" s="49">
        <f t="shared" si="50"/>
        <v>0</v>
      </c>
      <c r="BF16" s="61">
        <f t="shared" si="51"/>
        <v>0</v>
      </c>
      <c r="BG16" s="58">
        <f t="shared" si="36"/>
        <v>0</v>
      </c>
      <c r="BH16" s="49">
        <f t="shared" si="37"/>
        <v>0</v>
      </c>
      <c r="BI16" s="61">
        <f t="shared" si="38"/>
        <v>0</v>
      </c>
      <c r="BK16" s="217">
        <f t="shared" si="16"/>
        <v>0</v>
      </c>
      <c r="BL16" s="213">
        <f t="shared" si="17"/>
        <v>0</v>
      </c>
      <c r="BM16" s="213">
        <f t="shared" si="18"/>
        <v>0</v>
      </c>
      <c r="BN16" s="61">
        <f t="shared" si="39"/>
        <v>0</v>
      </c>
      <c r="BO16" s="58">
        <v>0</v>
      </c>
      <c r="BP16" s="49">
        <f t="shared" si="40"/>
        <v>0</v>
      </c>
      <c r="BQ16" s="61">
        <f t="shared" si="52"/>
        <v>0</v>
      </c>
      <c r="BR16" s="58">
        <f t="shared" si="41"/>
        <v>0</v>
      </c>
      <c r="BS16" s="49">
        <f t="shared" si="53"/>
        <v>0</v>
      </c>
      <c r="BT16" s="61">
        <f t="shared" si="54"/>
        <v>0</v>
      </c>
      <c r="BU16" s="58">
        <f t="shared" si="19"/>
        <v>1.1313708498984758E-3</v>
      </c>
      <c r="BV16" s="49">
        <f t="shared" si="20"/>
        <v>1.0800000000000002E-3</v>
      </c>
      <c r="BW16" s="61">
        <f t="shared" si="21"/>
        <v>6.7499999999999999E-3</v>
      </c>
      <c r="BX16" s="49">
        <f t="shared" si="55"/>
        <v>0.41526911934581179</v>
      </c>
      <c r="BY16" s="49">
        <f t="shared" si="42"/>
        <v>0.5933916765459839</v>
      </c>
      <c r="BZ16" s="49">
        <f t="shared" si="43"/>
        <v>88.349773309631189</v>
      </c>
    </row>
    <row r="17" spans="1:78" x14ac:dyDescent="0.4">
      <c r="Q17" s="49">
        <v>10</v>
      </c>
      <c r="R17" s="217">
        <f t="shared" si="0"/>
        <v>5</v>
      </c>
      <c r="S17" s="213">
        <f t="shared" si="1"/>
        <v>15</v>
      </c>
      <c r="T17" s="218">
        <f t="shared" si="2"/>
        <v>0.33333333333333331</v>
      </c>
      <c r="U17" s="217">
        <f t="shared" si="3"/>
        <v>1</v>
      </c>
      <c r="V17" s="213">
        <f t="shared" si="4"/>
        <v>0.44721359549995793</v>
      </c>
      <c r="W17" s="213">
        <f t="shared" si="5"/>
        <v>3.5777087639996631E-2</v>
      </c>
      <c r="X17" s="213">
        <f t="shared" si="22"/>
        <v>0.51700931686004548</v>
      </c>
      <c r="Y17" s="217">
        <f t="shared" si="23"/>
        <v>0.74535599249993001</v>
      </c>
      <c r="Z17" s="213">
        <f t="shared" si="6"/>
        <v>1.4907119849998596</v>
      </c>
      <c r="AA17" s="213">
        <f t="shared" si="24"/>
        <v>1.4907119849998598</v>
      </c>
      <c r="AB17" s="218">
        <f t="shared" si="7"/>
        <v>0.57556001424696701</v>
      </c>
      <c r="AC17" s="217">
        <v>0</v>
      </c>
      <c r="AD17" s="213">
        <f t="shared" si="25"/>
        <v>0.38095972949996426</v>
      </c>
      <c r="AE17" s="218">
        <f t="shared" si="26"/>
        <v>0.38095972949996426</v>
      </c>
      <c r="AF17" s="58">
        <f t="shared" si="8"/>
        <v>0.1</v>
      </c>
      <c r="AG17" s="61">
        <f t="shared" si="9"/>
        <v>0.1</v>
      </c>
      <c r="AH17" s="58">
        <f t="shared" si="10"/>
        <v>7.784829254999269E-2</v>
      </c>
      <c r="AI17" s="49">
        <f t="shared" si="11"/>
        <v>9.4869899546381527E-3</v>
      </c>
      <c r="AJ17" s="61">
        <f t="shared" si="44"/>
        <v>8.7335282504630837E-2</v>
      </c>
      <c r="AK17" s="217">
        <f t="shared" si="12"/>
        <v>5</v>
      </c>
      <c r="AL17" s="213">
        <f t="shared" si="13"/>
        <v>1500</v>
      </c>
      <c r="AM17" s="218">
        <f t="shared" si="27"/>
        <v>3.3333333333333335E-3</v>
      </c>
      <c r="AN17" s="217">
        <f t="shared" si="28"/>
        <v>2</v>
      </c>
      <c r="AO17" s="213">
        <f t="shared" si="29"/>
        <v>3.5777087639996631E-2</v>
      </c>
      <c r="AP17" s="213">
        <f t="shared" si="30"/>
        <v>9.3169499062491251E-2</v>
      </c>
      <c r="AQ17" s="213">
        <f t="shared" si="31"/>
        <v>0.18633899812498245</v>
      </c>
      <c r="AR17" s="213">
        <f t="shared" si="45"/>
        <v>0.18633899812498247</v>
      </c>
      <c r="AS17" s="218">
        <f t="shared" si="46"/>
        <v>2.0349119452692816E-2</v>
      </c>
      <c r="AT17" s="217"/>
      <c r="AU17" s="213">
        <f t="shared" si="32"/>
        <v>3.0000000000000008E-4</v>
      </c>
      <c r="AV17" s="218">
        <f t="shared" si="47"/>
        <v>3.0000000000000008E-4</v>
      </c>
      <c r="AW17" s="217">
        <f t="shared" si="33"/>
        <v>0</v>
      </c>
      <c r="AX17" s="213">
        <f t="shared" si="34"/>
        <v>3.8333333333333331E-3</v>
      </c>
      <c r="AY17" s="218">
        <f t="shared" si="48"/>
        <v>3.8333333333333331E-3</v>
      </c>
      <c r="AZ17" s="217">
        <f t="shared" si="14"/>
        <v>0</v>
      </c>
      <c r="BA17" s="213">
        <f t="shared" si="15"/>
        <v>0</v>
      </c>
      <c r="BB17" s="213">
        <f t="shared" si="49"/>
        <v>0</v>
      </c>
      <c r="BC17" s="61">
        <f t="shared" si="35"/>
        <v>0</v>
      </c>
      <c r="BD17" s="58">
        <v>0</v>
      </c>
      <c r="BE17" s="49">
        <f t="shared" si="50"/>
        <v>0</v>
      </c>
      <c r="BF17" s="61">
        <f t="shared" si="51"/>
        <v>0</v>
      </c>
      <c r="BG17" s="58">
        <f t="shared" si="36"/>
        <v>0</v>
      </c>
      <c r="BH17" s="49">
        <f t="shared" si="37"/>
        <v>0</v>
      </c>
      <c r="BI17" s="61">
        <f t="shared" si="38"/>
        <v>0</v>
      </c>
      <c r="BK17" s="217">
        <f t="shared" si="16"/>
        <v>0</v>
      </c>
      <c r="BL17" s="213">
        <f t="shared" si="17"/>
        <v>0</v>
      </c>
      <c r="BM17" s="213">
        <f t="shared" si="18"/>
        <v>0</v>
      </c>
      <c r="BN17" s="61">
        <f t="shared" si="39"/>
        <v>0</v>
      </c>
      <c r="BO17" s="58">
        <v>0</v>
      </c>
      <c r="BP17" s="49">
        <f t="shared" si="40"/>
        <v>0</v>
      </c>
      <c r="BQ17" s="61">
        <f t="shared" si="52"/>
        <v>0</v>
      </c>
      <c r="BR17" s="58">
        <f t="shared" si="41"/>
        <v>0</v>
      </c>
      <c r="BS17" s="49">
        <f t="shared" si="53"/>
        <v>0</v>
      </c>
      <c r="BT17" s="61">
        <f t="shared" si="54"/>
        <v>0</v>
      </c>
      <c r="BU17" s="58">
        <f t="shared" si="19"/>
        <v>1.3250773199998756E-3</v>
      </c>
      <c r="BV17" s="49">
        <f t="shared" si="20"/>
        <v>1.0800000000000002E-3</v>
      </c>
      <c r="BW17" s="61">
        <f t="shared" si="21"/>
        <v>6.7499999999999999E-3</v>
      </c>
      <c r="BX17" s="49">
        <f t="shared" si="55"/>
        <v>0.48095972949996424</v>
      </c>
      <c r="BY17" s="49">
        <f t="shared" si="42"/>
        <v>0.68158342265792826</v>
      </c>
      <c r="BZ17" s="49">
        <f t="shared" si="43"/>
        <v>88.003636100108977</v>
      </c>
    </row>
    <row r="18" spans="1:78" x14ac:dyDescent="0.4">
      <c r="A18" s="49" t="s">
        <v>592</v>
      </c>
      <c r="B18" s="64">
        <f>VOUT3*IOUT3</f>
        <v>0</v>
      </c>
      <c r="Q18" s="49">
        <v>11</v>
      </c>
      <c r="R18" s="217">
        <f t="shared" si="0"/>
        <v>5.5</v>
      </c>
      <c r="S18" s="213">
        <f t="shared" si="1"/>
        <v>15</v>
      </c>
      <c r="T18" s="218">
        <f t="shared" si="2"/>
        <v>0.36666666666666664</v>
      </c>
      <c r="U18" s="217">
        <f t="shared" si="3"/>
        <v>1</v>
      </c>
      <c r="V18" s="213">
        <f t="shared" si="4"/>
        <v>0.46904157598234297</v>
      </c>
      <c r="W18" s="213">
        <f t="shared" si="5"/>
        <v>3.7523326078587438E-2</v>
      </c>
      <c r="X18" s="213">
        <f t="shared" si="22"/>
        <v>0.49343509793906959</v>
      </c>
      <c r="Y18" s="217">
        <f t="shared" si="23"/>
        <v>0.78173595997057166</v>
      </c>
      <c r="Z18" s="213">
        <f t="shared" si="6"/>
        <v>1.5634719199411431</v>
      </c>
      <c r="AA18" s="213">
        <f t="shared" si="24"/>
        <v>1.5634719199411431</v>
      </c>
      <c r="AB18" s="218">
        <f t="shared" si="7"/>
        <v>0.61820872274216709</v>
      </c>
      <c r="AC18" s="217">
        <v>0</v>
      </c>
      <c r="AD18" s="213">
        <f t="shared" si="25"/>
        <v>0.43950932860567693</v>
      </c>
      <c r="AE18" s="218">
        <f t="shared" si="26"/>
        <v>0.43950932860567693</v>
      </c>
      <c r="AF18" s="58">
        <f t="shared" si="8"/>
        <v>0.11</v>
      </c>
      <c r="AG18" s="61">
        <f t="shared" si="9"/>
        <v>0.11</v>
      </c>
      <c r="AH18" s="58">
        <f t="shared" si="10"/>
        <v>8.9812775845507897E-2</v>
      </c>
      <c r="AI18" s="49">
        <f t="shared" si="11"/>
        <v>9.9500390069258357E-3</v>
      </c>
      <c r="AJ18" s="61">
        <f t="shared" si="44"/>
        <v>9.976281485243374E-2</v>
      </c>
      <c r="AK18" s="217">
        <f t="shared" si="12"/>
        <v>5.5</v>
      </c>
      <c r="AL18" s="213">
        <f t="shared" si="13"/>
        <v>1500</v>
      </c>
      <c r="AM18" s="218">
        <f t="shared" si="27"/>
        <v>3.6666666666666666E-3</v>
      </c>
      <c r="AN18" s="217">
        <f t="shared" si="28"/>
        <v>2</v>
      </c>
      <c r="AO18" s="213">
        <f t="shared" si="29"/>
        <v>3.7523326078587431E-2</v>
      </c>
      <c r="AP18" s="213">
        <f t="shared" si="30"/>
        <v>9.7716994996321457E-2</v>
      </c>
      <c r="AQ18" s="213">
        <f t="shared" si="31"/>
        <v>0.19543398999264286</v>
      </c>
      <c r="AR18" s="213">
        <f t="shared" si="45"/>
        <v>0.19543398999264289</v>
      </c>
      <c r="AS18" s="218">
        <f t="shared" si="46"/>
        <v>2.185697900198303E-2</v>
      </c>
      <c r="AT18" s="217"/>
      <c r="AU18" s="213">
        <f t="shared" si="32"/>
        <v>3.6299999999999999E-4</v>
      </c>
      <c r="AV18" s="218">
        <f t="shared" si="47"/>
        <v>3.6299999999999999E-4</v>
      </c>
      <c r="AW18" s="217">
        <f t="shared" si="33"/>
        <v>0</v>
      </c>
      <c r="AX18" s="213">
        <f t="shared" si="34"/>
        <v>4.2166666666666663E-3</v>
      </c>
      <c r="AY18" s="218">
        <f t="shared" si="48"/>
        <v>4.2166666666666663E-3</v>
      </c>
      <c r="AZ18" s="217">
        <f t="shared" si="14"/>
        <v>0</v>
      </c>
      <c r="BA18" s="213">
        <f t="shared" si="15"/>
        <v>0</v>
      </c>
      <c r="BB18" s="213">
        <f t="shared" si="49"/>
        <v>0</v>
      </c>
      <c r="BC18" s="61">
        <f t="shared" si="35"/>
        <v>0</v>
      </c>
      <c r="BD18" s="58">
        <v>0</v>
      </c>
      <c r="BE18" s="49">
        <f t="shared" si="50"/>
        <v>0</v>
      </c>
      <c r="BF18" s="61">
        <f t="shared" si="51"/>
        <v>0</v>
      </c>
      <c r="BG18" s="58">
        <f t="shared" si="36"/>
        <v>0</v>
      </c>
      <c r="BH18" s="49">
        <f t="shared" si="37"/>
        <v>0</v>
      </c>
      <c r="BI18" s="61">
        <f t="shared" si="38"/>
        <v>0</v>
      </c>
      <c r="BK18" s="217">
        <f t="shared" si="16"/>
        <v>0</v>
      </c>
      <c r="BL18" s="213">
        <f t="shared" si="17"/>
        <v>0</v>
      </c>
      <c r="BM18" s="213">
        <f t="shared" si="18"/>
        <v>0</v>
      </c>
      <c r="BN18" s="61">
        <f t="shared" si="39"/>
        <v>0</v>
      </c>
      <c r="BO18" s="58">
        <v>0</v>
      </c>
      <c r="BP18" s="49">
        <f t="shared" si="40"/>
        <v>0</v>
      </c>
      <c r="BQ18" s="61">
        <f t="shared" si="52"/>
        <v>0</v>
      </c>
      <c r="BR18" s="58">
        <f t="shared" si="41"/>
        <v>0</v>
      </c>
      <c r="BS18" s="49">
        <f t="shared" si="53"/>
        <v>0</v>
      </c>
      <c r="BT18" s="61">
        <f t="shared" si="54"/>
        <v>0</v>
      </c>
      <c r="BU18" s="58">
        <f t="shared" si="19"/>
        <v>1.5287280994980067E-3</v>
      </c>
      <c r="BV18" s="49">
        <f t="shared" si="20"/>
        <v>1.0800000000000002E-3</v>
      </c>
      <c r="BW18" s="61">
        <f t="shared" si="21"/>
        <v>6.7499999999999999E-3</v>
      </c>
      <c r="BX18" s="49">
        <f t="shared" si="55"/>
        <v>0.54950932860567692</v>
      </c>
      <c r="BY18" s="49">
        <f t="shared" si="42"/>
        <v>0.77321053822427532</v>
      </c>
      <c r="BZ18" s="49">
        <f t="shared" si="43"/>
        <v>87.674404780249176</v>
      </c>
    </row>
    <row r="19" spans="1:78" x14ac:dyDescent="0.4">
      <c r="A19" s="49" t="s">
        <v>595</v>
      </c>
      <c r="B19" s="49">
        <f>POUT3/O11</f>
        <v>0</v>
      </c>
      <c r="Q19" s="49">
        <v>12</v>
      </c>
      <c r="R19" s="217">
        <f t="shared" si="0"/>
        <v>6</v>
      </c>
      <c r="S19" s="213">
        <f t="shared" si="1"/>
        <v>15</v>
      </c>
      <c r="T19" s="218">
        <f t="shared" si="2"/>
        <v>0.4</v>
      </c>
      <c r="U19" s="217">
        <f t="shared" si="3"/>
        <v>1</v>
      </c>
      <c r="V19" s="213">
        <f t="shared" si="4"/>
        <v>0.4898979485566356</v>
      </c>
      <c r="W19" s="213">
        <f t="shared" si="5"/>
        <v>3.9191835884530846E-2</v>
      </c>
      <c r="X19" s="213">
        <f t="shared" si="22"/>
        <v>0.47091021555883356</v>
      </c>
      <c r="Y19" s="217">
        <f t="shared" si="23"/>
        <v>0.81649658092772615</v>
      </c>
      <c r="Z19" s="213">
        <f t="shared" si="6"/>
        <v>1.6329931618554518</v>
      </c>
      <c r="AA19" s="213">
        <f t="shared" si="24"/>
        <v>1.6329931618554521</v>
      </c>
      <c r="AB19" s="218">
        <f t="shared" si="7"/>
        <v>0.65989760051196866</v>
      </c>
      <c r="AC19" s="217">
        <v>0</v>
      </c>
      <c r="AD19" s="213">
        <f t="shared" si="25"/>
        <v>0.50078456963567186</v>
      </c>
      <c r="AE19" s="218">
        <f t="shared" si="26"/>
        <v>0.50078456963567186</v>
      </c>
      <c r="AF19" s="58">
        <f t="shared" si="8"/>
        <v>0.12</v>
      </c>
      <c r="AG19" s="61">
        <f t="shared" si="9"/>
        <v>0.12</v>
      </c>
      <c r="AH19" s="58">
        <f t="shared" si="10"/>
        <v>0.10233423814294165</v>
      </c>
      <c r="AI19" s="49">
        <f t="shared" si="11"/>
        <v>1.0392476801960458E-2</v>
      </c>
      <c r="AJ19" s="61">
        <f t="shared" si="44"/>
        <v>0.11272671494490211</v>
      </c>
      <c r="AK19" s="217">
        <f t="shared" si="12"/>
        <v>6</v>
      </c>
      <c r="AL19" s="213">
        <f t="shared" si="13"/>
        <v>1500</v>
      </c>
      <c r="AM19" s="218">
        <f t="shared" si="27"/>
        <v>4.0000000000000001E-3</v>
      </c>
      <c r="AN19" s="217">
        <f t="shared" si="28"/>
        <v>2</v>
      </c>
      <c r="AO19" s="213">
        <f t="shared" si="29"/>
        <v>3.9191835884530846E-2</v>
      </c>
      <c r="AP19" s="213">
        <f t="shared" si="30"/>
        <v>0.10206207261596577</v>
      </c>
      <c r="AQ19" s="213">
        <f t="shared" si="31"/>
        <v>0.20412414523193148</v>
      </c>
      <c r="AR19" s="213">
        <f t="shared" si="45"/>
        <v>0.20412414523193151</v>
      </c>
      <c r="AS19" s="218">
        <f t="shared" si="46"/>
        <v>2.3330903410537219E-2</v>
      </c>
      <c r="AT19" s="217"/>
      <c r="AU19" s="213">
        <f t="shared" si="32"/>
        <v>4.3199999999999998E-4</v>
      </c>
      <c r="AV19" s="218">
        <f t="shared" si="47"/>
        <v>4.3199999999999998E-4</v>
      </c>
      <c r="AW19" s="217">
        <f t="shared" si="33"/>
        <v>0</v>
      </c>
      <c r="AX19" s="213">
        <f t="shared" si="34"/>
        <v>4.5999999999999999E-3</v>
      </c>
      <c r="AY19" s="218">
        <f t="shared" si="48"/>
        <v>4.5999999999999999E-3</v>
      </c>
      <c r="AZ19" s="217">
        <f t="shared" si="14"/>
        <v>0</v>
      </c>
      <c r="BA19" s="213">
        <f t="shared" si="15"/>
        <v>0</v>
      </c>
      <c r="BB19" s="213">
        <f t="shared" si="49"/>
        <v>0</v>
      </c>
      <c r="BC19" s="61">
        <f t="shared" si="35"/>
        <v>0</v>
      </c>
      <c r="BD19" s="58">
        <v>0</v>
      </c>
      <c r="BE19" s="49">
        <f t="shared" si="50"/>
        <v>0</v>
      </c>
      <c r="BF19" s="61">
        <f t="shared" si="51"/>
        <v>0</v>
      </c>
      <c r="BG19" s="58">
        <f t="shared" si="36"/>
        <v>0</v>
      </c>
      <c r="BH19" s="49">
        <f t="shared" si="37"/>
        <v>0</v>
      </c>
      <c r="BI19" s="61">
        <f t="shared" si="38"/>
        <v>0</v>
      </c>
      <c r="BK19" s="217">
        <f t="shared" si="16"/>
        <v>0</v>
      </c>
      <c r="BL19" s="213">
        <f t="shared" si="17"/>
        <v>0</v>
      </c>
      <c r="BM19" s="213">
        <f t="shared" si="18"/>
        <v>0</v>
      </c>
      <c r="BN19" s="61">
        <f t="shared" si="39"/>
        <v>0</v>
      </c>
      <c r="BO19" s="58">
        <v>0</v>
      </c>
      <c r="BP19" s="49">
        <f t="shared" si="40"/>
        <v>0</v>
      </c>
      <c r="BQ19" s="61">
        <f t="shared" si="52"/>
        <v>0</v>
      </c>
      <c r="BR19" s="58">
        <f t="shared" si="41"/>
        <v>0</v>
      </c>
      <c r="BS19" s="49">
        <f t="shared" si="53"/>
        <v>0</v>
      </c>
      <c r="BT19" s="61">
        <f t="shared" si="54"/>
        <v>0</v>
      </c>
      <c r="BU19" s="58">
        <f t="shared" si="19"/>
        <v>1.7418593726458151E-3</v>
      </c>
      <c r="BV19" s="49">
        <f t="shared" si="20"/>
        <v>1.0800000000000002E-3</v>
      </c>
      <c r="BW19" s="61">
        <f t="shared" si="21"/>
        <v>6.7499999999999999E-3</v>
      </c>
      <c r="BX19" s="49">
        <f t="shared" si="55"/>
        <v>0.62078456963567186</v>
      </c>
      <c r="BY19" s="49">
        <f t="shared" si="42"/>
        <v>0.86811514395321976</v>
      </c>
      <c r="BZ19" s="49">
        <f t="shared" si="43"/>
        <v>87.360212725648324</v>
      </c>
    </row>
    <row r="20" spans="1:78" x14ac:dyDescent="0.4">
      <c r="Q20" s="49">
        <v>13</v>
      </c>
      <c r="R20" s="217">
        <f t="shared" si="0"/>
        <v>6.5</v>
      </c>
      <c r="S20" s="213">
        <f t="shared" si="1"/>
        <v>15</v>
      </c>
      <c r="T20" s="218">
        <f t="shared" si="2"/>
        <v>0.43333333333333335</v>
      </c>
      <c r="U20" s="217">
        <f t="shared" si="3"/>
        <v>1</v>
      </c>
      <c r="V20" s="213">
        <f t="shared" si="4"/>
        <v>0.5099019513592784</v>
      </c>
      <c r="W20" s="213">
        <f t="shared" si="5"/>
        <v>4.0792156108742268E-2</v>
      </c>
      <c r="X20" s="213">
        <f t="shared" si="22"/>
        <v>0.44930589253197933</v>
      </c>
      <c r="Y20" s="217">
        <f t="shared" si="23"/>
        <v>0.8498365855987976</v>
      </c>
      <c r="Z20" s="213">
        <f t="shared" si="6"/>
        <v>1.6996731711975945</v>
      </c>
      <c r="AA20" s="213">
        <f t="shared" si="24"/>
        <v>1.699673171197595</v>
      </c>
      <c r="AB20" s="218">
        <f t="shared" si="7"/>
        <v>0.70072583361934593</v>
      </c>
      <c r="AC20" s="217">
        <v>0</v>
      </c>
      <c r="AD20" s="213">
        <f t="shared" si="25"/>
        <v>0.56466919798675641</v>
      </c>
      <c r="AE20" s="218">
        <f t="shared" si="26"/>
        <v>0.56466919798675641</v>
      </c>
      <c r="AF20" s="58">
        <f t="shared" si="8"/>
        <v>0.13</v>
      </c>
      <c r="AG20" s="61">
        <f t="shared" si="9"/>
        <v>0.13</v>
      </c>
      <c r="AH20" s="58">
        <f t="shared" si="10"/>
        <v>0.11538892306685891</v>
      </c>
      <c r="AI20" s="49">
        <f t="shared" si="11"/>
        <v>1.0816832804440808E-2</v>
      </c>
      <c r="AJ20" s="61">
        <f t="shared" si="44"/>
        <v>0.12620575587129973</v>
      </c>
      <c r="AK20" s="217">
        <f t="shared" si="12"/>
        <v>6.5</v>
      </c>
      <c r="AL20" s="213">
        <f t="shared" si="13"/>
        <v>1500</v>
      </c>
      <c r="AM20" s="218">
        <f t="shared" si="27"/>
        <v>4.3333333333333331E-3</v>
      </c>
      <c r="AN20" s="217">
        <f t="shared" si="28"/>
        <v>2</v>
      </c>
      <c r="AO20" s="213">
        <f t="shared" si="29"/>
        <v>4.0792156108742268E-2</v>
      </c>
      <c r="AP20" s="213">
        <f t="shared" si="30"/>
        <v>0.1062295731998497</v>
      </c>
      <c r="AQ20" s="213">
        <f t="shared" si="31"/>
        <v>0.21245914639969932</v>
      </c>
      <c r="AR20" s="213">
        <f t="shared" si="45"/>
        <v>0.21245914639969937</v>
      </c>
      <c r="AS20" s="218">
        <f t="shared" si="46"/>
        <v>2.4774399435241796E-2</v>
      </c>
      <c r="AT20" s="217"/>
      <c r="AU20" s="213">
        <f t="shared" si="32"/>
        <v>5.0699999999999996E-4</v>
      </c>
      <c r="AV20" s="218">
        <f t="shared" si="47"/>
        <v>5.0699999999999996E-4</v>
      </c>
      <c r="AW20" s="217">
        <f t="shared" si="33"/>
        <v>0</v>
      </c>
      <c r="AX20" s="213">
        <f t="shared" si="34"/>
        <v>4.9833333333333327E-3</v>
      </c>
      <c r="AY20" s="218">
        <f t="shared" si="48"/>
        <v>4.9833333333333327E-3</v>
      </c>
      <c r="AZ20" s="217">
        <f t="shared" si="14"/>
        <v>0</v>
      </c>
      <c r="BA20" s="213">
        <f t="shared" si="15"/>
        <v>0</v>
      </c>
      <c r="BB20" s="213">
        <f t="shared" si="49"/>
        <v>0</v>
      </c>
      <c r="BC20" s="61">
        <f t="shared" si="35"/>
        <v>0</v>
      </c>
      <c r="BD20" s="58">
        <v>0</v>
      </c>
      <c r="BE20" s="49">
        <f t="shared" si="50"/>
        <v>0</v>
      </c>
      <c r="BF20" s="61">
        <f t="shared" si="51"/>
        <v>0</v>
      </c>
      <c r="BG20" s="58">
        <f t="shared" si="36"/>
        <v>0</v>
      </c>
      <c r="BH20" s="49">
        <f t="shared" si="37"/>
        <v>0</v>
      </c>
      <c r="BI20" s="61">
        <f t="shared" si="38"/>
        <v>0</v>
      </c>
      <c r="BK20" s="217">
        <f t="shared" si="16"/>
        <v>0</v>
      </c>
      <c r="BL20" s="213">
        <f t="shared" si="17"/>
        <v>0</v>
      </c>
      <c r="BM20" s="213">
        <f t="shared" si="18"/>
        <v>0</v>
      </c>
      <c r="BN20" s="61">
        <f t="shared" si="39"/>
        <v>0</v>
      </c>
      <c r="BO20" s="58">
        <v>0</v>
      </c>
      <c r="BP20" s="49">
        <f t="shared" si="40"/>
        <v>0</v>
      </c>
      <c r="BQ20" s="61">
        <f t="shared" si="52"/>
        <v>0</v>
      </c>
      <c r="BR20" s="58">
        <f t="shared" si="41"/>
        <v>0</v>
      </c>
      <c r="BS20" s="49">
        <f t="shared" si="53"/>
        <v>0</v>
      </c>
      <c r="BT20" s="61">
        <f t="shared" si="54"/>
        <v>0</v>
      </c>
      <c r="BU20" s="58">
        <f t="shared" si="19"/>
        <v>1.9640667756061088E-3</v>
      </c>
      <c r="BV20" s="49">
        <f t="shared" si="20"/>
        <v>1.0800000000000002E-3</v>
      </c>
      <c r="BW20" s="61">
        <f t="shared" si="21"/>
        <v>6.7499999999999999E-3</v>
      </c>
      <c r="BX20" s="49">
        <f t="shared" si="55"/>
        <v>0.69466919798675641</v>
      </c>
      <c r="BY20" s="49">
        <f t="shared" si="42"/>
        <v>0.96615935396699559</v>
      </c>
      <c r="BZ20" s="49">
        <f t="shared" si="43"/>
        <v>87.059486569173671</v>
      </c>
    </row>
    <row r="21" spans="1:78" x14ac:dyDescent="0.4">
      <c r="Q21" s="49">
        <v>14</v>
      </c>
      <c r="R21" s="217">
        <f t="shared" si="0"/>
        <v>7</v>
      </c>
      <c r="S21" s="213">
        <f t="shared" si="1"/>
        <v>15</v>
      </c>
      <c r="T21" s="218">
        <f t="shared" si="2"/>
        <v>0.46666666666666667</v>
      </c>
      <c r="U21" s="217">
        <f t="shared" si="3"/>
        <v>1</v>
      </c>
      <c r="V21" s="213">
        <f t="shared" si="4"/>
        <v>0.52915026221291805</v>
      </c>
      <c r="W21" s="213">
        <f t="shared" si="5"/>
        <v>4.2332020977033445E-2</v>
      </c>
      <c r="X21" s="213">
        <f t="shared" si="22"/>
        <v>0.42851771681004852</v>
      </c>
      <c r="Y21" s="217">
        <f t="shared" si="23"/>
        <v>0.88191710368819687</v>
      </c>
      <c r="Z21" s="213">
        <f t="shared" si="6"/>
        <v>1.7638342073763935</v>
      </c>
      <c r="AA21" s="213">
        <f t="shared" si="24"/>
        <v>1.7638342073763935</v>
      </c>
      <c r="AB21" s="218">
        <f t="shared" si="7"/>
        <v>0.7407755531013801</v>
      </c>
      <c r="AC21" s="217">
        <v>0</v>
      </c>
      <c r="AD21" s="213">
        <f t="shared" si="25"/>
        <v>0.63106068308355401</v>
      </c>
      <c r="AE21" s="218">
        <f t="shared" si="26"/>
        <v>0.63106068308355401</v>
      </c>
      <c r="AF21" s="58">
        <f t="shared" si="8"/>
        <v>0.14000000000000001</v>
      </c>
      <c r="AG21" s="61">
        <f t="shared" si="9"/>
        <v>0.14000000000000001</v>
      </c>
      <c r="AH21" s="58">
        <f t="shared" si="10"/>
        <v>0.12895587871707406</v>
      </c>
      <c r="AI21" s="49">
        <f t="shared" si="11"/>
        <v>1.1225157894620783E-2</v>
      </c>
      <c r="AJ21" s="61">
        <f t="shared" si="44"/>
        <v>0.14018103661169484</v>
      </c>
      <c r="AK21" s="217">
        <f t="shared" si="12"/>
        <v>7</v>
      </c>
      <c r="AL21" s="213">
        <f t="shared" si="13"/>
        <v>1500</v>
      </c>
      <c r="AM21" s="218">
        <f t="shared" si="27"/>
        <v>4.6666666666666671E-3</v>
      </c>
      <c r="AN21" s="217">
        <f t="shared" si="28"/>
        <v>2</v>
      </c>
      <c r="AO21" s="213">
        <f t="shared" si="29"/>
        <v>4.2332020977033452E-2</v>
      </c>
      <c r="AP21" s="213">
        <f t="shared" si="30"/>
        <v>0.11023963796102461</v>
      </c>
      <c r="AQ21" s="213">
        <f t="shared" si="31"/>
        <v>0.22047927592204922</v>
      </c>
      <c r="AR21" s="213">
        <f t="shared" si="45"/>
        <v>0.22047927592204922</v>
      </c>
      <c r="AS21" s="218">
        <f t="shared" si="46"/>
        <v>2.6190370846760066E-2</v>
      </c>
      <c r="AT21" s="217"/>
      <c r="AU21" s="213">
        <f t="shared" si="32"/>
        <v>5.8800000000000009E-4</v>
      </c>
      <c r="AV21" s="218">
        <f t="shared" si="47"/>
        <v>5.8800000000000009E-4</v>
      </c>
      <c r="AW21" s="217">
        <f t="shared" si="33"/>
        <v>0</v>
      </c>
      <c r="AX21" s="213">
        <f t="shared" si="34"/>
        <v>5.3666666666666663E-3</v>
      </c>
      <c r="AY21" s="218">
        <f t="shared" si="48"/>
        <v>5.3666666666666663E-3</v>
      </c>
      <c r="AZ21" s="217">
        <f t="shared" si="14"/>
        <v>0</v>
      </c>
      <c r="BA21" s="213">
        <f t="shared" si="15"/>
        <v>0</v>
      </c>
      <c r="BB21" s="213">
        <f t="shared" si="49"/>
        <v>0</v>
      </c>
      <c r="BC21" s="61">
        <f t="shared" si="35"/>
        <v>0</v>
      </c>
      <c r="BD21" s="58">
        <v>0</v>
      </c>
      <c r="BE21" s="49">
        <f t="shared" si="50"/>
        <v>0</v>
      </c>
      <c r="BF21" s="61">
        <f t="shared" si="51"/>
        <v>0</v>
      </c>
      <c r="BG21" s="58">
        <f t="shared" si="36"/>
        <v>0</v>
      </c>
      <c r="BH21" s="49">
        <f t="shared" si="37"/>
        <v>0</v>
      </c>
      <c r="BI21" s="61">
        <f t="shared" si="38"/>
        <v>0</v>
      </c>
      <c r="BK21" s="217">
        <f t="shared" si="16"/>
        <v>0</v>
      </c>
      <c r="BL21" s="213">
        <f t="shared" si="17"/>
        <v>0</v>
      </c>
      <c r="BM21" s="213">
        <f t="shared" si="18"/>
        <v>0</v>
      </c>
      <c r="BN21" s="61">
        <f t="shared" si="39"/>
        <v>0</v>
      </c>
      <c r="BO21" s="58">
        <v>0</v>
      </c>
      <c r="BP21" s="49">
        <f t="shared" si="40"/>
        <v>0</v>
      </c>
      <c r="BQ21" s="61">
        <f t="shared" si="52"/>
        <v>0</v>
      </c>
      <c r="BR21" s="58">
        <f t="shared" si="41"/>
        <v>0</v>
      </c>
      <c r="BS21" s="49">
        <f t="shared" si="53"/>
        <v>0</v>
      </c>
      <c r="BT21" s="61">
        <f t="shared" si="54"/>
        <v>0</v>
      </c>
      <c r="BU21" s="58">
        <f t="shared" si="19"/>
        <v>2.1949936802906221E-3</v>
      </c>
      <c r="BV21" s="49">
        <f t="shared" si="20"/>
        <v>1.0800000000000002E-3</v>
      </c>
      <c r="BW21" s="61">
        <f t="shared" si="21"/>
        <v>6.7499999999999999E-3</v>
      </c>
      <c r="BX21" s="49">
        <f t="shared" si="55"/>
        <v>0.77106068308355402</v>
      </c>
      <c r="BY21" s="49">
        <f t="shared" si="42"/>
        <v>1.0672213800422061</v>
      </c>
      <c r="BZ21" s="49">
        <f t="shared" si="43"/>
        <v>86.770892606437656</v>
      </c>
    </row>
    <row r="22" spans="1:78" x14ac:dyDescent="0.4">
      <c r="Q22" s="49">
        <v>15</v>
      </c>
      <c r="R22" s="217">
        <f t="shared" si="0"/>
        <v>7.5</v>
      </c>
      <c r="S22" s="213">
        <f t="shared" si="1"/>
        <v>15</v>
      </c>
      <c r="T22" s="218">
        <f t="shared" si="2"/>
        <v>0.5</v>
      </c>
      <c r="U22" s="217">
        <f t="shared" si="3"/>
        <v>1</v>
      </c>
      <c r="V22" s="213">
        <f t="shared" si="4"/>
        <v>0.54772255750516607</v>
      </c>
      <c r="W22" s="213">
        <f t="shared" si="5"/>
        <v>4.381780460041329E-2</v>
      </c>
      <c r="X22" s="213">
        <f t="shared" si="22"/>
        <v>0.40845963789442064</v>
      </c>
      <c r="Y22" s="217">
        <f t="shared" si="23"/>
        <v>0.9128709291752769</v>
      </c>
      <c r="Z22" s="213">
        <f t="shared" si="6"/>
        <v>1.8257418583505536</v>
      </c>
      <c r="AA22" s="213">
        <f t="shared" si="24"/>
        <v>1.8257418583505536</v>
      </c>
      <c r="AB22" s="218">
        <f t="shared" si="7"/>
        <v>0.78011577310690527</v>
      </c>
      <c r="AC22" s="217">
        <v>0</v>
      </c>
      <c r="AD22" s="213">
        <f t="shared" si="25"/>
        <v>0.69986771236771228</v>
      </c>
      <c r="AE22" s="218">
        <f t="shared" si="26"/>
        <v>0.69986771236771228</v>
      </c>
      <c r="AF22" s="58">
        <f t="shared" si="8"/>
        <v>0.15</v>
      </c>
      <c r="AG22" s="61">
        <f t="shared" si="9"/>
        <v>0.15</v>
      </c>
      <c r="AH22" s="58">
        <f t="shared" si="10"/>
        <v>0.14301644557079338</v>
      </c>
      <c r="AI22" s="49">
        <f t="shared" si="11"/>
        <v>1.1619142291886599E-2</v>
      </c>
      <c r="AJ22" s="61">
        <f t="shared" si="44"/>
        <v>0.15463558786267997</v>
      </c>
      <c r="AK22" s="217">
        <f t="shared" si="12"/>
        <v>7.5</v>
      </c>
      <c r="AL22" s="213">
        <f t="shared" si="13"/>
        <v>1500</v>
      </c>
      <c r="AM22" s="218">
        <f t="shared" si="27"/>
        <v>5.0000000000000001E-3</v>
      </c>
      <c r="AN22" s="217">
        <f t="shared" si="28"/>
        <v>2</v>
      </c>
      <c r="AO22" s="213">
        <f t="shared" si="29"/>
        <v>4.381780460041329E-2</v>
      </c>
      <c r="AP22" s="213">
        <f t="shared" si="30"/>
        <v>0.11410886614690961</v>
      </c>
      <c r="AQ22" s="213">
        <f t="shared" si="31"/>
        <v>0.2282177322938192</v>
      </c>
      <c r="AR22" s="213">
        <f t="shared" si="45"/>
        <v>0.2282177322938192</v>
      </c>
      <c r="AS22" s="218">
        <f t="shared" si="46"/>
        <v>2.7581257663723938E-2</v>
      </c>
      <c r="AT22" s="217"/>
      <c r="AU22" s="213">
        <f t="shared" si="32"/>
        <v>6.7500000000000004E-4</v>
      </c>
      <c r="AV22" s="218">
        <f t="shared" si="47"/>
        <v>6.7500000000000004E-4</v>
      </c>
      <c r="AW22" s="217">
        <f t="shared" si="33"/>
        <v>0</v>
      </c>
      <c r="AX22" s="213">
        <f t="shared" si="34"/>
        <v>5.7499999999999999E-3</v>
      </c>
      <c r="AY22" s="218">
        <f t="shared" si="48"/>
        <v>5.7499999999999999E-3</v>
      </c>
      <c r="AZ22" s="217">
        <f t="shared" si="14"/>
        <v>0</v>
      </c>
      <c r="BA22" s="213">
        <f t="shared" si="15"/>
        <v>0</v>
      </c>
      <c r="BB22" s="213">
        <f t="shared" si="49"/>
        <v>0</v>
      </c>
      <c r="BC22" s="61">
        <f t="shared" si="35"/>
        <v>0</v>
      </c>
      <c r="BD22" s="58">
        <v>0</v>
      </c>
      <c r="BE22" s="49">
        <f t="shared" si="50"/>
        <v>0</v>
      </c>
      <c r="BF22" s="61">
        <f t="shared" si="51"/>
        <v>0</v>
      </c>
      <c r="BG22" s="58">
        <f t="shared" si="36"/>
        <v>0</v>
      </c>
      <c r="BH22" s="49">
        <f t="shared" si="37"/>
        <v>0</v>
      </c>
      <c r="BI22" s="61">
        <f t="shared" si="38"/>
        <v>0</v>
      </c>
      <c r="BK22" s="217">
        <f t="shared" si="16"/>
        <v>0</v>
      </c>
      <c r="BL22" s="213">
        <f t="shared" si="17"/>
        <v>0</v>
      </c>
      <c r="BM22" s="213">
        <f t="shared" si="18"/>
        <v>0</v>
      </c>
      <c r="BN22" s="61">
        <f t="shared" si="39"/>
        <v>0</v>
      </c>
      <c r="BO22" s="58">
        <v>0</v>
      </c>
      <c r="BP22" s="49">
        <f t="shared" si="40"/>
        <v>0</v>
      </c>
      <c r="BQ22" s="61">
        <f t="shared" si="52"/>
        <v>0</v>
      </c>
      <c r="BR22" s="58">
        <f t="shared" si="41"/>
        <v>0</v>
      </c>
      <c r="BS22" s="49">
        <f t="shared" si="53"/>
        <v>0</v>
      </c>
      <c r="BT22" s="61">
        <f t="shared" si="54"/>
        <v>0</v>
      </c>
      <c r="BU22" s="58">
        <f t="shared" si="19"/>
        <v>2.4343224778007378E-3</v>
      </c>
      <c r="BV22" s="49">
        <f t="shared" si="20"/>
        <v>1.0800000000000002E-3</v>
      </c>
      <c r="BW22" s="61">
        <f t="shared" si="21"/>
        <v>6.7499999999999999E-3</v>
      </c>
      <c r="BX22" s="49">
        <f t="shared" si="55"/>
        <v>0.8498677123677123</v>
      </c>
      <c r="BY22" s="49">
        <f t="shared" si="42"/>
        <v>1.171192622708193</v>
      </c>
      <c r="BZ22" s="49">
        <f t="shared" si="43"/>
        <v>86.493292518481653</v>
      </c>
    </row>
    <row r="23" spans="1:78" x14ac:dyDescent="0.4">
      <c r="Q23" s="49">
        <v>16</v>
      </c>
      <c r="R23" s="217">
        <f t="shared" si="0"/>
        <v>8</v>
      </c>
      <c r="S23" s="213">
        <f t="shared" si="1"/>
        <v>15</v>
      </c>
      <c r="T23" s="218">
        <f t="shared" si="2"/>
        <v>0.53333333333333333</v>
      </c>
      <c r="U23" s="217">
        <f t="shared" si="3"/>
        <v>1</v>
      </c>
      <c r="V23" s="213">
        <f t="shared" si="4"/>
        <v>0.56568542494923801</v>
      </c>
      <c r="W23" s="213">
        <f t="shared" si="5"/>
        <v>4.5254833995939041E-2</v>
      </c>
      <c r="X23" s="213">
        <f t="shared" si="22"/>
        <v>0.38905974105482294</v>
      </c>
      <c r="Y23" s="217">
        <f t="shared" si="23"/>
        <v>0.94280904158206347</v>
      </c>
      <c r="Z23" s="213">
        <f t="shared" si="6"/>
        <v>1.8856180831641265</v>
      </c>
      <c r="AA23" s="213">
        <f t="shared" si="24"/>
        <v>1.8856180831641267</v>
      </c>
      <c r="AB23" s="218">
        <f t="shared" si="7"/>
        <v>0.81880521806167228</v>
      </c>
      <c r="AC23" s="217">
        <v>0</v>
      </c>
      <c r="AD23" s="213">
        <f t="shared" si="25"/>
        <v>0.77100828289377621</v>
      </c>
      <c r="AE23" s="218">
        <f t="shared" si="26"/>
        <v>0.77100828289377621</v>
      </c>
      <c r="AF23" s="58">
        <f t="shared" si="8"/>
        <v>0.16</v>
      </c>
      <c r="AG23" s="61">
        <f t="shared" si="9"/>
        <v>0.16</v>
      </c>
      <c r="AH23" s="58">
        <f t="shared" si="10"/>
        <v>0.15755386650438036</v>
      </c>
      <c r="AI23" s="49">
        <f t="shared" si="11"/>
        <v>1.200019855831762E-2</v>
      </c>
      <c r="AJ23" s="61">
        <f t="shared" si="44"/>
        <v>0.16955406506269799</v>
      </c>
      <c r="AK23" s="217">
        <f t="shared" si="12"/>
        <v>8</v>
      </c>
      <c r="AL23" s="213">
        <f t="shared" si="13"/>
        <v>1500</v>
      </c>
      <c r="AM23" s="218">
        <f t="shared" si="27"/>
        <v>5.3333333333333332E-3</v>
      </c>
      <c r="AN23" s="217">
        <f t="shared" si="28"/>
        <v>2</v>
      </c>
      <c r="AO23" s="213">
        <f t="shared" si="29"/>
        <v>4.5254833995939034E-2</v>
      </c>
      <c r="AP23" s="213">
        <f t="shared" si="30"/>
        <v>0.11785113019775793</v>
      </c>
      <c r="AQ23" s="213">
        <f t="shared" si="31"/>
        <v>0.23570226039551581</v>
      </c>
      <c r="AR23" s="213">
        <f t="shared" si="45"/>
        <v>0.23570226039551584</v>
      </c>
      <c r="AS23" s="218">
        <f t="shared" si="46"/>
        <v>2.8949136108116919E-2</v>
      </c>
      <c r="AT23" s="217"/>
      <c r="AU23" s="213">
        <f t="shared" si="32"/>
        <v>7.6800000000000002E-4</v>
      </c>
      <c r="AV23" s="218">
        <f t="shared" si="47"/>
        <v>7.6800000000000002E-4</v>
      </c>
      <c r="AW23" s="217">
        <f t="shared" si="33"/>
        <v>0</v>
      </c>
      <c r="AX23" s="213">
        <f t="shared" si="34"/>
        <v>6.1333333333333327E-3</v>
      </c>
      <c r="AY23" s="218">
        <f t="shared" si="48"/>
        <v>6.1333333333333327E-3</v>
      </c>
      <c r="AZ23" s="217">
        <f t="shared" si="14"/>
        <v>0</v>
      </c>
      <c r="BA23" s="213">
        <f t="shared" si="15"/>
        <v>0</v>
      </c>
      <c r="BB23" s="213">
        <f t="shared" si="49"/>
        <v>0</v>
      </c>
      <c r="BC23" s="61">
        <f t="shared" si="35"/>
        <v>0</v>
      </c>
      <c r="BD23" s="58">
        <v>0</v>
      </c>
      <c r="BE23" s="49">
        <f t="shared" si="50"/>
        <v>0</v>
      </c>
      <c r="BF23" s="61">
        <f t="shared" si="51"/>
        <v>0</v>
      </c>
      <c r="BG23" s="58">
        <f t="shared" si="36"/>
        <v>0</v>
      </c>
      <c r="BH23" s="49">
        <f t="shared" si="37"/>
        <v>0</v>
      </c>
      <c r="BI23" s="61">
        <f t="shared" si="38"/>
        <v>0</v>
      </c>
      <c r="BK23" s="217">
        <f t="shared" si="16"/>
        <v>0</v>
      </c>
      <c r="BL23" s="213">
        <f t="shared" si="17"/>
        <v>0</v>
      </c>
      <c r="BM23" s="213">
        <f t="shared" si="18"/>
        <v>0</v>
      </c>
      <c r="BN23" s="61">
        <f t="shared" si="39"/>
        <v>0</v>
      </c>
      <c r="BO23" s="58">
        <v>0</v>
      </c>
      <c r="BP23" s="49">
        <f t="shared" si="40"/>
        <v>0</v>
      </c>
      <c r="BQ23" s="61">
        <f t="shared" si="52"/>
        <v>0</v>
      </c>
      <c r="BR23" s="58">
        <f t="shared" si="41"/>
        <v>0</v>
      </c>
      <c r="BS23" s="49">
        <f t="shared" si="53"/>
        <v>0</v>
      </c>
      <c r="BT23" s="61">
        <f t="shared" si="54"/>
        <v>0</v>
      </c>
      <c r="BU23" s="58">
        <f t="shared" si="19"/>
        <v>2.6817679405000908E-3</v>
      </c>
      <c r="BV23" s="49">
        <f t="shared" si="20"/>
        <v>1.0800000000000002E-3</v>
      </c>
      <c r="BW23" s="61">
        <f t="shared" si="21"/>
        <v>6.7499999999999999E-3</v>
      </c>
      <c r="BX23" s="49">
        <f t="shared" si="55"/>
        <v>0.93100828289377624</v>
      </c>
      <c r="BY23" s="49">
        <f t="shared" si="42"/>
        <v>1.2779754492303075</v>
      </c>
      <c r="BZ23" s="49">
        <f t="shared" si="43"/>
        <v>86.22570779343539</v>
      </c>
    </row>
    <row r="24" spans="1:78" x14ac:dyDescent="0.4">
      <c r="Q24" s="49">
        <v>17</v>
      </c>
      <c r="R24" s="217">
        <f t="shared" si="0"/>
        <v>8.5</v>
      </c>
      <c r="S24" s="213">
        <f t="shared" si="1"/>
        <v>15</v>
      </c>
      <c r="T24" s="218">
        <f t="shared" si="2"/>
        <v>0.56666666666666665</v>
      </c>
      <c r="U24" s="217">
        <f t="shared" si="3"/>
        <v>1</v>
      </c>
      <c r="V24" s="213">
        <f t="shared" si="4"/>
        <v>0.5830951894845301</v>
      </c>
      <c r="W24" s="213">
        <f t="shared" si="5"/>
        <v>4.6647615158762409E-2</v>
      </c>
      <c r="X24" s="213">
        <f t="shared" si="22"/>
        <v>0.37025719535670748</v>
      </c>
      <c r="Y24" s="217">
        <f t="shared" si="23"/>
        <v>0.97182531580754994</v>
      </c>
      <c r="Z24" s="213">
        <f t="shared" si="6"/>
        <v>1.9436506316151005</v>
      </c>
      <c r="AA24" s="213">
        <f t="shared" si="24"/>
        <v>1.9436506316151001</v>
      </c>
      <c r="AB24" s="218">
        <f t="shared" si="7"/>
        <v>0.85689440212194568</v>
      </c>
      <c r="AC24" s="217">
        <v>0</v>
      </c>
      <c r="AD24" s="213">
        <f t="shared" si="25"/>
        <v>0.84440821884611583</v>
      </c>
      <c r="AE24" s="218">
        <f t="shared" si="26"/>
        <v>0.84440821884611583</v>
      </c>
      <c r="AF24" s="58">
        <f t="shared" si="8"/>
        <v>0.17</v>
      </c>
      <c r="AG24" s="61">
        <f t="shared" si="9"/>
        <v>0.17</v>
      </c>
      <c r="AH24" s="58">
        <f t="shared" si="10"/>
        <v>0.1725529838511628</v>
      </c>
      <c r="AI24" s="49">
        <f t="shared" si="11"/>
        <v>1.2369521546082079E-2</v>
      </c>
      <c r="AJ24" s="61">
        <f t="shared" si="44"/>
        <v>0.18492250539724489</v>
      </c>
      <c r="AK24" s="217">
        <f t="shared" si="12"/>
        <v>8.5</v>
      </c>
      <c r="AL24" s="213">
        <f t="shared" si="13"/>
        <v>1500</v>
      </c>
      <c r="AM24" s="218">
        <f t="shared" si="27"/>
        <v>5.6666666666666671E-3</v>
      </c>
      <c r="AN24" s="217">
        <f t="shared" si="28"/>
        <v>2</v>
      </c>
      <c r="AO24" s="213">
        <f t="shared" si="29"/>
        <v>4.6647615158762409E-2</v>
      </c>
      <c r="AP24" s="213">
        <f t="shared" si="30"/>
        <v>0.12147816447594376</v>
      </c>
      <c r="AQ24" s="213">
        <f t="shared" si="31"/>
        <v>0.24295632895188757</v>
      </c>
      <c r="AR24" s="213">
        <f t="shared" si="45"/>
        <v>0.24295632895188754</v>
      </c>
      <c r="AS24" s="218">
        <f t="shared" si="46"/>
        <v>3.0295792125061005E-2</v>
      </c>
      <c r="AT24" s="217"/>
      <c r="AU24" s="213">
        <f t="shared" si="32"/>
        <v>8.6700000000000004E-4</v>
      </c>
      <c r="AV24" s="218">
        <f t="shared" si="47"/>
        <v>8.6700000000000004E-4</v>
      </c>
      <c r="AW24" s="217">
        <f t="shared" si="33"/>
        <v>0</v>
      </c>
      <c r="AX24" s="213">
        <f t="shared" si="34"/>
        <v>6.5166666666666663E-3</v>
      </c>
      <c r="AY24" s="218">
        <f t="shared" si="48"/>
        <v>6.5166666666666663E-3</v>
      </c>
      <c r="AZ24" s="217">
        <f t="shared" si="14"/>
        <v>0</v>
      </c>
      <c r="BA24" s="213">
        <f t="shared" si="15"/>
        <v>0</v>
      </c>
      <c r="BB24" s="213">
        <f t="shared" si="49"/>
        <v>0</v>
      </c>
      <c r="BC24" s="61">
        <f t="shared" si="35"/>
        <v>0</v>
      </c>
      <c r="BD24" s="58">
        <v>0</v>
      </c>
      <c r="BE24" s="49">
        <f t="shared" si="50"/>
        <v>0</v>
      </c>
      <c r="BF24" s="61">
        <f t="shared" si="51"/>
        <v>0</v>
      </c>
      <c r="BG24" s="58">
        <f t="shared" si="36"/>
        <v>0</v>
      </c>
      <c r="BH24" s="49">
        <f t="shared" si="37"/>
        <v>0</v>
      </c>
      <c r="BI24" s="61">
        <f t="shared" si="38"/>
        <v>0</v>
      </c>
      <c r="BK24" s="217">
        <f t="shared" si="16"/>
        <v>0</v>
      </c>
      <c r="BL24" s="213">
        <f t="shared" si="17"/>
        <v>0</v>
      </c>
      <c r="BM24" s="213">
        <f t="shared" si="18"/>
        <v>0</v>
      </c>
      <c r="BN24" s="61">
        <f t="shared" si="39"/>
        <v>0</v>
      </c>
      <c r="BO24" s="58">
        <v>0</v>
      </c>
      <c r="BP24" s="49">
        <f t="shared" si="40"/>
        <v>0</v>
      </c>
      <c r="BQ24" s="61">
        <f t="shared" si="52"/>
        <v>0</v>
      </c>
      <c r="BR24" s="58">
        <f t="shared" si="41"/>
        <v>0</v>
      </c>
      <c r="BS24" s="49">
        <f t="shared" si="53"/>
        <v>0</v>
      </c>
      <c r="BT24" s="61">
        <f t="shared" si="54"/>
        <v>0</v>
      </c>
      <c r="BU24" s="58">
        <f t="shared" si="19"/>
        <v>2.9370720655517071E-3</v>
      </c>
      <c r="BV24" s="49">
        <f t="shared" si="20"/>
        <v>1.0800000000000002E-3</v>
      </c>
      <c r="BW24" s="61">
        <f t="shared" si="21"/>
        <v>6.7499999999999999E-3</v>
      </c>
      <c r="BX24" s="49">
        <f t="shared" si="55"/>
        <v>1.0144082188461159</v>
      </c>
      <c r="BY24" s="49">
        <f t="shared" si="42"/>
        <v>1.3874814629755789</v>
      </c>
      <c r="BZ24" s="49">
        <f t="shared" si="43"/>
        <v>85.967291385869004</v>
      </c>
    </row>
    <row r="25" spans="1:78" s="215" customFormat="1" x14ac:dyDescent="0.4">
      <c r="Q25" s="215">
        <v>18</v>
      </c>
      <c r="R25" s="217">
        <f t="shared" si="0"/>
        <v>9</v>
      </c>
      <c r="S25" s="213">
        <f t="shared" si="1"/>
        <v>15</v>
      </c>
      <c r="T25" s="218">
        <f t="shared" si="2"/>
        <v>0.6</v>
      </c>
      <c r="U25" s="217">
        <f t="shared" si="3"/>
        <v>1</v>
      </c>
      <c r="V25" s="213">
        <f t="shared" si="4"/>
        <v>0.6</v>
      </c>
      <c r="W25" s="213">
        <f t="shared" si="5"/>
        <v>4.8000000000000001E-2</v>
      </c>
      <c r="X25" s="213">
        <f t="shared" si="22"/>
        <v>0.35200000000000004</v>
      </c>
      <c r="Y25" s="217">
        <f t="shared" si="23"/>
        <v>1</v>
      </c>
      <c r="Z25" s="213">
        <f t="shared" si="6"/>
        <v>2</v>
      </c>
      <c r="AA25" s="213">
        <f t="shared" si="24"/>
        <v>2</v>
      </c>
      <c r="AB25" s="218">
        <f t="shared" si="7"/>
        <v>0.89442719099991586</v>
      </c>
      <c r="AC25" s="217">
        <v>0</v>
      </c>
      <c r="AD25" s="213">
        <f t="shared" si="25"/>
        <v>0.92</v>
      </c>
      <c r="AE25" s="218">
        <f t="shared" si="26"/>
        <v>0.92</v>
      </c>
      <c r="AF25" s="58">
        <f t="shared" si="8"/>
        <v>0.18</v>
      </c>
      <c r="AG25" s="61">
        <f t="shared" si="9"/>
        <v>0.18</v>
      </c>
      <c r="AH25" s="58">
        <f t="shared" si="10"/>
        <v>0.188</v>
      </c>
      <c r="AI25" s="49">
        <f t="shared" si="11"/>
        <v>1.272813266425713E-2</v>
      </c>
      <c r="AJ25" s="223">
        <f t="shared" si="44"/>
        <v>0.20072813266425713</v>
      </c>
      <c r="AK25" s="217">
        <f t="shared" si="12"/>
        <v>9</v>
      </c>
      <c r="AL25" s="213">
        <f t="shared" si="13"/>
        <v>1500</v>
      </c>
      <c r="AM25" s="218">
        <f t="shared" si="27"/>
        <v>6.0000000000000001E-3</v>
      </c>
      <c r="AN25" s="217">
        <f t="shared" si="28"/>
        <v>2</v>
      </c>
      <c r="AO25" s="213">
        <f t="shared" si="29"/>
        <v>4.8000000000000001E-2</v>
      </c>
      <c r="AP25" s="213">
        <f t="shared" si="30"/>
        <v>0.125</v>
      </c>
      <c r="AQ25" s="213">
        <f t="shared" si="31"/>
        <v>0.25</v>
      </c>
      <c r="AR25" s="213">
        <f t="shared" si="45"/>
        <v>0.25</v>
      </c>
      <c r="AS25" s="218">
        <f t="shared" si="46"/>
        <v>3.1622776601683791E-2</v>
      </c>
      <c r="AT25" s="217"/>
      <c r="AU25" s="213">
        <f t="shared" si="32"/>
        <v>9.7199999999999999E-4</v>
      </c>
      <c r="AV25" s="218">
        <f t="shared" si="47"/>
        <v>9.7199999999999999E-4</v>
      </c>
      <c r="AW25" s="217">
        <f t="shared" si="33"/>
        <v>0</v>
      </c>
      <c r="AX25" s="213">
        <f t="shared" si="34"/>
        <v>6.8999999999999999E-3</v>
      </c>
      <c r="AY25" s="218">
        <f t="shared" si="48"/>
        <v>6.8999999999999999E-3</v>
      </c>
      <c r="AZ25" s="217">
        <f t="shared" si="14"/>
        <v>0</v>
      </c>
      <c r="BA25" s="213">
        <f t="shared" si="15"/>
        <v>0</v>
      </c>
      <c r="BB25" s="213">
        <f t="shared" si="49"/>
        <v>0</v>
      </c>
      <c r="BC25" s="61">
        <f t="shared" si="35"/>
        <v>0</v>
      </c>
      <c r="BD25" s="58">
        <v>0</v>
      </c>
      <c r="BE25" s="49">
        <f t="shared" si="50"/>
        <v>0</v>
      </c>
      <c r="BF25" s="61">
        <f t="shared" si="51"/>
        <v>0</v>
      </c>
      <c r="BG25" s="58">
        <f t="shared" si="36"/>
        <v>0</v>
      </c>
      <c r="BH25" s="49">
        <f t="shared" si="37"/>
        <v>0</v>
      </c>
      <c r="BI25" s="61">
        <f t="shared" si="38"/>
        <v>0</v>
      </c>
      <c r="BJ25" s="49"/>
      <c r="BK25" s="217">
        <f t="shared" si="16"/>
        <v>0</v>
      </c>
      <c r="BL25" s="213">
        <f t="shared" si="17"/>
        <v>0</v>
      </c>
      <c r="BM25" s="213">
        <f t="shared" si="18"/>
        <v>0</v>
      </c>
      <c r="BN25" s="61">
        <f t="shared" si="39"/>
        <v>0</v>
      </c>
      <c r="BO25" s="58">
        <v>0</v>
      </c>
      <c r="BP25" s="49">
        <f t="shared" si="40"/>
        <v>0</v>
      </c>
      <c r="BQ25" s="61">
        <f t="shared" si="52"/>
        <v>0</v>
      </c>
      <c r="BR25" s="58">
        <f t="shared" si="41"/>
        <v>0</v>
      </c>
      <c r="BS25" s="49">
        <f t="shared" si="53"/>
        <v>0</v>
      </c>
      <c r="BT25" s="61">
        <f t="shared" si="54"/>
        <v>0</v>
      </c>
      <c r="BU25" s="58">
        <f t="shared" si="19"/>
        <v>3.1999999999999997E-3</v>
      </c>
      <c r="BV25" s="49">
        <f t="shared" si="20"/>
        <v>1.0800000000000002E-3</v>
      </c>
      <c r="BW25" s="61">
        <f t="shared" si="21"/>
        <v>6.7499999999999999E-3</v>
      </c>
      <c r="BX25" s="49">
        <f t="shared" si="55"/>
        <v>1.1000000000000001</v>
      </c>
      <c r="BY25" s="49">
        <f t="shared" si="42"/>
        <v>1.4996301326642572</v>
      </c>
      <c r="BZ25" s="49">
        <f t="shared" si="43"/>
        <v>85.717305145836306</v>
      </c>
    </row>
    <row r="26" spans="1:78" x14ac:dyDescent="0.4">
      <c r="Q26" s="49">
        <v>19</v>
      </c>
      <c r="R26" s="217">
        <f t="shared" si="0"/>
        <v>9.5</v>
      </c>
      <c r="S26" s="213">
        <f t="shared" si="1"/>
        <v>15</v>
      </c>
      <c r="T26" s="218">
        <f t="shared" si="2"/>
        <v>0.6333333333333333</v>
      </c>
      <c r="U26" s="217">
        <f t="shared" si="3"/>
        <v>1</v>
      </c>
      <c r="V26" s="213">
        <f t="shared" si="4"/>
        <v>0.61644140029689765</v>
      </c>
      <c r="W26" s="213">
        <f t="shared" si="5"/>
        <v>4.9315312023751813E-2</v>
      </c>
      <c r="X26" s="213">
        <f t="shared" si="22"/>
        <v>0.33424328767935052</v>
      </c>
      <c r="Y26" s="217">
        <f t="shared" si="23"/>
        <v>1.0274023338281628</v>
      </c>
      <c r="Z26" s="213">
        <f t="shared" si="6"/>
        <v>2.0548046676563256</v>
      </c>
      <c r="AA26" s="213">
        <f t="shared" si="24"/>
        <v>2.0548046676563256</v>
      </c>
      <c r="AB26" s="218">
        <f t="shared" si="7"/>
        <v>0.93144199658940052</v>
      </c>
      <c r="AC26" s="217">
        <v>0</v>
      </c>
      <c r="AD26" s="213">
        <f t="shared" si="25"/>
        <v>0.99772182196201631</v>
      </c>
      <c r="AE26" s="218">
        <f t="shared" si="26"/>
        <v>0.99772182196201631</v>
      </c>
      <c r="AF26" s="58">
        <f t="shared" si="8"/>
        <v>0.19</v>
      </c>
      <c r="AG26" s="61">
        <f t="shared" si="9"/>
        <v>0.19</v>
      </c>
      <c r="AH26" s="58">
        <f t="shared" si="10"/>
        <v>0.20388228535745551</v>
      </c>
      <c r="AI26" s="49">
        <f t="shared" si="11"/>
        <v>1.3076913204532248E-2</v>
      </c>
      <c r="AJ26" s="61">
        <f t="shared" si="44"/>
        <v>0.21695919856198775</v>
      </c>
      <c r="AK26" s="217">
        <f t="shared" si="12"/>
        <v>9.5</v>
      </c>
      <c r="AL26" s="213">
        <f t="shared" si="13"/>
        <v>1500</v>
      </c>
      <c r="AM26" s="218">
        <f t="shared" si="27"/>
        <v>6.3333333333333332E-3</v>
      </c>
      <c r="AN26" s="217">
        <f t="shared" si="28"/>
        <v>2</v>
      </c>
      <c r="AO26" s="213">
        <f t="shared" si="29"/>
        <v>4.9315312023751806E-2</v>
      </c>
      <c r="AP26" s="213">
        <f t="shared" si="30"/>
        <v>0.12842529172852035</v>
      </c>
      <c r="AQ26" s="213">
        <f t="shared" si="31"/>
        <v>0.2568505834570407</v>
      </c>
      <c r="AR26" s="213">
        <f t="shared" si="45"/>
        <v>0.2568505834570407</v>
      </c>
      <c r="AS26" s="218">
        <f t="shared" si="46"/>
        <v>3.2931447603515102E-2</v>
      </c>
      <c r="AT26" s="217"/>
      <c r="AU26" s="213">
        <f t="shared" si="32"/>
        <v>1.083E-3</v>
      </c>
      <c r="AV26" s="218">
        <f t="shared" si="47"/>
        <v>1.083E-3</v>
      </c>
      <c r="AW26" s="217">
        <f t="shared" si="33"/>
        <v>0</v>
      </c>
      <c r="AX26" s="213">
        <f t="shared" si="34"/>
        <v>7.2833333333333326E-3</v>
      </c>
      <c r="AY26" s="218">
        <f t="shared" si="48"/>
        <v>7.2833333333333326E-3</v>
      </c>
      <c r="AZ26" s="217">
        <f t="shared" si="14"/>
        <v>0</v>
      </c>
      <c r="BA26" s="213">
        <f t="shared" si="15"/>
        <v>0</v>
      </c>
      <c r="BB26" s="213">
        <f t="shared" si="49"/>
        <v>0</v>
      </c>
      <c r="BC26" s="61">
        <f t="shared" si="35"/>
        <v>0</v>
      </c>
      <c r="BD26" s="58">
        <v>0</v>
      </c>
      <c r="BE26" s="49">
        <f t="shared" si="50"/>
        <v>0</v>
      </c>
      <c r="BF26" s="61">
        <f t="shared" si="51"/>
        <v>0</v>
      </c>
      <c r="BG26" s="58">
        <f t="shared" si="36"/>
        <v>0</v>
      </c>
      <c r="BH26" s="49">
        <f t="shared" si="37"/>
        <v>0</v>
      </c>
      <c r="BI26" s="61">
        <f t="shared" si="38"/>
        <v>0</v>
      </c>
      <c r="BK26" s="217">
        <f t="shared" si="16"/>
        <v>0</v>
      </c>
      <c r="BL26" s="213">
        <f t="shared" si="17"/>
        <v>0</v>
      </c>
      <c r="BM26" s="213">
        <f t="shared" si="18"/>
        <v>0</v>
      </c>
      <c r="BN26" s="61">
        <f t="shared" si="39"/>
        <v>0</v>
      </c>
      <c r="BO26" s="58">
        <v>0</v>
      </c>
      <c r="BP26" s="49">
        <f t="shared" si="40"/>
        <v>0</v>
      </c>
      <c r="BQ26" s="61">
        <f t="shared" si="52"/>
        <v>0</v>
      </c>
      <c r="BR26" s="58">
        <f t="shared" si="41"/>
        <v>0</v>
      </c>
      <c r="BS26" s="49">
        <f t="shared" si="53"/>
        <v>0</v>
      </c>
      <c r="BT26" s="61">
        <f t="shared" si="54"/>
        <v>0</v>
      </c>
      <c r="BU26" s="58">
        <f t="shared" si="19"/>
        <v>3.4703367720417956E-3</v>
      </c>
      <c r="BV26" s="49">
        <f t="shared" si="20"/>
        <v>1.0800000000000002E-3</v>
      </c>
      <c r="BW26" s="61">
        <f t="shared" si="21"/>
        <v>6.7499999999999999E-3</v>
      </c>
      <c r="BX26" s="49">
        <f t="shared" si="55"/>
        <v>1.1877218219620163</v>
      </c>
      <c r="BY26" s="49">
        <f t="shared" si="42"/>
        <v>1.614347690629379</v>
      </c>
      <c r="BZ26" s="49">
        <f t="shared" si="43"/>
        <v>85.475101773265081</v>
      </c>
    </row>
    <row r="27" spans="1:78" x14ac:dyDescent="0.4">
      <c r="Q27" s="49">
        <v>20</v>
      </c>
      <c r="R27" s="217">
        <f t="shared" si="0"/>
        <v>10</v>
      </c>
      <c r="S27" s="213">
        <f t="shared" si="1"/>
        <v>15</v>
      </c>
      <c r="T27" s="218">
        <f t="shared" si="2"/>
        <v>0.66666666666666663</v>
      </c>
      <c r="U27" s="217">
        <f t="shared" si="3"/>
        <v>1</v>
      </c>
      <c r="V27" s="213">
        <f t="shared" si="4"/>
        <v>0.63245553203367588</v>
      </c>
      <c r="W27" s="213">
        <f t="shared" si="5"/>
        <v>5.059644256269407E-2</v>
      </c>
      <c r="X27" s="213">
        <f t="shared" si="22"/>
        <v>0.31694802540363004</v>
      </c>
      <c r="Y27" s="217">
        <f t="shared" si="23"/>
        <v>1.0540925533894598</v>
      </c>
      <c r="Z27" s="213">
        <f t="shared" si="6"/>
        <v>2.1081851067789197</v>
      </c>
      <c r="AA27" s="213">
        <f t="shared" si="24"/>
        <v>2.1081851067789197</v>
      </c>
      <c r="AB27" s="218">
        <f t="shared" si="7"/>
        <v>0.96797270548730296</v>
      </c>
      <c r="AC27" s="217">
        <v>0</v>
      </c>
      <c r="AD27" s="213">
        <f t="shared" si="25"/>
        <v>1.0775168323536704</v>
      </c>
      <c r="AE27" s="218">
        <f t="shared" si="26"/>
        <v>1.0775168323536704</v>
      </c>
      <c r="AF27" s="58">
        <f t="shared" si="8"/>
        <v>0.2</v>
      </c>
      <c r="AG27" s="61">
        <f t="shared" si="9"/>
        <v>0.2</v>
      </c>
      <c r="AH27" s="58">
        <f t="shared" si="10"/>
        <v>0.22018822226357612</v>
      </c>
      <c r="AI27" s="49">
        <f t="shared" si="11"/>
        <v>1.3416629859946587E-2</v>
      </c>
      <c r="AJ27" s="61">
        <f t="shared" si="44"/>
        <v>0.23360485212352272</v>
      </c>
      <c r="AK27" s="217">
        <f t="shared" si="12"/>
        <v>10</v>
      </c>
      <c r="AL27" s="213">
        <f t="shared" si="13"/>
        <v>1500</v>
      </c>
      <c r="AM27" s="218">
        <f t="shared" si="27"/>
        <v>6.6666666666666671E-3</v>
      </c>
      <c r="AN27" s="217">
        <f t="shared" si="28"/>
        <v>2</v>
      </c>
      <c r="AO27" s="213">
        <f t="shared" si="29"/>
        <v>5.059644256269407E-2</v>
      </c>
      <c r="AP27" s="213">
        <f t="shared" si="30"/>
        <v>0.13176156917368248</v>
      </c>
      <c r="AQ27" s="213">
        <f t="shared" si="31"/>
        <v>0.26352313834736496</v>
      </c>
      <c r="AR27" s="213">
        <f t="shared" si="45"/>
        <v>0.26352313834736496</v>
      </c>
      <c r="AS27" s="218">
        <f t="shared" si="46"/>
        <v>3.4223003202678036E-2</v>
      </c>
      <c r="AT27" s="217"/>
      <c r="AU27" s="213">
        <f t="shared" si="32"/>
        <v>1.2000000000000003E-3</v>
      </c>
      <c r="AV27" s="218">
        <f t="shared" si="47"/>
        <v>1.2000000000000003E-3</v>
      </c>
      <c r="AW27" s="217">
        <f t="shared" si="33"/>
        <v>0</v>
      </c>
      <c r="AX27" s="213">
        <f t="shared" si="34"/>
        <v>7.6666666666666662E-3</v>
      </c>
      <c r="AY27" s="218">
        <f t="shared" si="48"/>
        <v>7.6666666666666662E-3</v>
      </c>
      <c r="AZ27" s="217">
        <f t="shared" si="14"/>
        <v>0</v>
      </c>
      <c r="BA27" s="213">
        <f t="shared" si="15"/>
        <v>0</v>
      </c>
      <c r="BB27" s="213">
        <f t="shared" si="49"/>
        <v>0</v>
      </c>
      <c r="BC27" s="61">
        <f t="shared" si="35"/>
        <v>0</v>
      </c>
      <c r="BD27" s="58">
        <v>0</v>
      </c>
      <c r="BE27" s="49">
        <f t="shared" si="50"/>
        <v>0</v>
      </c>
      <c r="BF27" s="61">
        <f t="shared" si="51"/>
        <v>0</v>
      </c>
      <c r="BG27" s="58">
        <f t="shared" si="36"/>
        <v>0</v>
      </c>
      <c r="BH27" s="49">
        <f t="shared" si="37"/>
        <v>0</v>
      </c>
      <c r="BI27" s="61">
        <f t="shared" si="38"/>
        <v>0</v>
      </c>
      <c r="BK27" s="217">
        <f t="shared" si="16"/>
        <v>0</v>
      </c>
      <c r="BL27" s="213">
        <f t="shared" si="17"/>
        <v>0</v>
      </c>
      <c r="BM27" s="213">
        <f t="shared" si="18"/>
        <v>0</v>
      </c>
      <c r="BN27" s="61">
        <f t="shared" si="39"/>
        <v>0</v>
      </c>
      <c r="BO27" s="58">
        <v>0</v>
      </c>
      <c r="BP27" s="49">
        <f t="shared" si="40"/>
        <v>0</v>
      </c>
      <c r="BQ27" s="61">
        <f t="shared" si="52"/>
        <v>0</v>
      </c>
      <c r="BR27" s="58">
        <f t="shared" si="41"/>
        <v>0</v>
      </c>
      <c r="BS27" s="49">
        <f t="shared" si="53"/>
        <v>0</v>
      </c>
      <c r="BT27" s="61">
        <f t="shared" si="54"/>
        <v>0</v>
      </c>
      <c r="BU27" s="58">
        <f t="shared" si="19"/>
        <v>3.7478846342736357E-3</v>
      </c>
      <c r="BV27" s="49">
        <f t="shared" si="20"/>
        <v>1.0800000000000002E-3</v>
      </c>
      <c r="BW27" s="61">
        <f t="shared" si="21"/>
        <v>6.7499999999999999E-3</v>
      </c>
      <c r="BX27" s="49">
        <f t="shared" si="55"/>
        <v>1.2775168323536703</v>
      </c>
      <c r="BY27" s="49">
        <f t="shared" si="42"/>
        <v>1.7315662357781334</v>
      </c>
      <c r="BZ27" s="49">
        <f t="shared" si="43"/>
        <v>85.240110306010791</v>
      </c>
    </row>
    <row r="28" spans="1:78" x14ac:dyDescent="0.4">
      <c r="Q28" s="49">
        <v>21</v>
      </c>
      <c r="R28" s="217">
        <f t="shared" si="0"/>
        <v>10.5</v>
      </c>
      <c r="S28" s="213">
        <f t="shared" si="1"/>
        <v>15</v>
      </c>
      <c r="T28" s="218">
        <f t="shared" si="2"/>
        <v>0.7</v>
      </c>
      <c r="U28" s="217">
        <f t="shared" si="3"/>
        <v>1</v>
      </c>
      <c r="V28" s="213">
        <f t="shared" si="4"/>
        <v>0.64807406984078597</v>
      </c>
      <c r="W28" s="213">
        <f t="shared" si="5"/>
        <v>5.1845925587262871E-2</v>
      </c>
      <c r="X28" s="213">
        <f t="shared" si="22"/>
        <v>0.30008000457195116</v>
      </c>
      <c r="Y28" s="217">
        <f t="shared" si="23"/>
        <v>1.0801234497346435</v>
      </c>
      <c r="Z28" s="213">
        <f t="shared" si="6"/>
        <v>2.1602468994692865</v>
      </c>
      <c r="AA28" s="213">
        <f t="shared" si="24"/>
        <v>2.1602468994692865</v>
      </c>
      <c r="AB28" s="218">
        <f t="shared" si="7"/>
        <v>1.0040494110113971</v>
      </c>
      <c r="AC28" s="217">
        <v>0</v>
      </c>
      <c r="AD28" s="213">
        <f t="shared" si="25"/>
        <v>1.1593325027151837</v>
      </c>
      <c r="AE28" s="218">
        <f t="shared" si="26"/>
        <v>1.1593325027151837</v>
      </c>
      <c r="AF28" s="58">
        <f t="shared" si="8"/>
        <v>0.21</v>
      </c>
      <c r="AG28" s="61">
        <f t="shared" si="9"/>
        <v>0.21</v>
      </c>
      <c r="AH28" s="58">
        <f t="shared" si="10"/>
        <v>0.23690707664179839</v>
      </c>
      <c r="AI28" s="49">
        <f t="shared" si="11"/>
        <v>1.374795456199761E-2</v>
      </c>
      <c r="AJ28" s="61">
        <f t="shared" si="44"/>
        <v>0.25065503120379601</v>
      </c>
      <c r="AK28" s="217">
        <f t="shared" si="12"/>
        <v>10.5</v>
      </c>
      <c r="AL28" s="213">
        <f t="shared" si="13"/>
        <v>1500</v>
      </c>
      <c r="AM28" s="218">
        <f t="shared" si="27"/>
        <v>7.0000000000000001E-3</v>
      </c>
      <c r="AN28" s="217">
        <f t="shared" si="28"/>
        <v>2</v>
      </c>
      <c r="AO28" s="213">
        <f t="shared" si="29"/>
        <v>5.1845925587262878E-2</v>
      </c>
      <c r="AP28" s="213">
        <f t="shared" si="30"/>
        <v>0.13501543121683043</v>
      </c>
      <c r="AQ28" s="213">
        <f t="shared" si="31"/>
        <v>0.27003086243366081</v>
      </c>
      <c r="AR28" s="213">
        <f t="shared" si="45"/>
        <v>0.27003086243366081</v>
      </c>
      <c r="AS28" s="218">
        <f t="shared" si="46"/>
        <v>3.5498507358625898E-2</v>
      </c>
      <c r="AT28" s="217"/>
      <c r="AU28" s="213">
        <f t="shared" si="32"/>
        <v>1.3230000000000002E-3</v>
      </c>
      <c r="AV28" s="218">
        <f t="shared" si="47"/>
        <v>1.3230000000000002E-3</v>
      </c>
      <c r="AW28" s="217">
        <f t="shared" si="33"/>
        <v>0</v>
      </c>
      <c r="AX28" s="213">
        <f t="shared" si="34"/>
        <v>8.0499999999999999E-3</v>
      </c>
      <c r="AY28" s="218">
        <f t="shared" si="48"/>
        <v>8.0499999999999999E-3</v>
      </c>
      <c r="AZ28" s="217">
        <f t="shared" si="14"/>
        <v>0</v>
      </c>
      <c r="BA28" s="213">
        <f t="shared" si="15"/>
        <v>0</v>
      </c>
      <c r="BB28" s="213">
        <f t="shared" si="49"/>
        <v>0</v>
      </c>
      <c r="BC28" s="61">
        <f t="shared" si="35"/>
        <v>0</v>
      </c>
      <c r="BD28" s="58">
        <v>0</v>
      </c>
      <c r="BE28" s="49">
        <f t="shared" si="50"/>
        <v>0</v>
      </c>
      <c r="BF28" s="61">
        <f t="shared" si="51"/>
        <v>0</v>
      </c>
      <c r="BG28" s="58">
        <f t="shared" si="36"/>
        <v>0</v>
      </c>
      <c r="BH28" s="49">
        <f t="shared" si="37"/>
        <v>0</v>
      </c>
      <c r="BI28" s="61">
        <f t="shared" si="38"/>
        <v>0</v>
      </c>
      <c r="BK28" s="217">
        <f t="shared" si="16"/>
        <v>0</v>
      </c>
      <c r="BL28" s="213">
        <f t="shared" si="17"/>
        <v>0</v>
      </c>
      <c r="BM28" s="213">
        <f t="shared" si="18"/>
        <v>0</v>
      </c>
      <c r="BN28" s="61">
        <f t="shared" si="39"/>
        <v>0</v>
      </c>
      <c r="BO28" s="58">
        <v>0</v>
      </c>
      <c r="BP28" s="49">
        <f t="shared" si="40"/>
        <v>0</v>
      </c>
      <c r="BQ28" s="61">
        <f t="shared" si="52"/>
        <v>0</v>
      </c>
      <c r="BR28" s="58">
        <f t="shared" si="41"/>
        <v>0</v>
      </c>
      <c r="BS28" s="49">
        <f t="shared" si="53"/>
        <v>0</v>
      </c>
      <c r="BT28" s="61">
        <f t="shared" si="54"/>
        <v>0</v>
      </c>
      <c r="BU28" s="58">
        <f t="shared" si="19"/>
        <v>4.0324608790093339E-3</v>
      </c>
      <c r="BV28" s="49">
        <f t="shared" si="20"/>
        <v>1.0800000000000002E-3</v>
      </c>
      <c r="BW28" s="61">
        <f t="shared" si="21"/>
        <v>6.7499999999999999E-3</v>
      </c>
      <c r="BX28" s="49">
        <f t="shared" si="55"/>
        <v>1.3693325027151837</v>
      </c>
      <c r="BY28" s="49">
        <f t="shared" si="42"/>
        <v>1.851222994797989</v>
      </c>
      <c r="BZ28" s="49">
        <f t="shared" si="43"/>
        <v>85.01182437093334</v>
      </c>
    </row>
    <row r="29" spans="1:78" x14ac:dyDescent="0.4">
      <c r="Q29" s="49">
        <v>22</v>
      </c>
      <c r="R29" s="217">
        <f t="shared" si="0"/>
        <v>11</v>
      </c>
      <c r="S29" s="213">
        <f t="shared" si="1"/>
        <v>15</v>
      </c>
      <c r="T29" s="218">
        <f t="shared" si="2"/>
        <v>0.73333333333333328</v>
      </c>
      <c r="U29" s="217">
        <f t="shared" si="3"/>
        <v>1</v>
      </c>
      <c r="V29" s="213">
        <f t="shared" si="4"/>
        <v>0.66332495807107994</v>
      </c>
      <c r="W29" s="213">
        <f t="shared" si="5"/>
        <v>5.3065996645686397E-2</v>
      </c>
      <c r="X29" s="213">
        <f t="shared" si="22"/>
        <v>0.28360904528323366</v>
      </c>
      <c r="Y29" s="217">
        <f t="shared" si="23"/>
        <v>1.1055415967851332</v>
      </c>
      <c r="Z29" s="213">
        <f t="shared" si="6"/>
        <v>2.2110831935702664</v>
      </c>
      <c r="AA29" s="213">
        <f t="shared" si="24"/>
        <v>2.2110831935702664</v>
      </c>
      <c r="AB29" s="218">
        <f t="shared" si="7"/>
        <v>1.0396989976649316</v>
      </c>
      <c r="AC29" s="217">
        <v>0</v>
      </c>
      <c r="AD29" s="213">
        <f t="shared" si="25"/>
        <v>1.243120106607283</v>
      </c>
      <c r="AE29" s="218">
        <f t="shared" si="26"/>
        <v>1.243120106607283</v>
      </c>
      <c r="AF29" s="58">
        <f t="shared" si="8"/>
        <v>0.22</v>
      </c>
      <c r="AG29" s="61">
        <f t="shared" si="9"/>
        <v>0.22</v>
      </c>
      <c r="AH29" s="58">
        <f t="shared" si="10"/>
        <v>0.25402889135018392</v>
      </c>
      <c r="AI29" s="49">
        <f t="shared" si="11"/>
        <v>1.4071480109735838E-2</v>
      </c>
      <c r="AJ29" s="61">
        <f t="shared" si="44"/>
        <v>0.26810037145991977</v>
      </c>
      <c r="AK29" s="217">
        <f t="shared" si="12"/>
        <v>11</v>
      </c>
      <c r="AL29" s="213">
        <f t="shared" si="13"/>
        <v>1500</v>
      </c>
      <c r="AM29" s="218">
        <f t="shared" si="27"/>
        <v>7.3333333333333332E-3</v>
      </c>
      <c r="AN29" s="217">
        <f t="shared" si="28"/>
        <v>2</v>
      </c>
      <c r="AO29" s="213">
        <f t="shared" si="29"/>
        <v>5.3065996645686397E-2</v>
      </c>
      <c r="AP29" s="213">
        <f t="shared" si="30"/>
        <v>0.13819269959814165</v>
      </c>
      <c r="AQ29" s="213">
        <f t="shared" si="31"/>
        <v>0.2763853991962833</v>
      </c>
      <c r="AR29" s="213">
        <f t="shared" si="45"/>
        <v>0.2763853991962833</v>
      </c>
      <c r="AS29" s="218">
        <f t="shared" si="46"/>
        <v>3.6758910582086482E-2</v>
      </c>
      <c r="AT29" s="217"/>
      <c r="AU29" s="213">
        <f t="shared" si="32"/>
        <v>1.4519999999999999E-3</v>
      </c>
      <c r="AV29" s="218">
        <f t="shared" si="47"/>
        <v>1.4519999999999999E-3</v>
      </c>
      <c r="AW29" s="217">
        <f t="shared" si="33"/>
        <v>0</v>
      </c>
      <c r="AX29" s="213">
        <f t="shared" si="34"/>
        <v>8.4333333333333326E-3</v>
      </c>
      <c r="AY29" s="218">
        <f t="shared" si="48"/>
        <v>8.4333333333333326E-3</v>
      </c>
      <c r="AZ29" s="217">
        <f t="shared" si="14"/>
        <v>0</v>
      </c>
      <c r="BA29" s="213">
        <f t="shared" si="15"/>
        <v>0</v>
      </c>
      <c r="BB29" s="213">
        <f t="shared" si="49"/>
        <v>0</v>
      </c>
      <c r="BC29" s="61">
        <f t="shared" si="35"/>
        <v>0</v>
      </c>
      <c r="BD29" s="58">
        <v>0</v>
      </c>
      <c r="BE29" s="49">
        <f t="shared" si="50"/>
        <v>0</v>
      </c>
      <c r="BF29" s="61">
        <f t="shared" si="51"/>
        <v>0</v>
      </c>
      <c r="BG29" s="58">
        <f t="shared" si="36"/>
        <v>0</v>
      </c>
      <c r="BH29" s="49">
        <f t="shared" si="37"/>
        <v>0</v>
      </c>
      <c r="BI29" s="61">
        <f t="shared" si="38"/>
        <v>0</v>
      </c>
      <c r="BK29" s="217">
        <f t="shared" si="16"/>
        <v>0</v>
      </c>
      <c r="BL29" s="213">
        <f t="shared" si="17"/>
        <v>0</v>
      </c>
      <c r="BM29" s="213">
        <f t="shared" si="18"/>
        <v>0</v>
      </c>
      <c r="BN29" s="61">
        <f t="shared" si="39"/>
        <v>0</v>
      </c>
      <c r="BO29" s="58">
        <v>0</v>
      </c>
      <c r="BP29" s="49">
        <f t="shared" si="40"/>
        <v>0</v>
      </c>
      <c r="BQ29" s="61">
        <f t="shared" si="52"/>
        <v>0</v>
      </c>
      <c r="BR29" s="58">
        <f t="shared" si="41"/>
        <v>0</v>
      </c>
      <c r="BS29" s="49">
        <f t="shared" si="53"/>
        <v>0</v>
      </c>
      <c r="BT29" s="61">
        <f t="shared" si="54"/>
        <v>0</v>
      </c>
      <c r="BU29" s="58">
        <f t="shared" si="19"/>
        <v>4.3238960229818532E-3</v>
      </c>
      <c r="BV29" s="49">
        <f t="shared" si="20"/>
        <v>1.0800000000000002E-3</v>
      </c>
      <c r="BW29" s="61">
        <f t="shared" si="21"/>
        <v>6.7499999999999999E-3</v>
      </c>
      <c r="BX29" s="49">
        <f t="shared" si="55"/>
        <v>1.463120106607283</v>
      </c>
      <c r="BY29" s="49">
        <f t="shared" si="42"/>
        <v>1.9732597074235179</v>
      </c>
      <c r="BZ29" s="49">
        <f t="shared" si="43"/>
        <v>84.789792604750019</v>
      </c>
    </row>
    <row r="30" spans="1:78" x14ac:dyDescent="0.4">
      <c r="Q30" s="49">
        <v>23</v>
      </c>
      <c r="R30" s="217">
        <f t="shared" si="0"/>
        <v>11.5</v>
      </c>
      <c r="S30" s="213">
        <f t="shared" si="1"/>
        <v>15</v>
      </c>
      <c r="T30" s="218">
        <f t="shared" si="2"/>
        <v>0.76666666666666672</v>
      </c>
      <c r="U30" s="217">
        <f t="shared" si="3"/>
        <v>1</v>
      </c>
      <c r="V30" s="213">
        <f t="shared" si="4"/>
        <v>0.67823299831252681</v>
      </c>
      <c r="W30" s="213">
        <f t="shared" si="5"/>
        <v>5.4258639865002144E-2</v>
      </c>
      <c r="X30" s="213">
        <f t="shared" si="22"/>
        <v>0.26750836182247106</v>
      </c>
      <c r="Y30" s="217">
        <f t="shared" si="23"/>
        <v>1.1303883305208782</v>
      </c>
      <c r="Z30" s="213">
        <f t="shared" si="6"/>
        <v>2.2607766610417559</v>
      </c>
      <c r="AA30" s="213">
        <f t="shared" si="24"/>
        <v>2.2607766610417563</v>
      </c>
      <c r="AB30" s="218">
        <f t="shared" si="7"/>
        <v>1.0749456131354367</v>
      </c>
      <c r="AC30" s="217">
        <v>0</v>
      </c>
      <c r="AD30" s="213">
        <f t="shared" si="25"/>
        <v>1.328834281878988</v>
      </c>
      <c r="AE30" s="218">
        <f t="shared" si="26"/>
        <v>1.328834281878988</v>
      </c>
      <c r="AF30" s="58">
        <f t="shared" si="8"/>
        <v>0.23</v>
      </c>
      <c r="AG30" s="61">
        <f t="shared" si="9"/>
        <v>0.23</v>
      </c>
      <c r="AH30" s="58">
        <f t="shared" si="10"/>
        <v>0.2715443967317932</v>
      </c>
      <c r="AI30" s="49">
        <f t="shared" si="11"/>
        <v>1.4387732632997875E-2</v>
      </c>
      <c r="AJ30" s="61">
        <f t="shared" si="44"/>
        <v>0.28593212936479107</v>
      </c>
      <c r="AK30" s="217">
        <f t="shared" si="12"/>
        <v>11.5</v>
      </c>
      <c r="AL30" s="213">
        <f t="shared" si="13"/>
        <v>1500</v>
      </c>
      <c r="AM30" s="218">
        <f t="shared" si="27"/>
        <v>7.6666666666666662E-3</v>
      </c>
      <c r="AN30" s="217">
        <f t="shared" si="28"/>
        <v>2</v>
      </c>
      <c r="AO30" s="213">
        <f t="shared" si="29"/>
        <v>5.4258639865002137E-2</v>
      </c>
      <c r="AP30" s="213">
        <f t="shared" si="30"/>
        <v>0.14129854131510977</v>
      </c>
      <c r="AQ30" s="213">
        <f t="shared" si="31"/>
        <v>0.28259708263021943</v>
      </c>
      <c r="AR30" s="213">
        <f t="shared" si="45"/>
        <v>0.28259708263021949</v>
      </c>
      <c r="AS30" s="218">
        <f t="shared" si="46"/>
        <v>3.8005066622739905E-2</v>
      </c>
      <c r="AT30" s="217"/>
      <c r="AU30" s="213">
        <f t="shared" si="32"/>
        <v>1.5869999999999999E-3</v>
      </c>
      <c r="AV30" s="218">
        <f t="shared" si="47"/>
        <v>1.5869999999999999E-3</v>
      </c>
      <c r="AW30" s="217">
        <f t="shared" si="33"/>
        <v>0</v>
      </c>
      <c r="AX30" s="213">
        <f t="shared" si="34"/>
        <v>8.8166666666666654E-3</v>
      </c>
      <c r="AY30" s="218">
        <f t="shared" si="48"/>
        <v>8.8166666666666654E-3</v>
      </c>
      <c r="AZ30" s="217">
        <f t="shared" si="14"/>
        <v>0</v>
      </c>
      <c r="BA30" s="213">
        <f t="shared" si="15"/>
        <v>0</v>
      </c>
      <c r="BB30" s="213">
        <f t="shared" si="49"/>
        <v>0</v>
      </c>
      <c r="BC30" s="61">
        <f t="shared" si="35"/>
        <v>0</v>
      </c>
      <c r="BD30" s="58">
        <v>0</v>
      </c>
      <c r="BE30" s="49">
        <f t="shared" si="50"/>
        <v>0</v>
      </c>
      <c r="BF30" s="61">
        <f t="shared" si="51"/>
        <v>0</v>
      </c>
      <c r="BG30" s="58">
        <f t="shared" si="36"/>
        <v>0</v>
      </c>
      <c r="BH30" s="49">
        <f t="shared" si="37"/>
        <v>0</v>
      </c>
      <c r="BI30" s="61">
        <f t="shared" si="38"/>
        <v>0</v>
      </c>
      <c r="BK30" s="217">
        <f t="shared" si="16"/>
        <v>0</v>
      </c>
      <c r="BL30" s="213">
        <f t="shared" si="17"/>
        <v>0</v>
      </c>
      <c r="BM30" s="213">
        <f t="shared" si="18"/>
        <v>0</v>
      </c>
      <c r="BN30" s="61">
        <f t="shared" si="39"/>
        <v>0</v>
      </c>
      <c r="BO30" s="58">
        <v>0</v>
      </c>
      <c r="BP30" s="49">
        <f t="shared" si="40"/>
        <v>0</v>
      </c>
      <c r="BQ30" s="61">
        <f t="shared" si="52"/>
        <v>0</v>
      </c>
      <c r="BR30" s="58">
        <f t="shared" si="41"/>
        <v>0</v>
      </c>
      <c r="BS30" s="49">
        <f t="shared" si="53"/>
        <v>0</v>
      </c>
      <c r="BT30" s="61">
        <f t="shared" si="54"/>
        <v>0</v>
      </c>
      <c r="BU30" s="58">
        <f t="shared" si="19"/>
        <v>4.6220322847964797E-3</v>
      </c>
      <c r="BV30" s="49">
        <f t="shared" si="20"/>
        <v>1.0800000000000002E-3</v>
      </c>
      <c r="BW30" s="61">
        <f t="shared" si="21"/>
        <v>6.7499999999999999E-3</v>
      </c>
      <c r="BX30" s="49">
        <f t="shared" si="55"/>
        <v>1.558834281878988</v>
      </c>
      <c r="BY30" s="49">
        <f t="shared" si="42"/>
        <v>2.0976221101952421</v>
      </c>
      <c r="BZ30" s="49">
        <f t="shared" si="43"/>
        <v>84.573610788738691</v>
      </c>
    </row>
    <row r="31" spans="1:78" x14ac:dyDescent="0.4">
      <c r="Q31" s="49">
        <v>24</v>
      </c>
      <c r="R31" s="217">
        <f t="shared" si="0"/>
        <v>12</v>
      </c>
      <c r="S31" s="213">
        <f t="shared" si="1"/>
        <v>15</v>
      </c>
      <c r="T31" s="218">
        <f t="shared" si="2"/>
        <v>0.8</v>
      </c>
      <c r="U31" s="217">
        <f t="shared" si="3"/>
        <v>1</v>
      </c>
      <c r="V31" s="213">
        <f t="shared" si="4"/>
        <v>0.69282032302755081</v>
      </c>
      <c r="W31" s="213">
        <f t="shared" si="5"/>
        <v>5.5425625842204063E-2</v>
      </c>
      <c r="X31" s="213">
        <f t="shared" si="22"/>
        <v>0.25175405113024513</v>
      </c>
      <c r="Y31" s="217">
        <f t="shared" si="23"/>
        <v>1.1547005383792517</v>
      </c>
      <c r="Z31" s="213">
        <f t="shared" si="6"/>
        <v>2.3094010767585029</v>
      </c>
      <c r="AA31" s="213">
        <f t="shared" si="24"/>
        <v>2.3094010767585029</v>
      </c>
      <c r="AB31" s="218">
        <f t="shared" si="7"/>
        <v>1.1098110534100845</v>
      </c>
      <c r="AC31" s="217">
        <v>0</v>
      </c>
      <c r="AD31" s="213">
        <f t="shared" si="25"/>
        <v>1.4164326604118818</v>
      </c>
      <c r="AE31" s="218">
        <f t="shared" si="26"/>
        <v>1.4164326604118818</v>
      </c>
      <c r="AF31" s="58">
        <f t="shared" si="8"/>
        <v>0.24</v>
      </c>
      <c r="AG31" s="61">
        <f t="shared" si="9"/>
        <v>0.24</v>
      </c>
      <c r="AH31" s="58">
        <f t="shared" si="10"/>
        <v>0.28944493495373236</v>
      </c>
      <c r="AI31" s="49">
        <f t="shared" si="11"/>
        <v>1.4697181639980249E-2</v>
      </c>
      <c r="AJ31" s="61">
        <f t="shared" si="44"/>
        <v>0.3041421165937126</v>
      </c>
      <c r="AK31" s="217">
        <f t="shared" si="12"/>
        <v>12</v>
      </c>
      <c r="AL31" s="213">
        <f t="shared" si="13"/>
        <v>1500</v>
      </c>
      <c r="AM31" s="218">
        <f t="shared" si="27"/>
        <v>8.0000000000000002E-3</v>
      </c>
      <c r="AN31" s="217">
        <f t="shared" si="28"/>
        <v>2</v>
      </c>
      <c r="AO31" s="213">
        <f t="shared" si="29"/>
        <v>5.542562584220407E-2</v>
      </c>
      <c r="AP31" s="213">
        <f t="shared" si="30"/>
        <v>0.14433756729740646</v>
      </c>
      <c r="AQ31" s="213">
        <f t="shared" si="31"/>
        <v>0.28867513459481287</v>
      </c>
      <c r="AR31" s="213">
        <f t="shared" si="45"/>
        <v>0.28867513459481287</v>
      </c>
      <c r="AS31" s="218">
        <f t="shared" si="46"/>
        <v>3.9237746085102825E-2</v>
      </c>
      <c r="AT31" s="217"/>
      <c r="AU31" s="213">
        <f t="shared" si="32"/>
        <v>1.7279999999999999E-3</v>
      </c>
      <c r="AV31" s="218">
        <f t="shared" si="47"/>
        <v>1.7279999999999999E-3</v>
      </c>
      <c r="AW31" s="217">
        <f t="shared" si="33"/>
        <v>0</v>
      </c>
      <c r="AX31" s="213">
        <f t="shared" si="34"/>
        <v>9.1999999999999998E-3</v>
      </c>
      <c r="AY31" s="218">
        <f t="shared" si="48"/>
        <v>9.1999999999999998E-3</v>
      </c>
      <c r="AZ31" s="217">
        <f t="shared" si="14"/>
        <v>0</v>
      </c>
      <c r="BA31" s="213">
        <f t="shared" si="15"/>
        <v>0</v>
      </c>
      <c r="BB31" s="213">
        <f t="shared" si="49"/>
        <v>0</v>
      </c>
      <c r="BC31" s="61">
        <f t="shared" si="35"/>
        <v>0</v>
      </c>
      <c r="BD31" s="58">
        <v>0</v>
      </c>
      <c r="BE31" s="49">
        <f t="shared" si="50"/>
        <v>0</v>
      </c>
      <c r="BF31" s="61">
        <f t="shared" si="51"/>
        <v>0</v>
      </c>
      <c r="BG31" s="58">
        <f t="shared" si="36"/>
        <v>0</v>
      </c>
      <c r="BH31" s="49">
        <f t="shared" si="37"/>
        <v>0</v>
      </c>
      <c r="BI31" s="61">
        <f t="shared" si="38"/>
        <v>0</v>
      </c>
      <c r="BK31" s="217">
        <f t="shared" si="16"/>
        <v>0</v>
      </c>
      <c r="BL31" s="213">
        <f t="shared" si="17"/>
        <v>0</v>
      </c>
      <c r="BM31" s="213">
        <f t="shared" si="18"/>
        <v>0</v>
      </c>
      <c r="BN31" s="61">
        <f t="shared" si="39"/>
        <v>0</v>
      </c>
      <c r="BO31" s="58">
        <v>0</v>
      </c>
      <c r="BP31" s="49">
        <f t="shared" si="40"/>
        <v>0</v>
      </c>
      <c r="BQ31" s="61">
        <f t="shared" si="52"/>
        <v>0</v>
      </c>
      <c r="BR31" s="58">
        <f t="shared" si="41"/>
        <v>0</v>
      </c>
      <c r="BS31" s="49">
        <f t="shared" si="53"/>
        <v>0</v>
      </c>
      <c r="BT31" s="61">
        <f t="shared" si="54"/>
        <v>0</v>
      </c>
      <c r="BU31" s="58">
        <f t="shared" si="19"/>
        <v>4.9267222970848052E-3</v>
      </c>
      <c r="BV31" s="49">
        <f t="shared" si="20"/>
        <v>1.0800000000000002E-3</v>
      </c>
      <c r="BW31" s="61">
        <f t="shared" si="21"/>
        <v>6.7499999999999999E-3</v>
      </c>
      <c r="BX31" s="49">
        <f t="shared" si="55"/>
        <v>1.6564326604118818</v>
      </c>
      <c r="BY31" s="49">
        <f t="shared" si="42"/>
        <v>2.2242594993026792</v>
      </c>
      <c r="BZ31" s="49">
        <f t="shared" si="43"/>
        <v>84.362915346055658</v>
      </c>
    </row>
    <row r="32" spans="1:78" x14ac:dyDescent="0.4">
      <c r="Q32" s="49">
        <v>25</v>
      </c>
      <c r="R32" s="217">
        <f t="shared" si="0"/>
        <v>12.5</v>
      </c>
      <c r="S32" s="213">
        <f t="shared" si="1"/>
        <v>15</v>
      </c>
      <c r="T32" s="218">
        <f t="shared" si="2"/>
        <v>0.83333333333333337</v>
      </c>
      <c r="U32" s="217">
        <f t="shared" si="3"/>
        <v>1</v>
      </c>
      <c r="V32" s="213">
        <f t="shared" si="4"/>
        <v>0.70710678118654746</v>
      </c>
      <c r="W32" s="213">
        <f t="shared" si="5"/>
        <v>5.6568542494923796E-2</v>
      </c>
      <c r="X32" s="213">
        <f t="shared" si="22"/>
        <v>0.23632467631852874</v>
      </c>
      <c r="Y32" s="217">
        <f t="shared" si="23"/>
        <v>1.1785113019775793</v>
      </c>
      <c r="Z32" s="213">
        <f t="shared" si="6"/>
        <v>2.3570226039551581</v>
      </c>
      <c r="AA32" s="213">
        <f t="shared" si="24"/>
        <v>2.3570226039551585</v>
      </c>
      <c r="AB32" s="218">
        <f t="shared" si="7"/>
        <v>1.1443150799483988</v>
      </c>
      <c r="AC32" s="217">
        <v>0</v>
      </c>
      <c r="AD32" s="213">
        <f t="shared" si="25"/>
        <v>1.505875552526907</v>
      </c>
      <c r="AE32" s="218">
        <f t="shared" si="26"/>
        <v>1.505875552526907</v>
      </c>
      <c r="AF32" s="58">
        <f t="shared" si="8"/>
        <v>0.25</v>
      </c>
      <c r="AG32" s="61">
        <f t="shared" si="9"/>
        <v>0.25</v>
      </c>
      <c r="AH32" s="58">
        <f t="shared" si="10"/>
        <v>0.30772239551636793</v>
      </c>
      <c r="AI32" s="49">
        <f t="shared" si="11"/>
        <v>1.5000248197897026E-2</v>
      </c>
      <c r="AJ32" s="61">
        <f t="shared" si="44"/>
        <v>0.32272264371426496</v>
      </c>
      <c r="AK32" s="217">
        <f t="shared" si="12"/>
        <v>12.5</v>
      </c>
      <c r="AL32" s="213">
        <f t="shared" si="13"/>
        <v>1500</v>
      </c>
      <c r="AM32" s="218">
        <f t="shared" si="27"/>
        <v>8.3333333333333332E-3</v>
      </c>
      <c r="AN32" s="217">
        <f t="shared" si="28"/>
        <v>2</v>
      </c>
      <c r="AO32" s="213">
        <f t="shared" si="29"/>
        <v>5.6568542494923796E-2</v>
      </c>
      <c r="AP32" s="213">
        <f t="shared" si="30"/>
        <v>0.14731391274719741</v>
      </c>
      <c r="AQ32" s="213">
        <f t="shared" si="31"/>
        <v>0.29462782549439476</v>
      </c>
      <c r="AR32" s="213">
        <f t="shared" si="45"/>
        <v>0.29462782549439481</v>
      </c>
      <c r="AS32" s="218">
        <f t="shared" si="46"/>
        <v>4.0457647642276953E-2</v>
      </c>
      <c r="AT32" s="217"/>
      <c r="AU32" s="213">
        <f t="shared" si="32"/>
        <v>1.8749999999999999E-3</v>
      </c>
      <c r="AV32" s="218">
        <f t="shared" si="47"/>
        <v>1.8749999999999999E-3</v>
      </c>
      <c r="AW32" s="217">
        <f t="shared" si="33"/>
        <v>0</v>
      </c>
      <c r="AX32" s="213">
        <f t="shared" si="34"/>
        <v>9.5833333333333326E-3</v>
      </c>
      <c r="AY32" s="218">
        <f t="shared" si="48"/>
        <v>9.5833333333333326E-3</v>
      </c>
      <c r="AZ32" s="217">
        <f t="shared" si="14"/>
        <v>0</v>
      </c>
      <c r="BA32" s="213">
        <f t="shared" si="15"/>
        <v>0</v>
      </c>
      <c r="BB32" s="213">
        <f t="shared" si="49"/>
        <v>0</v>
      </c>
      <c r="BC32" s="61">
        <f t="shared" si="35"/>
        <v>0</v>
      </c>
      <c r="BD32" s="58">
        <v>0</v>
      </c>
      <c r="BE32" s="49">
        <f t="shared" si="50"/>
        <v>0</v>
      </c>
      <c r="BF32" s="61">
        <f t="shared" si="51"/>
        <v>0</v>
      </c>
      <c r="BG32" s="58">
        <f t="shared" si="36"/>
        <v>0</v>
      </c>
      <c r="BH32" s="49">
        <f t="shared" si="37"/>
        <v>0</v>
      </c>
      <c r="BI32" s="61">
        <f t="shared" si="38"/>
        <v>0</v>
      </c>
      <c r="BK32" s="217">
        <f t="shared" si="16"/>
        <v>0</v>
      </c>
      <c r="BL32" s="213">
        <f t="shared" si="17"/>
        <v>0</v>
      </c>
      <c r="BM32" s="213">
        <f t="shared" si="18"/>
        <v>0</v>
      </c>
      <c r="BN32" s="61">
        <f t="shared" si="39"/>
        <v>0</v>
      </c>
      <c r="BO32" s="58">
        <v>0</v>
      </c>
      <c r="BP32" s="49">
        <f t="shared" si="40"/>
        <v>0</v>
      </c>
      <c r="BQ32" s="61">
        <f t="shared" si="52"/>
        <v>0</v>
      </c>
      <c r="BR32" s="58">
        <f t="shared" si="41"/>
        <v>0</v>
      </c>
      <c r="BS32" s="49">
        <f t="shared" si="53"/>
        <v>0</v>
      </c>
      <c r="BT32" s="61">
        <f t="shared" si="54"/>
        <v>0</v>
      </c>
      <c r="BU32" s="58">
        <f t="shared" si="19"/>
        <v>5.237828008789241E-3</v>
      </c>
      <c r="BV32" s="49">
        <f t="shared" si="20"/>
        <v>1.0800000000000002E-3</v>
      </c>
      <c r="BW32" s="61">
        <f t="shared" si="21"/>
        <v>6.7499999999999999E-3</v>
      </c>
      <c r="BX32" s="49">
        <f t="shared" si="55"/>
        <v>1.755875552526907</v>
      </c>
      <c r="BY32" s="49">
        <f t="shared" si="42"/>
        <v>2.3531243575832947</v>
      </c>
      <c r="BZ32" s="49">
        <f t="shared" si="43"/>
        <v>84.157377929836684</v>
      </c>
    </row>
    <row r="33" spans="17:78" x14ac:dyDescent="0.4">
      <c r="Q33" s="49">
        <v>26</v>
      </c>
      <c r="R33" s="217">
        <f t="shared" si="0"/>
        <v>13</v>
      </c>
      <c r="S33" s="213">
        <f t="shared" si="1"/>
        <v>15</v>
      </c>
      <c r="T33" s="218">
        <f t="shared" si="2"/>
        <v>0.8666666666666667</v>
      </c>
      <c r="U33" s="217">
        <f t="shared" si="3"/>
        <v>1</v>
      </c>
      <c r="V33" s="213">
        <f t="shared" si="4"/>
        <v>0.7211102550927978</v>
      </c>
      <c r="W33" s="213">
        <f t="shared" si="5"/>
        <v>5.7688820407423826E-2</v>
      </c>
      <c r="X33" s="213">
        <f t="shared" si="22"/>
        <v>0.22120092449977838</v>
      </c>
      <c r="Y33" s="217">
        <f t="shared" si="23"/>
        <v>1.2018504251546631</v>
      </c>
      <c r="Z33" s="213">
        <f t="shared" si="6"/>
        <v>2.4037008503093258</v>
      </c>
      <c r="AA33" s="213">
        <f t="shared" si="24"/>
        <v>2.4037008503093258</v>
      </c>
      <c r="AB33" s="218">
        <f t="shared" si="7"/>
        <v>1.1784756831323575</v>
      </c>
      <c r="AC33" s="217">
        <v>0</v>
      </c>
      <c r="AD33" s="213">
        <f t="shared" si="25"/>
        <v>1.5971256760944184</v>
      </c>
      <c r="AE33" s="218">
        <f t="shared" si="26"/>
        <v>1.5971256760944184</v>
      </c>
      <c r="AF33" s="58">
        <f t="shared" si="8"/>
        <v>0.26</v>
      </c>
      <c r="AG33" s="61">
        <f t="shared" si="9"/>
        <v>0.26</v>
      </c>
      <c r="AH33" s="58">
        <f t="shared" si="10"/>
        <v>0.32636915989755505</v>
      </c>
      <c r="AI33" s="49">
        <f t="shared" si="11"/>
        <v>1.5297311653962387E-2</v>
      </c>
      <c r="AJ33" s="61">
        <f t="shared" si="44"/>
        <v>0.34166647155151741</v>
      </c>
      <c r="AK33" s="217">
        <f t="shared" si="12"/>
        <v>13</v>
      </c>
      <c r="AL33" s="213">
        <f t="shared" si="13"/>
        <v>1500</v>
      </c>
      <c r="AM33" s="218">
        <f t="shared" si="27"/>
        <v>8.6666666666666663E-3</v>
      </c>
      <c r="AN33" s="217">
        <f t="shared" si="28"/>
        <v>2</v>
      </c>
      <c r="AO33" s="213">
        <f t="shared" si="29"/>
        <v>5.7688820407423826E-2</v>
      </c>
      <c r="AP33" s="213">
        <f t="shared" si="30"/>
        <v>0.15023130314433289</v>
      </c>
      <c r="AQ33" s="213">
        <f t="shared" si="31"/>
        <v>0.30046260628866572</v>
      </c>
      <c r="AR33" s="213">
        <f t="shared" si="45"/>
        <v>0.30046260628866572</v>
      </c>
      <c r="AS33" s="218">
        <f t="shared" si="46"/>
        <v>4.1665407350316958E-2</v>
      </c>
      <c r="AT33" s="217"/>
      <c r="AU33" s="213">
        <f t="shared" si="32"/>
        <v>2.0279999999999999E-3</v>
      </c>
      <c r="AV33" s="218">
        <f t="shared" si="47"/>
        <v>2.0279999999999999E-3</v>
      </c>
      <c r="AW33" s="217">
        <f t="shared" si="33"/>
        <v>0</v>
      </c>
      <c r="AX33" s="213">
        <f t="shared" si="34"/>
        <v>9.9666666666666653E-3</v>
      </c>
      <c r="AY33" s="218">
        <f t="shared" si="48"/>
        <v>9.9666666666666653E-3</v>
      </c>
      <c r="AZ33" s="217">
        <f t="shared" si="14"/>
        <v>0</v>
      </c>
      <c r="BA33" s="213">
        <f t="shared" si="15"/>
        <v>0</v>
      </c>
      <c r="BB33" s="213">
        <f t="shared" si="49"/>
        <v>0</v>
      </c>
      <c r="BC33" s="61">
        <f t="shared" si="35"/>
        <v>0</v>
      </c>
      <c r="BD33" s="58">
        <v>0</v>
      </c>
      <c r="BE33" s="49">
        <f t="shared" si="50"/>
        <v>0</v>
      </c>
      <c r="BF33" s="61">
        <f t="shared" si="51"/>
        <v>0</v>
      </c>
      <c r="BG33" s="58">
        <f t="shared" si="36"/>
        <v>0</v>
      </c>
      <c r="BH33" s="49">
        <f t="shared" si="37"/>
        <v>0</v>
      </c>
      <c r="BI33" s="61">
        <f t="shared" si="38"/>
        <v>0</v>
      </c>
      <c r="BK33" s="217">
        <f t="shared" si="16"/>
        <v>0</v>
      </c>
      <c r="BL33" s="213">
        <f t="shared" si="17"/>
        <v>0</v>
      </c>
      <c r="BM33" s="213">
        <f t="shared" si="18"/>
        <v>0</v>
      </c>
      <c r="BN33" s="61">
        <f t="shared" si="39"/>
        <v>0</v>
      </c>
      <c r="BO33" s="58">
        <v>0</v>
      </c>
      <c r="BP33" s="49">
        <f t="shared" si="40"/>
        <v>0</v>
      </c>
      <c r="BQ33" s="61">
        <f t="shared" si="52"/>
        <v>0</v>
      </c>
      <c r="BR33" s="58">
        <f t="shared" si="41"/>
        <v>0</v>
      </c>
      <c r="BS33" s="49">
        <f t="shared" si="53"/>
        <v>0</v>
      </c>
      <c r="BT33" s="61">
        <f t="shared" si="54"/>
        <v>0</v>
      </c>
      <c r="BU33" s="58">
        <f t="shared" si="19"/>
        <v>5.5552197429371069E-3</v>
      </c>
      <c r="BV33" s="49">
        <f t="shared" si="20"/>
        <v>1.0800000000000002E-3</v>
      </c>
      <c r="BW33" s="61">
        <f t="shared" si="21"/>
        <v>6.7499999999999999E-3</v>
      </c>
      <c r="BX33" s="49">
        <f t="shared" si="55"/>
        <v>1.8571256760944184</v>
      </c>
      <c r="BY33" s="49">
        <f t="shared" si="42"/>
        <v>2.4841720340555398</v>
      </c>
      <c r="BZ33" s="49">
        <f t="shared" si="43"/>
        <v>83.956700890484115</v>
      </c>
    </row>
    <row r="34" spans="17:78" x14ac:dyDescent="0.4">
      <c r="Q34" s="49">
        <v>27</v>
      </c>
      <c r="R34" s="217">
        <f t="shared" si="0"/>
        <v>13.5</v>
      </c>
      <c r="S34" s="213">
        <f t="shared" si="1"/>
        <v>15</v>
      </c>
      <c r="T34" s="218">
        <f t="shared" si="2"/>
        <v>0.9</v>
      </c>
      <c r="U34" s="217">
        <f t="shared" si="3"/>
        <v>1</v>
      </c>
      <c r="V34" s="213">
        <f t="shared" si="4"/>
        <v>0.73484692283495345</v>
      </c>
      <c r="W34" s="213">
        <f t="shared" si="5"/>
        <v>5.8787753826796268E-2</v>
      </c>
      <c r="X34" s="213">
        <f t="shared" si="22"/>
        <v>0.20636532333825028</v>
      </c>
      <c r="Y34" s="217">
        <f t="shared" si="23"/>
        <v>1.2247448713915892</v>
      </c>
      <c r="Z34" s="213">
        <f t="shared" si="6"/>
        <v>2.4494897427831779</v>
      </c>
      <c r="AA34" s="213">
        <f t="shared" si="24"/>
        <v>2.4494897427831779</v>
      </c>
      <c r="AB34" s="218">
        <f t="shared" si="7"/>
        <v>1.2123093028059739</v>
      </c>
      <c r="AC34" s="217">
        <v>0</v>
      </c>
      <c r="AD34" s="213">
        <f t="shared" si="25"/>
        <v>1.6901479225203928</v>
      </c>
      <c r="AE34" s="218">
        <f t="shared" si="26"/>
        <v>1.6901479225203928</v>
      </c>
      <c r="AF34" s="58">
        <f t="shared" si="8"/>
        <v>0.27</v>
      </c>
      <c r="AG34" s="61">
        <f t="shared" si="9"/>
        <v>0.27</v>
      </c>
      <c r="AH34" s="58">
        <f t="shared" si="10"/>
        <v>0.34537805373242808</v>
      </c>
      <c r="AI34" s="49">
        <f t="shared" si="11"/>
        <v>1.5588715202940683E-2</v>
      </c>
      <c r="AJ34" s="61">
        <f t="shared" si="44"/>
        <v>0.36096676893536878</v>
      </c>
      <c r="AK34" s="217">
        <f t="shared" si="12"/>
        <v>13.5</v>
      </c>
      <c r="AL34" s="213">
        <f t="shared" si="13"/>
        <v>1500</v>
      </c>
      <c r="AM34" s="218">
        <f t="shared" si="27"/>
        <v>8.9999999999999993E-3</v>
      </c>
      <c r="AN34" s="217">
        <f t="shared" si="28"/>
        <v>2</v>
      </c>
      <c r="AO34" s="213">
        <f t="shared" si="29"/>
        <v>5.8787753826796262E-2</v>
      </c>
      <c r="AP34" s="213">
        <f t="shared" si="30"/>
        <v>0.15309310892394865</v>
      </c>
      <c r="AQ34" s="213">
        <f t="shared" si="31"/>
        <v>0.30618621784789718</v>
      </c>
      <c r="AR34" s="213">
        <f t="shared" si="45"/>
        <v>0.30618621784789724</v>
      </c>
      <c r="AS34" s="218">
        <f t="shared" si="46"/>
        <v>4.2861606445481988E-2</v>
      </c>
      <c r="AT34" s="217"/>
      <c r="AU34" s="213">
        <f t="shared" si="32"/>
        <v>2.1869999999999997E-3</v>
      </c>
      <c r="AV34" s="218">
        <f t="shared" si="47"/>
        <v>2.1869999999999997E-3</v>
      </c>
      <c r="AW34" s="217">
        <f t="shared" si="33"/>
        <v>0</v>
      </c>
      <c r="AX34" s="213">
        <f t="shared" si="34"/>
        <v>1.0349999999999998E-2</v>
      </c>
      <c r="AY34" s="218">
        <f t="shared" si="48"/>
        <v>1.0349999999999998E-2</v>
      </c>
      <c r="AZ34" s="217">
        <f t="shared" si="14"/>
        <v>0</v>
      </c>
      <c r="BA34" s="213">
        <f t="shared" si="15"/>
        <v>0</v>
      </c>
      <c r="BB34" s="213">
        <f t="shared" si="49"/>
        <v>0</v>
      </c>
      <c r="BC34" s="61">
        <f t="shared" si="35"/>
        <v>0</v>
      </c>
      <c r="BD34" s="58">
        <v>0</v>
      </c>
      <c r="BE34" s="49">
        <f t="shared" si="50"/>
        <v>0</v>
      </c>
      <c r="BF34" s="61">
        <f t="shared" si="51"/>
        <v>0</v>
      </c>
      <c r="BG34" s="58">
        <f t="shared" si="36"/>
        <v>0</v>
      </c>
      <c r="BH34" s="49">
        <f t="shared" si="37"/>
        <v>0</v>
      </c>
      <c r="BI34" s="61">
        <f t="shared" si="38"/>
        <v>0</v>
      </c>
      <c r="BK34" s="217">
        <f t="shared" si="16"/>
        <v>0</v>
      </c>
      <c r="BL34" s="213">
        <f t="shared" si="17"/>
        <v>0</v>
      </c>
      <c r="BM34" s="213">
        <f t="shared" si="18"/>
        <v>0</v>
      </c>
      <c r="BN34" s="61">
        <f t="shared" si="39"/>
        <v>0</v>
      </c>
      <c r="BO34" s="58">
        <v>0</v>
      </c>
      <c r="BP34" s="49">
        <f t="shared" si="40"/>
        <v>0</v>
      </c>
      <c r="BQ34" s="61">
        <f t="shared" si="52"/>
        <v>0</v>
      </c>
      <c r="BR34" s="58">
        <f t="shared" si="41"/>
        <v>0</v>
      </c>
      <c r="BS34" s="49">
        <f t="shared" si="53"/>
        <v>0</v>
      </c>
      <c r="BT34" s="61">
        <f t="shared" si="54"/>
        <v>0</v>
      </c>
      <c r="BU34" s="58">
        <f t="shared" si="19"/>
        <v>5.8787753826796268E-3</v>
      </c>
      <c r="BV34" s="49">
        <f t="shared" si="20"/>
        <v>1.0800000000000002E-3</v>
      </c>
      <c r="BW34" s="61">
        <f t="shared" si="21"/>
        <v>6.7499999999999999E-3</v>
      </c>
      <c r="BX34" s="49">
        <f t="shared" si="55"/>
        <v>1.9601479225203928</v>
      </c>
      <c r="BY34" s="49">
        <f t="shared" si="42"/>
        <v>2.6173604668384414</v>
      </c>
      <c r="BZ34" s="49">
        <f t="shared" si="43"/>
        <v>83.760613456380312</v>
      </c>
    </row>
    <row r="35" spans="17:78" x14ac:dyDescent="0.4">
      <c r="Q35" s="49">
        <v>28</v>
      </c>
      <c r="R35" s="217">
        <f t="shared" si="0"/>
        <v>14</v>
      </c>
      <c r="S35" s="213">
        <f t="shared" si="1"/>
        <v>15</v>
      </c>
      <c r="T35" s="218">
        <f t="shared" si="2"/>
        <v>0.93333333333333335</v>
      </c>
      <c r="U35" s="217">
        <f t="shared" si="3"/>
        <v>1</v>
      </c>
      <c r="V35" s="213">
        <f t="shared" si="4"/>
        <v>0.74833147735478822</v>
      </c>
      <c r="W35" s="213">
        <f t="shared" si="5"/>
        <v>5.9866518188383053E-2</v>
      </c>
      <c r="X35" s="213">
        <f t="shared" si="22"/>
        <v>0.19180200445682871</v>
      </c>
      <c r="Y35" s="217">
        <f t="shared" si="23"/>
        <v>1.2472191289246473</v>
      </c>
      <c r="Z35" s="213">
        <f t="shared" si="6"/>
        <v>2.4944382578492941</v>
      </c>
      <c r="AA35" s="213">
        <f t="shared" si="24"/>
        <v>2.4944382578492945</v>
      </c>
      <c r="AB35" s="218">
        <f t="shared" si="7"/>
        <v>1.2458310142210767</v>
      </c>
      <c r="AC35" s="217">
        <v>0</v>
      </c>
      <c r="AD35" s="213">
        <f t="shared" si="25"/>
        <v>1.7849091533943842</v>
      </c>
      <c r="AE35" s="218">
        <f t="shared" si="26"/>
        <v>1.7849091533943842</v>
      </c>
      <c r="AF35" s="58">
        <f t="shared" si="8"/>
        <v>0.28000000000000003</v>
      </c>
      <c r="AG35" s="61">
        <f t="shared" si="9"/>
        <v>0.28000000000000003</v>
      </c>
      <c r="AH35" s="58">
        <f t="shared" si="10"/>
        <v>0.36474230525885243</v>
      </c>
      <c r="AI35" s="49">
        <f t="shared" si="11"/>
        <v>1.5874770534352128E-2</v>
      </c>
      <c r="AJ35" s="61">
        <f t="shared" si="44"/>
        <v>0.38061707579320458</v>
      </c>
      <c r="AK35" s="217">
        <f t="shared" si="12"/>
        <v>14</v>
      </c>
      <c r="AL35" s="213">
        <f t="shared" si="13"/>
        <v>1500</v>
      </c>
      <c r="AM35" s="218">
        <f t="shared" si="27"/>
        <v>9.3333333333333341E-3</v>
      </c>
      <c r="AN35" s="217">
        <f t="shared" si="28"/>
        <v>2</v>
      </c>
      <c r="AO35" s="213">
        <f t="shared" si="29"/>
        <v>5.9866518188383074E-2</v>
      </c>
      <c r="AP35" s="213">
        <f t="shared" si="30"/>
        <v>0.15590239111558088</v>
      </c>
      <c r="AQ35" s="213">
        <f t="shared" si="31"/>
        <v>0.31180478223116181</v>
      </c>
      <c r="AR35" s="213">
        <f t="shared" si="45"/>
        <v>0.31180478223116181</v>
      </c>
      <c r="AS35" s="218">
        <f t="shared" si="46"/>
        <v>4.4046777918411877E-2</v>
      </c>
      <c r="AT35" s="217"/>
      <c r="AU35" s="213">
        <f t="shared" si="32"/>
        <v>2.3520000000000004E-3</v>
      </c>
      <c r="AV35" s="218">
        <f t="shared" si="47"/>
        <v>2.3520000000000004E-3</v>
      </c>
      <c r="AW35" s="217">
        <f t="shared" si="33"/>
        <v>0</v>
      </c>
      <c r="AX35" s="213">
        <f t="shared" si="34"/>
        <v>1.0733333333333333E-2</v>
      </c>
      <c r="AY35" s="218">
        <f t="shared" si="48"/>
        <v>1.0733333333333333E-2</v>
      </c>
      <c r="AZ35" s="217">
        <f t="shared" si="14"/>
        <v>0</v>
      </c>
      <c r="BA35" s="213">
        <f t="shared" si="15"/>
        <v>0</v>
      </c>
      <c r="BB35" s="213">
        <f t="shared" si="49"/>
        <v>0</v>
      </c>
      <c r="BC35" s="61">
        <f t="shared" si="35"/>
        <v>0</v>
      </c>
      <c r="BD35" s="58">
        <v>0</v>
      </c>
      <c r="BE35" s="49">
        <f t="shared" si="50"/>
        <v>0</v>
      </c>
      <c r="BF35" s="61">
        <f t="shared" si="51"/>
        <v>0</v>
      </c>
      <c r="BG35" s="58">
        <f t="shared" si="36"/>
        <v>0</v>
      </c>
      <c r="BH35" s="49">
        <f t="shared" si="37"/>
        <v>0</v>
      </c>
      <c r="BI35" s="61">
        <f t="shared" si="38"/>
        <v>0</v>
      </c>
      <c r="BK35" s="217">
        <f t="shared" si="16"/>
        <v>0</v>
      </c>
      <c r="BL35" s="213">
        <f t="shared" si="17"/>
        <v>0</v>
      </c>
      <c r="BM35" s="213">
        <f t="shared" si="18"/>
        <v>0</v>
      </c>
      <c r="BN35" s="61">
        <f t="shared" si="39"/>
        <v>0</v>
      </c>
      <c r="BO35" s="58">
        <v>0</v>
      </c>
      <c r="BP35" s="49">
        <f t="shared" si="40"/>
        <v>0</v>
      </c>
      <c r="BQ35" s="61">
        <f t="shared" si="52"/>
        <v>0</v>
      </c>
      <c r="BR35" s="58">
        <f t="shared" si="41"/>
        <v>0</v>
      </c>
      <c r="BS35" s="49">
        <f t="shared" si="53"/>
        <v>0</v>
      </c>
      <c r="BT35" s="61">
        <f t="shared" si="54"/>
        <v>0</v>
      </c>
      <c r="BU35" s="58">
        <f t="shared" si="19"/>
        <v>6.2083796639804661E-3</v>
      </c>
      <c r="BV35" s="49">
        <f t="shared" si="20"/>
        <v>1.0800000000000002E-3</v>
      </c>
      <c r="BW35" s="61">
        <f t="shared" si="21"/>
        <v>6.7499999999999999E-3</v>
      </c>
      <c r="BX35" s="49">
        <f t="shared" si="55"/>
        <v>2.0649091533943844</v>
      </c>
      <c r="BY35" s="49">
        <f t="shared" si="42"/>
        <v>2.7526499421849024</v>
      </c>
      <c r="BZ35" s="49">
        <f t="shared" si="43"/>
        <v>83.568868497314881</v>
      </c>
    </row>
    <row r="36" spans="17:78" s="215" customFormat="1" x14ac:dyDescent="0.4">
      <c r="Q36" s="215">
        <v>29</v>
      </c>
      <c r="R36" s="217">
        <f t="shared" si="0"/>
        <v>14.5</v>
      </c>
      <c r="S36" s="213">
        <f t="shared" si="1"/>
        <v>15</v>
      </c>
      <c r="T36" s="218">
        <f t="shared" si="2"/>
        <v>0.96666666666666667</v>
      </c>
      <c r="U36" s="217">
        <f t="shared" si="3"/>
        <v>1</v>
      </c>
      <c r="V36" s="213">
        <f t="shared" si="4"/>
        <v>0.76157731058639078</v>
      </c>
      <c r="W36" s="213">
        <f t="shared" si="5"/>
        <v>6.0926184846911258E-2</v>
      </c>
      <c r="X36" s="213">
        <f t="shared" si="22"/>
        <v>0.17749650456669797</v>
      </c>
      <c r="Y36" s="217">
        <f t="shared" si="23"/>
        <v>1.2692955176439848</v>
      </c>
      <c r="Z36" s="213">
        <f t="shared" si="6"/>
        <v>2.5385910352879693</v>
      </c>
      <c r="AA36" s="213">
        <f t="shared" si="24"/>
        <v>2.5385910352879693</v>
      </c>
      <c r="AB36" s="218">
        <f t="shared" si="7"/>
        <v>1.2790546858550662</v>
      </c>
      <c r="AC36" s="217">
        <v>0</v>
      </c>
      <c r="AD36" s="213">
        <f t="shared" si="25"/>
        <v>1.8813780228189725</v>
      </c>
      <c r="AE36" s="218">
        <f t="shared" si="26"/>
        <v>1.8813780228189725</v>
      </c>
      <c r="AF36" s="58">
        <f t="shared" si="8"/>
        <v>0.28999999999999998</v>
      </c>
      <c r="AG36" s="61">
        <f t="shared" si="9"/>
        <v>0.28999999999999998</v>
      </c>
      <c r="AH36" s="58">
        <f t="shared" si="10"/>
        <v>0.38445550901083353</v>
      </c>
      <c r="AI36" s="49">
        <f t="shared" si="11"/>
        <v>1.6155761738719566E-2</v>
      </c>
      <c r="AJ36" s="223">
        <f t="shared" si="44"/>
        <v>0.40061127074955311</v>
      </c>
      <c r="AK36" s="217">
        <f t="shared" si="12"/>
        <v>14.5</v>
      </c>
      <c r="AL36" s="213">
        <f t="shared" si="13"/>
        <v>1500</v>
      </c>
      <c r="AM36" s="218">
        <f t="shared" si="27"/>
        <v>9.6666666666666672E-3</v>
      </c>
      <c r="AN36" s="217">
        <f t="shared" si="28"/>
        <v>2</v>
      </c>
      <c r="AO36" s="213">
        <f t="shared" si="29"/>
        <v>6.0926184846911265E-2</v>
      </c>
      <c r="AP36" s="213">
        <f t="shared" si="30"/>
        <v>0.15866193970549811</v>
      </c>
      <c r="AQ36" s="213">
        <f t="shared" si="31"/>
        <v>0.31732387941099621</v>
      </c>
      <c r="AR36" s="213">
        <f t="shared" si="45"/>
        <v>0.31732387941099621</v>
      </c>
      <c r="AS36" s="218">
        <f t="shared" si="46"/>
        <v>4.522141209382733E-2</v>
      </c>
      <c r="AT36" s="217"/>
      <c r="AU36" s="213">
        <f t="shared" si="32"/>
        <v>2.5230000000000005E-3</v>
      </c>
      <c r="AV36" s="218">
        <f t="shared" si="47"/>
        <v>2.5230000000000005E-3</v>
      </c>
      <c r="AW36" s="217">
        <f t="shared" si="33"/>
        <v>0</v>
      </c>
      <c r="AX36" s="213">
        <f t="shared" si="34"/>
        <v>1.1116666666666667E-2</v>
      </c>
      <c r="AY36" s="218">
        <f t="shared" si="48"/>
        <v>1.1116666666666667E-2</v>
      </c>
      <c r="AZ36" s="217">
        <f t="shared" si="14"/>
        <v>0</v>
      </c>
      <c r="BA36" s="213">
        <f t="shared" si="15"/>
        <v>0</v>
      </c>
      <c r="BB36" s="213">
        <f t="shared" si="49"/>
        <v>0</v>
      </c>
      <c r="BC36" s="61">
        <f t="shared" si="35"/>
        <v>0</v>
      </c>
      <c r="BD36" s="58">
        <v>0</v>
      </c>
      <c r="BE36" s="49">
        <f t="shared" si="50"/>
        <v>0</v>
      </c>
      <c r="BF36" s="61">
        <f t="shared" si="51"/>
        <v>0</v>
      </c>
      <c r="BG36" s="58">
        <f t="shared" si="36"/>
        <v>0</v>
      </c>
      <c r="BH36" s="49">
        <f t="shared" si="37"/>
        <v>0</v>
      </c>
      <c r="BI36" s="61">
        <f t="shared" si="38"/>
        <v>0</v>
      </c>
      <c r="BJ36" s="49"/>
      <c r="BK36" s="217">
        <f t="shared" si="16"/>
        <v>0</v>
      </c>
      <c r="BL36" s="213">
        <f t="shared" si="17"/>
        <v>0</v>
      </c>
      <c r="BM36" s="213">
        <f t="shared" si="18"/>
        <v>0</v>
      </c>
      <c r="BN36" s="61">
        <f t="shared" si="39"/>
        <v>0</v>
      </c>
      <c r="BO36" s="58">
        <v>0</v>
      </c>
      <c r="BP36" s="49">
        <f t="shared" si="40"/>
        <v>0</v>
      </c>
      <c r="BQ36" s="61">
        <f t="shared" si="52"/>
        <v>0</v>
      </c>
      <c r="BR36" s="58">
        <f t="shared" si="41"/>
        <v>0</v>
      </c>
      <c r="BS36" s="49">
        <f t="shared" si="53"/>
        <v>0</v>
      </c>
      <c r="BT36" s="61">
        <f t="shared" si="54"/>
        <v>0</v>
      </c>
      <c r="BU36" s="58">
        <f t="shared" si="19"/>
        <v>6.5439235576312087E-3</v>
      </c>
      <c r="BV36" s="49">
        <f t="shared" si="20"/>
        <v>1.0800000000000002E-3</v>
      </c>
      <c r="BW36" s="61">
        <f t="shared" si="21"/>
        <v>6.7499999999999999E-3</v>
      </c>
      <c r="BX36" s="49">
        <f t="shared" si="55"/>
        <v>2.1713780228189723</v>
      </c>
      <c r="BY36" s="49">
        <f t="shared" si="42"/>
        <v>2.8900028837928238</v>
      </c>
      <c r="BZ36" s="49">
        <f t="shared" si="43"/>
        <v>83.381239766864809</v>
      </c>
    </row>
    <row r="37" spans="17:78" x14ac:dyDescent="0.4">
      <c r="Q37" s="49">
        <v>30</v>
      </c>
      <c r="R37" s="217">
        <f t="shared" si="0"/>
        <v>15</v>
      </c>
      <c r="S37" s="213">
        <f t="shared" si="1"/>
        <v>15</v>
      </c>
      <c r="T37" s="218">
        <f t="shared" si="2"/>
        <v>1</v>
      </c>
      <c r="U37" s="217">
        <f t="shared" si="3"/>
        <v>1</v>
      </c>
      <c r="V37" s="213">
        <f t="shared" si="4"/>
        <v>0.77459666924148329</v>
      </c>
      <c r="W37" s="213">
        <f t="shared" si="5"/>
        <v>6.196773353931867E-2</v>
      </c>
      <c r="X37" s="213">
        <f t="shared" si="22"/>
        <v>0.16343559721919804</v>
      </c>
      <c r="Y37" s="217">
        <f t="shared" si="23"/>
        <v>1.2909944487358056</v>
      </c>
      <c r="Z37" s="213">
        <f t="shared" si="6"/>
        <v>2.5819888974716112</v>
      </c>
      <c r="AA37" s="213">
        <f t="shared" si="24"/>
        <v>2.5819888974716112</v>
      </c>
      <c r="AB37" s="218">
        <f t="shared" si="7"/>
        <v>1.3119931141769536</v>
      </c>
      <c r="AC37" s="217">
        <v>0</v>
      </c>
      <c r="AD37" s="213">
        <f t="shared" si="25"/>
        <v>1.9795248213949024</v>
      </c>
      <c r="AE37" s="218">
        <f t="shared" si="26"/>
        <v>1.9795248213949024</v>
      </c>
      <c r="AF37" s="58">
        <f t="shared" si="8"/>
        <v>0.3</v>
      </c>
      <c r="AG37" s="61">
        <f t="shared" si="9"/>
        <v>0.3</v>
      </c>
      <c r="AH37" s="58">
        <f t="shared" si="10"/>
        <v>0.40451159393721914</v>
      </c>
      <c r="AI37" s="49">
        <f t="shared" si="11"/>
        <v>1.6431948612328835E-2</v>
      </c>
      <c r="AJ37" s="61">
        <f t="shared" si="44"/>
        <v>0.42094354254954797</v>
      </c>
      <c r="AK37" s="217">
        <f t="shared" si="12"/>
        <v>15</v>
      </c>
      <c r="AL37" s="213">
        <f t="shared" si="13"/>
        <v>1500</v>
      </c>
      <c r="AM37" s="218">
        <f t="shared" si="27"/>
        <v>0.01</v>
      </c>
      <c r="AN37" s="217">
        <f t="shared" si="28"/>
        <v>2</v>
      </c>
      <c r="AO37" s="213">
        <f t="shared" si="29"/>
        <v>6.196773353931867E-2</v>
      </c>
      <c r="AP37" s="213">
        <f t="shared" si="30"/>
        <v>0.1613743060919757</v>
      </c>
      <c r="AQ37" s="213">
        <f t="shared" si="31"/>
        <v>0.3227486121839514</v>
      </c>
      <c r="AR37" s="213">
        <f t="shared" si="45"/>
        <v>0.3227486121839514</v>
      </c>
      <c r="AS37" s="218">
        <f t="shared" si="46"/>
        <v>4.6385961395228999E-2</v>
      </c>
      <c r="AT37" s="217"/>
      <c r="AU37" s="213">
        <f t="shared" si="32"/>
        <v>2.7000000000000001E-3</v>
      </c>
      <c r="AV37" s="218">
        <f t="shared" si="47"/>
        <v>2.7000000000000001E-3</v>
      </c>
      <c r="AW37" s="217">
        <f t="shared" si="33"/>
        <v>0</v>
      </c>
      <c r="AX37" s="213">
        <f t="shared" si="34"/>
        <v>1.15E-2</v>
      </c>
      <c r="AY37" s="218">
        <f t="shared" si="48"/>
        <v>1.15E-2</v>
      </c>
      <c r="AZ37" s="217">
        <f t="shared" si="14"/>
        <v>0</v>
      </c>
      <c r="BA37" s="213">
        <f t="shared" si="15"/>
        <v>0</v>
      </c>
      <c r="BB37" s="213">
        <f t="shared" si="49"/>
        <v>0</v>
      </c>
      <c r="BC37" s="61">
        <f t="shared" si="35"/>
        <v>0</v>
      </c>
      <c r="BD37" s="58">
        <v>0</v>
      </c>
      <c r="BE37" s="49">
        <f t="shared" si="50"/>
        <v>0</v>
      </c>
      <c r="BF37" s="61">
        <f t="shared" si="51"/>
        <v>0</v>
      </c>
      <c r="BG37" s="58">
        <f t="shared" si="36"/>
        <v>0</v>
      </c>
      <c r="BH37" s="49">
        <f t="shared" si="37"/>
        <v>0</v>
      </c>
      <c r="BI37" s="61">
        <f t="shared" si="38"/>
        <v>0</v>
      </c>
      <c r="BK37" s="217">
        <f t="shared" si="16"/>
        <v>0</v>
      </c>
      <c r="BL37" s="213">
        <f t="shared" si="17"/>
        <v>0</v>
      </c>
      <c r="BM37" s="213">
        <f t="shared" si="18"/>
        <v>0</v>
      </c>
      <c r="BN37" s="61">
        <f t="shared" si="39"/>
        <v>0</v>
      </c>
      <c r="BO37" s="58">
        <v>0</v>
      </c>
      <c r="BP37" s="49">
        <f t="shared" si="40"/>
        <v>0</v>
      </c>
      <c r="BQ37" s="61">
        <f t="shared" si="52"/>
        <v>0</v>
      </c>
      <c r="BR37" s="58">
        <f t="shared" si="41"/>
        <v>0</v>
      </c>
      <c r="BS37" s="49">
        <f t="shared" si="53"/>
        <v>0</v>
      </c>
      <c r="BT37" s="61">
        <f t="shared" si="54"/>
        <v>0</v>
      </c>
      <c r="BU37" s="58">
        <f t="shared" si="19"/>
        <v>6.8853037265909642E-3</v>
      </c>
      <c r="BV37" s="49">
        <f t="shared" si="20"/>
        <v>1.0800000000000002E-3</v>
      </c>
      <c r="BW37" s="61">
        <f t="shared" si="21"/>
        <v>6.7499999999999999E-3</v>
      </c>
      <c r="BX37" s="49">
        <f t="shared" si="55"/>
        <v>2.2795248213949022</v>
      </c>
      <c r="BY37" s="49">
        <f t="shared" si="42"/>
        <v>3.0293836676710413</v>
      </c>
      <c r="BZ37" s="49">
        <f t="shared" si="43"/>
        <v>83.197519540819869</v>
      </c>
    </row>
    <row r="38" spans="17:78" x14ac:dyDescent="0.4">
      <c r="Q38" s="49">
        <v>31</v>
      </c>
      <c r="R38" s="217">
        <f t="shared" si="0"/>
        <v>15.5</v>
      </c>
      <c r="S38" s="213">
        <f t="shared" si="1"/>
        <v>15</v>
      </c>
      <c r="T38" s="218">
        <f t="shared" si="2"/>
        <v>1.0333333333333334</v>
      </c>
      <c r="U38" s="217">
        <f t="shared" si="3"/>
        <v>1</v>
      </c>
      <c r="V38" s="213">
        <f t="shared" si="4"/>
        <v>0.78740078740118113</v>
      </c>
      <c r="W38" s="213">
        <f t="shared" si="5"/>
        <v>6.2992062992094491E-2</v>
      </c>
      <c r="X38" s="213">
        <f t="shared" si="22"/>
        <v>0.14960714960672439</v>
      </c>
      <c r="Y38" s="217">
        <f t="shared" si="23"/>
        <v>1.3123346456686351</v>
      </c>
      <c r="Z38" s="213">
        <f t="shared" si="6"/>
        <v>2.6246692913372707</v>
      </c>
      <c r="AA38" s="213">
        <f t="shared" si="24"/>
        <v>2.6246692913372707</v>
      </c>
      <c r="AB38" s="218">
        <f t="shared" si="7"/>
        <v>1.3446581393834345</v>
      </c>
      <c r="AC38" s="217">
        <v>0</v>
      </c>
      <c r="AD38" s="213">
        <f t="shared" si="25"/>
        <v>2.079321338581638</v>
      </c>
      <c r="AE38" s="218">
        <f t="shared" si="26"/>
        <v>2.079321338581638</v>
      </c>
      <c r="AF38" s="58">
        <f t="shared" si="8"/>
        <v>0.31</v>
      </c>
      <c r="AG38" s="61">
        <f t="shared" si="9"/>
        <v>0.31</v>
      </c>
      <c r="AH38" s="58">
        <f t="shared" si="10"/>
        <v>0.42490479527537822</v>
      </c>
      <c r="AI38" s="49">
        <f t="shared" si="11"/>
        <v>1.6703569469971261E-2</v>
      </c>
      <c r="AJ38" s="61">
        <f t="shared" si="44"/>
        <v>0.44160836474534948</v>
      </c>
      <c r="AK38" s="217">
        <f t="shared" si="12"/>
        <v>15.5</v>
      </c>
      <c r="AL38" s="213">
        <f t="shared" si="13"/>
        <v>1500</v>
      </c>
      <c r="AM38" s="218">
        <f t="shared" si="27"/>
        <v>1.0333333333333333E-2</v>
      </c>
      <c r="AN38" s="217">
        <f t="shared" si="28"/>
        <v>2</v>
      </c>
      <c r="AO38" s="213">
        <f t="shared" si="29"/>
        <v>6.2992062992094491E-2</v>
      </c>
      <c r="AP38" s="213">
        <f t="shared" si="30"/>
        <v>0.16404183070857939</v>
      </c>
      <c r="AQ38" s="213">
        <f t="shared" si="31"/>
        <v>0.32808366141715883</v>
      </c>
      <c r="AR38" s="213">
        <f t="shared" si="45"/>
        <v>0.32808366141715883</v>
      </c>
      <c r="AS38" s="218">
        <f t="shared" si="46"/>
        <v>4.7540844436785627E-2</v>
      </c>
      <c r="AT38" s="217"/>
      <c r="AU38" s="213">
        <f t="shared" si="32"/>
        <v>2.8830000000000001E-3</v>
      </c>
      <c r="AV38" s="218">
        <f t="shared" si="47"/>
        <v>2.8830000000000001E-3</v>
      </c>
      <c r="AW38" s="217">
        <f t="shared" si="33"/>
        <v>0</v>
      </c>
      <c r="AX38" s="213">
        <f t="shared" si="34"/>
        <v>1.1883333333333333E-2</v>
      </c>
      <c r="AY38" s="218">
        <f t="shared" si="48"/>
        <v>1.1883333333333333E-2</v>
      </c>
      <c r="AZ38" s="217">
        <f t="shared" si="14"/>
        <v>0</v>
      </c>
      <c r="BA38" s="213">
        <f t="shared" si="15"/>
        <v>0</v>
      </c>
      <c r="BB38" s="213">
        <f t="shared" si="49"/>
        <v>0</v>
      </c>
      <c r="BC38" s="61">
        <f t="shared" si="35"/>
        <v>0</v>
      </c>
      <c r="BD38" s="58">
        <v>0</v>
      </c>
      <c r="BE38" s="49">
        <f t="shared" si="50"/>
        <v>0</v>
      </c>
      <c r="BF38" s="61">
        <f t="shared" si="51"/>
        <v>0</v>
      </c>
      <c r="BG38" s="58">
        <f t="shared" si="36"/>
        <v>0</v>
      </c>
      <c r="BH38" s="49">
        <f t="shared" si="37"/>
        <v>0</v>
      </c>
      <c r="BI38" s="61">
        <f t="shared" si="38"/>
        <v>0</v>
      </c>
      <c r="BK38" s="217">
        <f t="shared" si="16"/>
        <v>0</v>
      </c>
      <c r="BL38" s="213">
        <f t="shared" si="17"/>
        <v>0</v>
      </c>
      <c r="BM38" s="213">
        <f t="shared" si="18"/>
        <v>0</v>
      </c>
      <c r="BN38" s="61">
        <f t="shared" si="39"/>
        <v>0</v>
      </c>
      <c r="BO38" s="58">
        <v>0</v>
      </c>
      <c r="BP38" s="49">
        <f t="shared" si="40"/>
        <v>0</v>
      </c>
      <c r="BQ38" s="61">
        <f t="shared" si="52"/>
        <v>0</v>
      </c>
      <c r="BR38" s="58">
        <f t="shared" si="41"/>
        <v>0</v>
      </c>
      <c r="BS38" s="49">
        <f t="shared" si="53"/>
        <v>0</v>
      </c>
      <c r="BT38" s="61">
        <f t="shared" si="54"/>
        <v>0</v>
      </c>
      <c r="BU38" s="58">
        <f t="shared" si="19"/>
        <v>7.2324220472404794E-3</v>
      </c>
      <c r="BV38" s="49">
        <f t="shared" si="20"/>
        <v>1.0800000000000002E-3</v>
      </c>
      <c r="BW38" s="61">
        <f t="shared" si="21"/>
        <v>6.7499999999999999E-3</v>
      </c>
      <c r="BX38" s="49">
        <f t="shared" si="55"/>
        <v>2.3893213385816381</v>
      </c>
      <c r="BY38" s="49">
        <f t="shared" si="42"/>
        <v>3.1707584587075615</v>
      </c>
      <c r="BZ38" s="49">
        <f t="shared" si="43"/>
        <v>83.01751658498479</v>
      </c>
    </row>
    <row r="39" spans="17:78" x14ac:dyDescent="0.4">
      <c r="Q39" s="49">
        <v>32</v>
      </c>
      <c r="R39" s="217">
        <f t="shared" ref="R39:R70" si="56">AK39+AZ39+BK39</f>
        <v>16</v>
      </c>
      <c r="S39" s="213">
        <f t="shared" si="1"/>
        <v>15</v>
      </c>
      <c r="T39" s="218">
        <f t="shared" ref="T39:T70" si="57">(R39)/(S39*EFF_est)</f>
        <v>1.0666666666666667</v>
      </c>
      <c r="U39" s="217">
        <f t="shared" ref="U39:U70" si="58">IF(R39&lt;((((Np/NS1_)*(AL39)/((S39+((Np/NS1_)*(AL39)))))^2)*(S39^2))/(2*Lm*Fsw),1,2)</f>
        <v>1</v>
      </c>
      <c r="V39" s="213">
        <f t="shared" ref="V39:V70" si="59">CHOOSE(U39,SQRT((2*Lm*R39*Fsw)/((S39^2)*EFF_est)),(((Np/NS1_)*(AL39))/(S39+((Np/NS1_)*(AL39)))))</f>
        <v>0.8</v>
      </c>
      <c r="W39" s="213">
        <f t="shared" ref="W39:W70" si="60">CHOOSE(U39,(NS1_*S39*V39)/(Np*AL39),1-V39)</f>
        <v>6.4000000000000001E-2</v>
      </c>
      <c r="X39" s="213">
        <f t="shared" si="22"/>
        <v>0.13599999999999995</v>
      </c>
      <c r="Y39" s="217">
        <f t="shared" si="23"/>
        <v>1.3333333333333333</v>
      </c>
      <c r="Z39" s="213">
        <f t="shared" ref="Z39:Z70" si="61">(S39*V39)/(Lm*Fsw)</f>
        <v>2.6666666666666665</v>
      </c>
      <c r="AA39" s="213">
        <f t="shared" si="24"/>
        <v>2.6666666666666665</v>
      </c>
      <c r="AB39" s="218">
        <f t="shared" ref="AB39:AB70" si="62">CHOOSE(U39,AA39*SQRT(V39/3),SQRT(V39*((AA39^2)+((Z39^2)/(3))-(AA39*Z39))))</f>
        <v>1.3770607453181924</v>
      </c>
      <c r="AC39" s="217">
        <v>0</v>
      </c>
      <c r="AD39" s="213">
        <f t="shared" ref="AD39:AD70" si="63">(AB39^2)*Rdcr</f>
        <v>2.1807407407407404</v>
      </c>
      <c r="AE39" s="218">
        <f t="shared" si="26"/>
        <v>2.1807407407407404</v>
      </c>
      <c r="AF39" s="58">
        <f t="shared" ref="AF39:AF70" si="64">R39*0.02</f>
        <v>0.32</v>
      </c>
      <c r="AG39" s="61">
        <f t="shared" ref="AG39:AG70" si="65">R39*0.02</f>
        <v>0.32</v>
      </c>
      <c r="AH39" s="58">
        <f t="shared" ref="AH39:AH70" si="66">(AB39^2)*RDS_on</f>
        <v>0.44562962962962954</v>
      </c>
      <c r="AI39" s="49">
        <f t="shared" ref="AI39:AI70" si="67">((Y39*(S39+((Np/NS1_)*VOUT1)))/2)*Fsw*(tr_sw+tf_sw)</f>
        <v>1.6970843552342841E-2</v>
      </c>
      <c r="AJ39" s="61">
        <f t="shared" si="44"/>
        <v>0.46260047318197239</v>
      </c>
      <c r="AK39" s="217">
        <f t="shared" ref="AK39:AK70" si="68">Q39*$B$11</f>
        <v>16</v>
      </c>
      <c r="AL39" s="213">
        <f t="shared" si="13"/>
        <v>1500</v>
      </c>
      <c r="AM39" s="218">
        <f t="shared" si="27"/>
        <v>1.0666666666666666E-2</v>
      </c>
      <c r="AN39" s="217">
        <f t="shared" si="28"/>
        <v>2</v>
      </c>
      <c r="AO39" s="213">
        <f t="shared" si="29"/>
        <v>6.4000000000000001E-2</v>
      </c>
      <c r="AP39" s="213">
        <f t="shared" si="30"/>
        <v>0.16666666666666666</v>
      </c>
      <c r="AQ39" s="213">
        <f t="shared" si="31"/>
        <v>0.33333333333333331</v>
      </c>
      <c r="AR39" s="213">
        <f t="shared" si="45"/>
        <v>0.33333333333333331</v>
      </c>
      <c r="AS39" s="218">
        <f t="shared" si="46"/>
        <v>4.8686449556014769E-2</v>
      </c>
      <c r="AT39" s="217"/>
      <c r="AU39" s="213">
        <f t="shared" si="32"/>
        <v>3.0720000000000001E-3</v>
      </c>
      <c r="AV39" s="218">
        <f t="shared" si="47"/>
        <v>3.0720000000000001E-3</v>
      </c>
      <c r="AW39" s="217">
        <f t="shared" si="33"/>
        <v>0</v>
      </c>
      <c r="AX39" s="213">
        <f t="shared" si="34"/>
        <v>1.2266666666666665E-2</v>
      </c>
      <c r="AY39" s="218">
        <f t="shared" si="48"/>
        <v>1.2266666666666665E-2</v>
      </c>
      <c r="AZ39" s="217">
        <f t="shared" ref="AZ39:AZ70" si="69">IF(EN_OUT_2=1,Q39*$B$15,0)</f>
        <v>0</v>
      </c>
      <c r="BA39" s="213">
        <f t="shared" ref="BA39:BA70" si="70">IF(EN_OUT_2=1,VOUT2,0)</f>
        <v>0</v>
      </c>
      <c r="BB39" s="213">
        <f t="shared" si="49"/>
        <v>0</v>
      </c>
      <c r="BC39" s="61">
        <f t="shared" si="35"/>
        <v>0</v>
      </c>
      <c r="BD39" s="58">
        <v>0</v>
      </c>
      <c r="BE39" s="49">
        <f t="shared" si="50"/>
        <v>0</v>
      </c>
      <c r="BF39" s="61">
        <f t="shared" si="51"/>
        <v>0</v>
      </c>
      <c r="BG39" s="58">
        <f t="shared" si="36"/>
        <v>0</v>
      </c>
      <c r="BH39" s="49">
        <f t="shared" si="37"/>
        <v>0</v>
      </c>
      <c r="BI39" s="61">
        <f t="shared" si="38"/>
        <v>0</v>
      </c>
      <c r="BK39" s="217">
        <f t="shared" ref="BK39:BK70" si="71">IF(EN_OUT_3=1,Q39*$B$19,0)</f>
        <v>0</v>
      </c>
      <c r="BL39" s="213">
        <f t="shared" si="17"/>
        <v>0</v>
      </c>
      <c r="BM39" s="213">
        <f t="shared" ref="BM39:BM70" si="72">IF(EN_OUT_3=1,BK39/BL39,0)</f>
        <v>0</v>
      </c>
      <c r="BN39" s="61">
        <f t="shared" si="39"/>
        <v>0</v>
      </c>
      <c r="BO39" s="58">
        <v>0</v>
      </c>
      <c r="BP39" s="49">
        <f t="shared" si="40"/>
        <v>0</v>
      </c>
      <c r="BQ39" s="61">
        <f t="shared" si="52"/>
        <v>0</v>
      </c>
      <c r="BR39" s="58">
        <f t="shared" si="41"/>
        <v>0</v>
      </c>
      <c r="BS39" s="49">
        <f t="shared" si="53"/>
        <v>0</v>
      </c>
      <c r="BT39" s="61">
        <f t="shared" si="54"/>
        <v>0</v>
      </c>
      <c r="BU39" s="58">
        <f t="shared" ref="BU39:BU70" si="73">(AB39^2)*R_cs</f>
        <v>7.5851851851851827E-3</v>
      </c>
      <c r="BV39" s="49">
        <f t="shared" si="20"/>
        <v>1.0800000000000002E-3</v>
      </c>
      <c r="BW39" s="61">
        <f t="shared" ref="BW39:BW70" si="74">IQ*S39</f>
        <v>6.7499999999999999E-3</v>
      </c>
      <c r="BX39" s="49">
        <f t="shared" si="55"/>
        <v>2.5007407407407403</v>
      </c>
      <c r="BY39" s="49">
        <f t="shared" si="42"/>
        <v>3.3140950657745645</v>
      </c>
      <c r="BZ39" s="49">
        <f t="shared" si="43"/>
        <v>82.841054398415537</v>
      </c>
    </row>
    <row r="40" spans="17:78" x14ac:dyDescent="0.4">
      <c r="Q40" s="49">
        <v>33</v>
      </c>
      <c r="R40" s="217">
        <f t="shared" si="56"/>
        <v>16.5</v>
      </c>
      <c r="S40" s="213">
        <f t="shared" si="1"/>
        <v>15</v>
      </c>
      <c r="T40" s="218">
        <f t="shared" si="57"/>
        <v>1.1000000000000001</v>
      </c>
      <c r="U40" s="217">
        <f t="shared" si="58"/>
        <v>1</v>
      </c>
      <c r="V40" s="213">
        <f t="shared" si="59"/>
        <v>0.81240384046359604</v>
      </c>
      <c r="W40" s="213">
        <f t="shared" si="60"/>
        <v>6.4992307237087682E-2</v>
      </c>
      <c r="X40" s="213">
        <f t="shared" si="22"/>
        <v>0.12260385229931628</v>
      </c>
      <c r="Y40" s="217">
        <f t="shared" ref="Y40:Y71" si="75">R40/(S40*EFF_est*V40)</f>
        <v>1.35400640077266</v>
      </c>
      <c r="Z40" s="213">
        <f t="shared" si="61"/>
        <v>2.7080128015453204</v>
      </c>
      <c r="AA40" s="213">
        <f t="shared" si="24"/>
        <v>2.70801280154532</v>
      </c>
      <c r="AB40" s="218">
        <f t="shared" si="62"/>
        <v>1.4092111461617693</v>
      </c>
      <c r="AC40" s="217">
        <v>0</v>
      </c>
      <c r="AD40" s="213">
        <f t="shared" si="63"/>
        <v>2.2837574626365531</v>
      </c>
      <c r="AE40" s="218">
        <f t="shared" si="26"/>
        <v>2.2837574626365531</v>
      </c>
      <c r="AF40" s="58">
        <f t="shared" si="64"/>
        <v>0.33</v>
      </c>
      <c r="AG40" s="61">
        <f t="shared" si="65"/>
        <v>0.33</v>
      </c>
      <c r="AH40" s="58">
        <f t="shared" si="66"/>
        <v>0.46668087279964343</v>
      </c>
      <c r="AI40" s="49">
        <f t="shared" si="67"/>
        <v>1.7233973097287723E-2</v>
      </c>
      <c r="AJ40" s="61">
        <f t="shared" si="44"/>
        <v>0.48391484589693118</v>
      </c>
      <c r="AK40" s="217">
        <f t="shared" si="68"/>
        <v>16.5</v>
      </c>
      <c r="AL40" s="213">
        <f t="shared" si="13"/>
        <v>1500</v>
      </c>
      <c r="AM40" s="218">
        <f t="shared" si="27"/>
        <v>1.0999999999999999E-2</v>
      </c>
      <c r="AN40" s="217">
        <f t="shared" ref="AN40:AN71" si="76">IF(((AL40*AO40)/(Fsw*$AO$2))/2&gt;AP40,1,2)</f>
        <v>1</v>
      </c>
      <c r="AO40" s="213">
        <f t="shared" ref="AO40:AO71" si="77">AM40/AP40</f>
        <v>6.4992307237087682E-2</v>
      </c>
      <c r="AP40" s="213">
        <f t="shared" ref="AP40:AP71" si="78">Np*$Y40*AK40/(R40*NS1_)</f>
        <v>0.1692508000965825</v>
      </c>
      <c r="AQ40" s="213">
        <f t="shared" ref="AQ40:AQ71" si="79">(AL40*AO40)/(Fsw*$AO$2)</f>
        <v>0.33850160019316505</v>
      </c>
      <c r="AR40" s="213">
        <f t="shared" si="45"/>
        <v>0.338501600193165</v>
      </c>
      <c r="AS40" s="218">
        <f t="shared" si="46"/>
        <v>4.9823137878732701E-2</v>
      </c>
      <c r="AT40" s="217"/>
      <c r="AU40" s="213">
        <f t="shared" ref="AU40:AU71" si="80">(AM40^2)*Rdcr1</f>
        <v>3.2669999999999995E-3</v>
      </c>
      <c r="AV40" s="218">
        <f t="shared" si="47"/>
        <v>3.2669999999999995E-3</v>
      </c>
      <c r="AW40" s="217">
        <f t="shared" ref="AW40:AW71" si="81">(VOUT1+((NS1_/Np)*S40))*QRR1_*Fsw</f>
        <v>0</v>
      </c>
      <c r="AX40" s="213">
        <f t="shared" ref="AX40:AX71" si="82">AM40*VD1_</f>
        <v>1.2649999999999998E-2</v>
      </c>
      <c r="AY40" s="218">
        <f t="shared" si="48"/>
        <v>1.2649999999999998E-2</v>
      </c>
      <c r="AZ40" s="217">
        <f t="shared" si="69"/>
        <v>0</v>
      </c>
      <c r="BA40" s="213">
        <f t="shared" si="70"/>
        <v>0</v>
      </c>
      <c r="BB40" s="213">
        <f t="shared" si="49"/>
        <v>0</v>
      </c>
      <c r="BC40" s="61">
        <f t="shared" ref="BC40:BC71" si="83">IF(EN_OUT_2=1,AZ40/BA40,0)</f>
        <v>0</v>
      </c>
      <c r="BD40" s="58">
        <v>0</v>
      </c>
      <c r="BE40" s="49">
        <f t="shared" ref="BE40:BE71" si="84">(BB40^2)*Rdcr2</f>
        <v>0</v>
      </c>
      <c r="BF40" s="61">
        <f t="shared" si="51"/>
        <v>0</v>
      </c>
      <c r="BG40" s="58">
        <f t="shared" ref="BG40:BG71" si="85">(VOUT2+((NS2_/Np)*S40))*QRR2_*Fsw</f>
        <v>0</v>
      </c>
      <c r="BH40" s="49">
        <f t="shared" ref="BH40:BH71" si="86">BB40*VD2_</f>
        <v>0</v>
      </c>
      <c r="BI40" s="61">
        <f t="shared" ref="BI40:BI71" si="87">BH40+BG40</f>
        <v>0</v>
      </c>
      <c r="BK40" s="217">
        <f t="shared" si="71"/>
        <v>0</v>
      </c>
      <c r="BL40" s="213">
        <f t="shared" si="17"/>
        <v>0</v>
      </c>
      <c r="BM40" s="213">
        <f t="shared" si="72"/>
        <v>0</v>
      </c>
      <c r="BN40" s="61">
        <f t="shared" ref="BN40:BN71" si="88">Y40*(Np/NS3_)*(BK40/R40)</f>
        <v>0</v>
      </c>
      <c r="BO40" s="58">
        <v>0</v>
      </c>
      <c r="BP40" s="49">
        <f t="shared" ref="BP40:BP71" si="89">(BM40^2)*Rdcr3</f>
        <v>0</v>
      </c>
      <c r="BQ40" s="61">
        <f t="shared" si="52"/>
        <v>0</v>
      </c>
      <c r="BR40" s="58">
        <f t="shared" ref="BR40:BR71" si="90">(VOUT3+((NS3_/Np)*S40))*QRR3_*Fsw</f>
        <v>0</v>
      </c>
      <c r="BS40" s="49">
        <f t="shared" ref="BS40:BS71" si="91">BM40*VD3_</f>
        <v>0</v>
      </c>
      <c r="BT40" s="61">
        <f t="shared" si="54"/>
        <v>0</v>
      </c>
      <c r="BU40" s="58">
        <f t="shared" si="73"/>
        <v>7.9435042178662707E-3</v>
      </c>
      <c r="BV40" s="49">
        <f t="shared" si="20"/>
        <v>1.0800000000000002E-3</v>
      </c>
      <c r="BW40" s="61">
        <f t="shared" si="74"/>
        <v>6.7499999999999999E-3</v>
      </c>
      <c r="BX40" s="49">
        <f t="shared" si="55"/>
        <v>2.6137574626365532</v>
      </c>
      <c r="BY40" s="49">
        <f t="shared" si="42"/>
        <v>3.4593628127513507</v>
      </c>
      <c r="BZ40" s="49">
        <f t="shared" ref="BZ40:BZ71" si="92">(R40/(R40+BY40))*100</f>
        <v>82.667969688184215</v>
      </c>
    </row>
    <row r="41" spans="17:78" x14ac:dyDescent="0.4">
      <c r="Q41" s="49">
        <v>34</v>
      </c>
      <c r="R41" s="217">
        <f t="shared" si="56"/>
        <v>17</v>
      </c>
      <c r="S41" s="213">
        <f t="shared" si="1"/>
        <v>15</v>
      </c>
      <c r="T41" s="218">
        <f t="shared" si="57"/>
        <v>1.1333333333333333</v>
      </c>
      <c r="U41" s="217">
        <f t="shared" si="58"/>
        <v>1</v>
      </c>
      <c r="V41" s="213">
        <f t="shared" si="59"/>
        <v>0.82462112512353214</v>
      </c>
      <c r="W41" s="213">
        <f t="shared" si="60"/>
        <v>6.5969690009882578E-2</v>
      </c>
      <c r="X41" s="213">
        <f t="shared" si="22"/>
        <v>0.10940918486658528</v>
      </c>
      <c r="Y41" s="217">
        <f t="shared" si="75"/>
        <v>1.3743685418725533</v>
      </c>
      <c r="Z41" s="213">
        <f t="shared" si="61"/>
        <v>2.7487370837451071</v>
      </c>
      <c r="AA41" s="213">
        <f t="shared" si="24"/>
        <v>2.7487370837451071</v>
      </c>
      <c r="AB41" s="218">
        <f t="shared" si="62"/>
        <v>1.4411188619906381</v>
      </c>
      <c r="AC41" s="217">
        <v>0</v>
      </c>
      <c r="AD41" s="213">
        <f t="shared" si="63"/>
        <v>2.3883471105429712</v>
      </c>
      <c r="AE41" s="218">
        <f t="shared" si="26"/>
        <v>2.3883471105429712</v>
      </c>
      <c r="AF41" s="58">
        <f t="shared" si="64"/>
        <v>0.34</v>
      </c>
      <c r="AG41" s="61">
        <f t="shared" si="65"/>
        <v>0.34</v>
      </c>
      <c r="AH41" s="58">
        <f t="shared" si="66"/>
        <v>0.48805353998052015</v>
      </c>
      <c r="AI41" s="49">
        <f t="shared" si="67"/>
        <v>1.749314513053549E-2</v>
      </c>
      <c r="AJ41" s="61">
        <f t="shared" si="44"/>
        <v>0.5055466851110556</v>
      </c>
      <c r="AK41" s="217">
        <f t="shared" si="68"/>
        <v>17</v>
      </c>
      <c r="AL41" s="213">
        <f t="shared" si="13"/>
        <v>1500</v>
      </c>
      <c r="AM41" s="218">
        <f t="shared" si="27"/>
        <v>1.1333333333333334E-2</v>
      </c>
      <c r="AN41" s="217">
        <f t="shared" si="76"/>
        <v>2</v>
      </c>
      <c r="AO41" s="213">
        <f t="shared" si="77"/>
        <v>6.5969690009882578E-2</v>
      </c>
      <c r="AP41" s="213">
        <f t="shared" si="78"/>
        <v>0.17179606773406916</v>
      </c>
      <c r="AQ41" s="213">
        <f t="shared" si="79"/>
        <v>0.34359213546813838</v>
      </c>
      <c r="AR41" s="213">
        <f t="shared" si="45"/>
        <v>0.34359213546813838</v>
      </c>
      <c r="AS41" s="218">
        <f t="shared" si="46"/>
        <v>5.0951245990471038E-2</v>
      </c>
      <c r="AT41" s="217"/>
      <c r="AU41" s="213">
        <f t="shared" si="80"/>
        <v>3.4680000000000002E-3</v>
      </c>
      <c r="AV41" s="218">
        <f t="shared" si="47"/>
        <v>3.4680000000000002E-3</v>
      </c>
      <c r="AW41" s="217">
        <f t="shared" si="81"/>
        <v>0</v>
      </c>
      <c r="AX41" s="213">
        <f t="shared" si="82"/>
        <v>1.3033333333333333E-2</v>
      </c>
      <c r="AY41" s="218">
        <f t="shared" si="48"/>
        <v>1.3033333333333333E-2</v>
      </c>
      <c r="AZ41" s="217">
        <f t="shared" si="69"/>
        <v>0</v>
      </c>
      <c r="BA41" s="213">
        <f t="shared" si="70"/>
        <v>0</v>
      </c>
      <c r="BB41" s="213">
        <f t="shared" si="49"/>
        <v>0</v>
      </c>
      <c r="BC41" s="61">
        <f t="shared" si="83"/>
        <v>0</v>
      </c>
      <c r="BD41" s="58">
        <v>0</v>
      </c>
      <c r="BE41" s="49">
        <f t="shared" si="84"/>
        <v>0</v>
      </c>
      <c r="BF41" s="61">
        <f t="shared" si="51"/>
        <v>0</v>
      </c>
      <c r="BG41" s="58">
        <f t="shared" si="85"/>
        <v>0</v>
      </c>
      <c r="BH41" s="49">
        <f t="shared" si="86"/>
        <v>0</v>
      </c>
      <c r="BI41" s="61">
        <f t="shared" si="87"/>
        <v>0</v>
      </c>
      <c r="BK41" s="217">
        <f t="shared" si="71"/>
        <v>0</v>
      </c>
      <c r="BL41" s="213">
        <f t="shared" si="17"/>
        <v>0</v>
      </c>
      <c r="BM41" s="213">
        <f t="shared" si="72"/>
        <v>0</v>
      </c>
      <c r="BN41" s="61">
        <f t="shared" si="88"/>
        <v>0</v>
      </c>
      <c r="BO41" s="58">
        <v>0</v>
      </c>
      <c r="BP41" s="49">
        <f t="shared" si="89"/>
        <v>0</v>
      </c>
      <c r="BQ41" s="61">
        <f t="shared" si="52"/>
        <v>0</v>
      </c>
      <c r="BR41" s="58">
        <f t="shared" si="90"/>
        <v>0</v>
      </c>
      <c r="BS41" s="49">
        <f t="shared" si="91"/>
        <v>0</v>
      </c>
      <c r="BT41" s="61">
        <f t="shared" si="54"/>
        <v>0</v>
      </c>
      <c r="BU41" s="58">
        <f t="shared" si="73"/>
        <v>8.3072942975407679E-3</v>
      </c>
      <c r="BV41" s="49">
        <f t="shared" si="20"/>
        <v>1.0800000000000002E-3</v>
      </c>
      <c r="BW41" s="61">
        <f t="shared" si="74"/>
        <v>6.7499999999999999E-3</v>
      </c>
      <c r="BX41" s="49">
        <f t="shared" si="55"/>
        <v>2.7283471105429711</v>
      </c>
      <c r="BY41" s="49">
        <f t="shared" si="42"/>
        <v>3.606532423284901</v>
      </c>
      <c r="BZ41" s="49">
        <f t="shared" si="92"/>
        <v>82.498111039732223</v>
      </c>
    </row>
    <row r="42" spans="17:78" x14ac:dyDescent="0.4">
      <c r="Q42" s="49">
        <v>35</v>
      </c>
      <c r="R42" s="217">
        <f t="shared" si="56"/>
        <v>17.5</v>
      </c>
      <c r="S42" s="213">
        <f t="shared" si="1"/>
        <v>15</v>
      </c>
      <c r="T42" s="218">
        <f t="shared" si="57"/>
        <v>1.1666666666666667</v>
      </c>
      <c r="U42" s="217">
        <f t="shared" si="58"/>
        <v>1</v>
      </c>
      <c r="V42" s="213">
        <f t="shared" si="59"/>
        <v>0.83666002653407545</v>
      </c>
      <c r="W42" s="213">
        <f t="shared" si="60"/>
        <v>6.6932802122726037E-2</v>
      </c>
      <c r="X42" s="213">
        <f t="shared" si="22"/>
        <v>9.6407171343198511E-2</v>
      </c>
      <c r="Y42" s="217">
        <f t="shared" si="75"/>
        <v>1.3944333775567928</v>
      </c>
      <c r="Z42" s="213">
        <f t="shared" si="61"/>
        <v>2.7888667551135851</v>
      </c>
      <c r="AA42" s="213">
        <f t="shared" si="24"/>
        <v>2.7888667551135855</v>
      </c>
      <c r="AB42" s="218">
        <f t="shared" si="62"/>
        <v>1.4727927849193745</v>
      </c>
      <c r="AC42" s="217">
        <v>0</v>
      </c>
      <c r="AD42" s="213">
        <f t="shared" si="63"/>
        <v>2.4944863754071522</v>
      </c>
      <c r="AE42" s="218">
        <f t="shared" si="26"/>
        <v>2.4944863754071522</v>
      </c>
      <c r="AF42" s="58">
        <f t="shared" si="64"/>
        <v>0.35000000000000003</v>
      </c>
      <c r="AG42" s="61">
        <f t="shared" si="65"/>
        <v>0.35000000000000003</v>
      </c>
      <c r="AH42" s="58">
        <f t="shared" si="66"/>
        <v>0.5097428680179833</v>
      </c>
      <c r="AI42" s="49">
        <f t="shared" si="67"/>
        <v>1.7748533021011013E-2</v>
      </c>
      <c r="AJ42" s="61">
        <f t="shared" si="44"/>
        <v>0.52749140103899428</v>
      </c>
      <c r="AK42" s="217">
        <f t="shared" si="68"/>
        <v>17.5</v>
      </c>
      <c r="AL42" s="213">
        <f t="shared" si="13"/>
        <v>1500</v>
      </c>
      <c r="AM42" s="218">
        <f t="shared" si="27"/>
        <v>1.1666666666666667E-2</v>
      </c>
      <c r="AN42" s="217">
        <f t="shared" si="76"/>
        <v>2</v>
      </c>
      <c r="AO42" s="213">
        <f t="shared" si="77"/>
        <v>6.6932802122726037E-2</v>
      </c>
      <c r="AP42" s="213">
        <f t="shared" si="78"/>
        <v>0.17430417219459909</v>
      </c>
      <c r="AQ42" s="213">
        <f t="shared" si="79"/>
        <v>0.34860834438919813</v>
      </c>
      <c r="AR42" s="213">
        <f t="shared" si="45"/>
        <v>0.34860834438919819</v>
      </c>
      <c r="AS42" s="218">
        <f t="shared" si="46"/>
        <v>5.2071088274955497E-2</v>
      </c>
      <c r="AT42" s="217"/>
      <c r="AU42" s="213">
        <f t="shared" si="80"/>
        <v>3.6750000000000003E-3</v>
      </c>
      <c r="AV42" s="218">
        <f t="shared" si="47"/>
        <v>3.6750000000000003E-3</v>
      </c>
      <c r="AW42" s="217">
        <f t="shared" si="81"/>
        <v>0</v>
      </c>
      <c r="AX42" s="213">
        <f t="shared" si="82"/>
        <v>1.3416666666666667E-2</v>
      </c>
      <c r="AY42" s="218">
        <f t="shared" si="48"/>
        <v>1.3416666666666667E-2</v>
      </c>
      <c r="AZ42" s="217">
        <f t="shared" si="69"/>
        <v>0</v>
      </c>
      <c r="BA42" s="213">
        <f t="shared" si="70"/>
        <v>0</v>
      </c>
      <c r="BB42" s="213">
        <f t="shared" si="49"/>
        <v>0</v>
      </c>
      <c r="BC42" s="61">
        <f t="shared" si="83"/>
        <v>0</v>
      </c>
      <c r="BD42" s="58">
        <v>0</v>
      </c>
      <c r="BE42" s="49">
        <f t="shared" si="84"/>
        <v>0</v>
      </c>
      <c r="BF42" s="61">
        <f t="shared" si="51"/>
        <v>0</v>
      </c>
      <c r="BG42" s="58">
        <f t="shared" si="85"/>
        <v>0</v>
      </c>
      <c r="BH42" s="49">
        <f t="shared" si="86"/>
        <v>0</v>
      </c>
      <c r="BI42" s="61">
        <f t="shared" si="87"/>
        <v>0</v>
      </c>
      <c r="BK42" s="217">
        <f t="shared" si="71"/>
        <v>0</v>
      </c>
      <c r="BL42" s="213">
        <f t="shared" si="17"/>
        <v>0</v>
      </c>
      <c r="BM42" s="213">
        <f t="shared" si="72"/>
        <v>0</v>
      </c>
      <c r="BN42" s="61">
        <f t="shared" si="88"/>
        <v>0</v>
      </c>
      <c r="BO42" s="58">
        <v>0</v>
      </c>
      <c r="BP42" s="49">
        <f t="shared" si="89"/>
        <v>0</v>
      </c>
      <c r="BQ42" s="61">
        <f t="shared" si="52"/>
        <v>0</v>
      </c>
      <c r="BR42" s="58">
        <f t="shared" si="90"/>
        <v>0</v>
      </c>
      <c r="BS42" s="49">
        <f t="shared" si="91"/>
        <v>0</v>
      </c>
      <c r="BT42" s="61">
        <f t="shared" si="54"/>
        <v>0</v>
      </c>
      <c r="BU42" s="58">
        <f t="shared" si="73"/>
        <v>8.6764743492422688E-3</v>
      </c>
      <c r="BV42" s="49">
        <f t="shared" si="20"/>
        <v>1.0800000000000002E-3</v>
      </c>
      <c r="BW42" s="61">
        <f t="shared" si="74"/>
        <v>6.7499999999999999E-3</v>
      </c>
      <c r="BX42" s="49">
        <f t="shared" si="55"/>
        <v>2.8444863754071523</v>
      </c>
      <c r="BY42" s="49">
        <f t="shared" si="42"/>
        <v>3.7555759174620555</v>
      </c>
      <c r="BZ42" s="49">
        <f t="shared" si="92"/>
        <v>82.331337753230457</v>
      </c>
    </row>
    <row r="43" spans="17:78" x14ac:dyDescent="0.4">
      <c r="Q43" s="49">
        <v>36</v>
      </c>
      <c r="R43" s="217">
        <f t="shared" si="56"/>
        <v>18</v>
      </c>
      <c r="S43" s="213">
        <f t="shared" si="1"/>
        <v>15</v>
      </c>
      <c r="T43" s="218">
        <f t="shared" si="57"/>
        <v>1.2</v>
      </c>
      <c r="U43" s="217">
        <f t="shared" si="58"/>
        <v>1</v>
      </c>
      <c r="V43" s="213">
        <f t="shared" si="59"/>
        <v>0.84852813742385702</v>
      </c>
      <c r="W43" s="213">
        <f t="shared" si="60"/>
        <v>6.7882250993908558E-2</v>
      </c>
      <c r="X43" s="213">
        <f t="shared" si="22"/>
        <v>8.3589611582234422E-2</v>
      </c>
      <c r="Y43" s="217">
        <f t="shared" si="75"/>
        <v>1.4142135623730951</v>
      </c>
      <c r="Z43" s="213">
        <f t="shared" si="61"/>
        <v>2.8284271247461898</v>
      </c>
      <c r="AA43" s="213">
        <f t="shared" si="24"/>
        <v>2.8284271247461898</v>
      </c>
      <c r="AB43" s="218">
        <f t="shared" si="62"/>
        <v>1.5042412372345575</v>
      </c>
      <c r="AC43" s="217">
        <v>0</v>
      </c>
      <c r="AD43" s="213">
        <f t="shared" si="63"/>
        <v>2.602152954766495</v>
      </c>
      <c r="AE43" s="218">
        <f t="shared" si="26"/>
        <v>2.602152954766495</v>
      </c>
      <c r="AF43" s="58">
        <f t="shared" si="64"/>
        <v>0.36</v>
      </c>
      <c r="AG43" s="61">
        <f t="shared" si="65"/>
        <v>0.36</v>
      </c>
      <c r="AH43" s="58">
        <f t="shared" si="66"/>
        <v>0.53174429945228374</v>
      </c>
      <c r="AI43" s="49">
        <f t="shared" si="67"/>
        <v>1.8000297837476434E-2</v>
      </c>
      <c r="AJ43" s="61">
        <f t="shared" si="44"/>
        <v>0.54974459728976022</v>
      </c>
      <c r="AK43" s="217">
        <f t="shared" si="68"/>
        <v>18</v>
      </c>
      <c r="AL43" s="213">
        <f t="shared" si="13"/>
        <v>1500</v>
      </c>
      <c r="AM43" s="218">
        <f t="shared" si="27"/>
        <v>1.2E-2</v>
      </c>
      <c r="AN43" s="217">
        <f t="shared" si="76"/>
        <v>2</v>
      </c>
      <c r="AO43" s="213">
        <f t="shared" si="77"/>
        <v>6.7882250993908558E-2</v>
      </c>
      <c r="AP43" s="213">
        <f t="shared" si="78"/>
        <v>0.17677669529663689</v>
      </c>
      <c r="AQ43" s="213">
        <f t="shared" si="79"/>
        <v>0.35355339059327373</v>
      </c>
      <c r="AR43" s="213">
        <f t="shared" si="45"/>
        <v>0.35355339059327373</v>
      </c>
      <c r="AS43" s="218">
        <f t="shared" si="46"/>
        <v>5.3182958969449877E-2</v>
      </c>
      <c r="AT43" s="217"/>
      <c r="AU43" s="213">
        <f t="shared" si="80"/>
        <v>3.888E-3</v>
      </c>
      <c r="AV43" s="218">
        <f t="shared" si="47"/>
        <v>3.888E-3</v>
      </c>
      <c r="AW43" s="217">
        <f t="shared" si="81"/>
        <v>0</v>
      </c>
      <c r="AX43" s="213">
        <f t="shared" si="82"/>
        <v>1.38E-2</v>
      </c>
      <c r="AY43" s="218">
        <f t="shared" si="48"/>
        <v>1.38E-2</v>
      </c>
      <c r="AZ43" s="217">
        <f t="shared" si="69"/>
        <v>0</v>
      </c>
      <c r="BA43" s="213">
        <f t="shared" si="70"/>
        <v>0</v>
      </c>
      <c r="BB43" s="213">
        <f t="shared" si="49"/>
        <v>0</v>
      </c>
      <c r="BC43" s="61">
        <f t="shared" si="83"/>
        <v>0</v>
      </c>
      <c r="BD43" s="58">
        <v>0</v>
      </c>
      <c r="BE43" s="49">
        <f t="shared" si="84"/>
        <v>0</v>
      </c>
      <c r="BF43" s="61">
        <f t="shared" si="51"/>
        <v>0</v>
      </c>
      <c r="BG43" s="58">
        <f t="shared" si="85"/>
        <v>0</v>
      </c>
      <c r="BH43" s="49">
        <f t="shared" si="86"/>
        <v>0</v>
      </c>
      <c r="BI43" s="61">
        <f t="shared" si="87"/>
        <v>0</v>
      </c>
      <c r="BK43" s="217">
        <f t="shared" si="71"/>
        <v>0</v>
      </c>
      <c r="BL43" s="213">
        <f t="shared" si="17"/>
        <v>0</v>
      </c>
      <c r="BM43" s="213">
        <f t="shared" si="72"/>
        <v>0</v>
      </c>
      <c r="BN43" s="61">
        <f t="shared" si="88"/>
        <v>0</v>
      </c>
      <c r="BO43" s="58">
        <v>0</v>
      </c>
      <c r="BP43" s="49">
        <f t="shared" si="89"/>
        <v>0</v>
      </c>
      <c r="BQ43" s="61">
        <f t="shared" si="52"/>
        <v>0</v>
      </c>
      <c r="BR43" s="58">
        <f t="shared" si="90"/>
        <v>0</v>
      </c>
      <c r="BS43" s="49">
        <f t="shared" si="91"/>
        <v>0</v>
      </c>
      <c r="BT43" s="61">
        <f t="shared" si="54"/>
        <v>0</v>
      </c>
      <c r="BU43" s="58">
        <f t="shared" si="73"/>
        <v>9.0509667991878085E-3</v>
      </c>
      <c r="BV43" s="49">
        <f t="shared" si="20"/>
        <v>1.0800000000000002E-3</v>
      </c>
      <c r="BW43" s="61">
        <f t="shared" si="74"/>
        <v>6.7499999999999999E-3</v>
      </c>
      <c r="BX43" s="49">
        <f t="shared" si="55"/>
        <v>2.9621529547664949</v>
      </c>
      <c r="BY43" s="49">
        <f t="shared" si="42"/>
        <v>3.906466518855443</v>
      </c>
      <c r="BZ43" s="49">
        <f t="shared" si="92"/>
        <v>82.167518821471958</v>
      </c>
    </row>
    <row r="44" spans="17:78" x14ac:dyDescent="0.4">
      <c r="Q44" s="49">
        <v>37</v>
      </c>
      <c r="R44" s="217">
        <f t="shared" si="56"/>
        <v>18.5</v>
      </c>
      <c r="S44" s="213">
        <f t="shared" si="1"/>
        <v>15</v>
      </c>
      <c r="T44" s="218">
        <f t="shared" si="57"/>
        <v>1.2333333333333334</v>
      </c>
      <c r="U44" s="217">
        <f t="shared" si="58"/>
        <v>1</v>
      </c>
      <c r="V44" s="213">
        <f t="shared" si="59"/>
        <v>0.86023252670426265</v>
      </c>
      <c r="W44" s="213">
        <f t="shared" si="60"/>
        <v>6.8818602136341014E-2</v>
      </c>
      <c r="X44" s="213">
        <f t="shared" si="22"/>
        <v>7.094887115939634E-2</v>
      </c>
      <c r="Y44" s="217">
        <f t="shared" si="75"/>
        <v>1.4337208778404378</v>
      </c>
      <c r="Z44" s="213">
        <f t="shared" si="61"/>
        <v>2.8674417556808756</v>
      </c>
      <c r="AA44" s="213">
        <f t="shared" si="24"/>
        <v>2.8674417556808756</v>
      </c>
      <c r="AB44" s="218">
        <f t="shared" si="62"/>
        <v>1.5354720226851155</v>
      </c>
      <c r="AC44" s="217">
        <v>0</v>
      </c>
      <c r="AD44" s="213">
        <f t="shared" si="63"/>
        <v>2.7113254823160284</v>
      </c>
      <c r="AE44" s="218">
        <f t="shared" si="26"/>
        <v>2.7113254823160284</v>
      </c>
      <c r="AF44" s="58">
        <f t="shared" si="64"/>
        <v>0.37</v>
      </c>
      <c r="AG44" s="61">
        <f t="shared" si="65"/>
        <v>0.37</v>
      </c>
      <c r="AH44" s="58">
        <f t="shared" si="66"/>
        <v>0.5540534681254492</v>
      </c>
      <c r="AI44" s="49">
        <f t="shared" si="67"/>
        <v>1.8248589536668282E-2</v>
      </c>
      <c r="AJ44" s="61">
        <f t="shared" si="44"/>
        <v>0.5723020576621175</v>
      </c>
      <c r="AK44" s="217">
        <f t="shared" si="68"/>
        <v>18.5</v>
      </c>
      <c r="AL44" s="213">
        <f t="shared" si="13"/>
        <v>1500</v>
      </c>
      <c r="AM44" s="218">
        <f t="shared" si="27"/>
        <v>1.2333333333333333E-2</v>
      </c>
      <c r="AN44" s="217">
        <f t="shared" si="76"/>
        <v>2</v>
      </c>
      <c r="AO44" s="213">
        <f t="shared" si="77"/>
        <v>6.8818602136341014E-2</v>
      </c>
      <c r="AP44" s="213">
        <f t="shared" si="78"/>
        <v>0.17921510973005472</v>
      </c>
      <c r="AQ44" s="213">
        <f t="shared" si="79"/>
        <v>0.35843021946010944</v>
      </c>
      <c r="AR44" s="213">
        <f t="shared" si="45"/>
        <v>0.35843021946010944</v>
      </c>
      <c r="AS44" s="218">
        <f t="shared" si="46"/>
        <v>5.4287133978143477E-2</v>
      </c>
      <c r="AT44" s="217"/>
      <c r="AU44" s="213">
        <f t="shared" si="80"/>
        <v>4.1069999999999995E-3</v>
      </c>
      <c r="AV44" s="218">
        <f t="shared" si="47"/>
        <v>4.1069999999999995E-3</v>
      </c>
      <c r="AW44" s="217">
        <f t="shared" si="81"/>
        <v>0</v>
      </c>
      <c r="AX44" s="213">
        <f t="shared" si="82"/>
        <v>1.4183333333333333E-2</v>
      </c>
      <c r="AY44" s="218">
        <f t="shared" si="48"/>
        <v>1.4183333333333333E-2</v>
      </c>
      <c r="AZ44" s="217">
        <f t="shared" si="69"/>
        <v>0</v>
      </c>
      <c r="BA44" s="213">
        <f t="shared" si="70"/>
        <v>0</v>
      </c>
      <c r="BB44" s="213">
        <f t="shared" si="49"/>
        <v>0</v>
      </c>
      <c r="BC44" s="61">
        <f t="shared" si="83"/>
        <v>0</v>
      </c>
      <c r="BD44" s="58">
        <v>0</v>
      </c>
      <c r="BE44" s="49">
        <f t="shared" si="84"/>
        <v>0</v>
      </c>
      <c r="BF44" s="61">
        <f t="shared" si="51"/>
        <v>0</v>
      </c>
      <c r="BG44" s="58">
        <f t="shared" si="85"/>
        <v>0</v>
      </c>
      <c r="BH44" s="49">
        <f t="shared" si="86"/>
        <v>0</v>
      </c>
      <c r="BI44" s="61">
        <f t="shared" si="87"/>
        <v>0</v>
      </c>
      <c r="BK44" s="217">
        <f t="shared" si="71"/>
        <v>0</v>
      </c>
      <c r="BL44" s="213">
        <f t="shared" si="17"/>
        <v>0</v>
      </c>
      <c r="BM44" s="213">
        <f t="shared" si="72"/>
        <v>0</v>
      </c>
      <c r="BN44" s="61">
        <f t="shared" si="88"/>
        <v>0</v>
      </c>
      <c r="BO44" s="58">
        <v>0</v>
      </c>
      <c r="BP44" s="49">
        <f t="shared" si="89"/>
        <v>0</v>
      </c>
      <c r="BQ44" s="61">
        <f t="shared" si="52"/>
        <v>0</v>
      </c>
      <c r="BR44" s="58">
        <f t="shared" si="90"/>
        <v>0</v>
      </c>
      <c r="BS44" s="49">
        <f t="shared" si="91"/>
        <v>0</v>
      </c>
      <c r="BT44" s="61">
        <f t="shared" si="54"/>
        <v>0</v>
      </c>
      <c r="BU44" s="58">
        <f t="shared" si="73"/>
        <v>9.4306973297948807E-3</v>
      </c>
      <c r="BV44" s="49">
        <f t="shared" si="20"/>
        <v>1.0800000000000002E-3</v>
      </c>
      <c r="BW44" s="61">
        <f t="shared" si="74"/>
        <v>6.7499999999999999E-3</v>
      </c>
      <c r="BX44" s="49">
        <f t="shared" si="55"/>
        <v>3.0813254823160285</v>
      </c>
      <c r="BY44" s="49">
        <f t="shared" si="42"/>
        <v>4.059178570641274</v>
      </c>
      <c r="BZ44" s="49">
        <f t="shared" si="92"/>
        <v>82.006532028945742</v>
      </c>
    </row>
    <row r="45" spans="17:78" x14ac:dyDescent="0.4">
      <c r="Q45" s="49">
        <v>38</v>
      </c>
      <c r="R45" s="217">
        <f t="shared" si="56"/>
        <v>19</v>
      </c>
      <c r="S45" s="213">
        <f t="shared" si="1"/>
        <v>15</v>
      </c>
      <c r="T45" s="218">
        <f t="shared" si="57"/>
        <v>1.2666666666666666</v>
      </c>
      <c r="U45" s="217">
        <f t="shared" si="58"/>
        <v>1</v>
      </c>
      <c r="V45" s="213">
        <f t="shared" si="59"/>
        <v>0.87177978870813466</v>
      </c>
      <c r="W45" s="213">
        <f t="shared" si="60"/>
        <v>6.9742383096650776E-2</v>
      </c>
      <c r="X45" s="213">
        <f t="shared" si="22"/>
        <v>5.8477828195214562E-2</v>
      </c>
      <c r="Y45" s="217">
        <f t="shared" si="75"/>
        <v>1.4529663145135581</v>
      </c>
      <c r="Z45" s="213">
        <f t="shared" si="61"/>
        <v>2.9059326290271152</v>
      </c>
      <c r="AA45" s="213">
        <f t="shared" si="24"/>
        <v>2.9059326290271157</v>
      </c>
      <c r="AB45" s="218">
        <f t="shared" si="62"/>
        <v>1.5664924718975788</v>
      </c>
      <c r="AC45" s="217">
        <v>0</v>
      </c>
      <c r="AD45" s="213">
        <f t="shared" si="63"/>
        <v>2.8219834641885551</v>
      </c>
      <c r="AE45" s="218">
        <f t="shared" si="26"/>
        <v>2.8219834641885551</v>
      </c>
      <c r="AF45" s="58">
        <f t="shared" si="64"/>
        <v>0.38</v>
      </c>
      <c r="AG45" s="61">
        <f t="shared" si="65"/>
        <v>0.38</v>
      </c>
      <c r="AH45" s="58">
        <f t="shared" si="66"/>
        <v>0.57666618616026988</v>
      </c>
      <c r="AI45" s="49">
        <f t="shared" si="67"/>
        <v>1.8493548007825319E-2</v>
      </c>
      <c r="AJ45" s="61">
        <f t="shared" si="44"/>
        <v>0.5951597341680952</v>
      </c>
      <c r="AK45" s="217">
        <f t="shared" si="68"/>
        <v>19</v>
      </c>
      <c r="AL45" s="213">
        <f t="shared" si="13"/>
        <v>1500</v>
      </c>
      <c r="AM45" s="218">
        <f t="shared" si="27"/>
        <v>1.2666666666666666E-2</v>
      </c>
      <c r="AN45" s="217">
        <f t="shared" si="76"/>
        <v>2</v>
      </c>
      <c r="AO45" s="213">
        <f t="shared" si="77"/>
        <v>6.9742383096650762E-2</v>
      </c>
      <c r="AP45" s="213">
        <f t="shared" si="78"/>
        <v>0.18162078931419476</v>
      </c>
      <c r="AQ45" s="213">
        <f t="shared" si="79"/>
        <v>0.36324157862838935</v>
      </c>
      <c r="AR45" s="213">
        <f t="shared" si="45"/>
        <v>0.36324157862838946</v>
      </c>
      <c r="AS45" s="218">
        <f t="shared" si="46"/>
        <v>5.5383872477822775E-2</v>
      </c>
      <c r="AT45" s="217"/>
      <c r="AU45" s="213">
        <f t="shared" si="80"/>
        <v>4.3319999999999999E-3</v>
      </c>
      <c r="AV45" s="218">
        <f t="shared" si="47"/>
        <v>4.3319999999999999E-3</v>
      </c>
      <c r="AW45" s="217">
        <f t="shared" si="81"/>
        <v>0</v>
      </c>
      <c r="AX45" s="213">
        <f t="shared" si="82"/>
        <v>1.4566666666666665E-2</v>
      </c>
      <c r="AY45" s="218">
        <f t="shared" si="48"/>
        <v>1.4566666666666665E-2</v>
      </c>
      <c r="AZ45" s="217">
        <f t="shared" si="69"/>
        <v>0</v>
      </c>
      <c r="BA45" s="213">
        <f t="shared" si="70"/>
        <v>0</v>
      </c>
      <c r="BB45" s="213">
        <f t="shared" si="49"/>
        <v>0</v>
      </c>
      <c r="BC45" s="61">
        <f t="shared" si="83"/>
        <v>0</v>
      </c>
      <c r="BD45" s="58">
        <v>0</v>
      </c>
      <c r="BE45" s="49">
        <f t="shared" si="84"/>
        <v>0</v>
      </c>
      <c r="BF45" s="61">
        <f t="shared" si="51"/>
        <v>0</v>
      </c>
      <c r="BG45" s="58">
        <f t="shared" si="85"/>
        <v>0</v>
      </c>
      <c r="BH45" s="49">
        <f t="shared" si="86"/>
        <v>0</v>
      </c>
      <c r="BI45" s="61">
        <f t="shared" si="87"/>
        <v>0</v>
      </c>
      <c r="BK45" s="217">
        <f t="shared" si="71"/>
        <v>0</v>
      </c>
      <c r="BL45" s="213">
        <f t="shared" si="17"/>
        <v>0</v>
      </c>
      <c r="BM45" s="213">
        <f t="shared" si="72"/>
        <v>0</v>
      </c>
      <c r="BN45" s="61">
        <f t="shared" si="88"/>
        <v>0</v>
      </c>
      <c r="BO45" s="58">
        <v>0</v>
      </c>
      <c r="BP45" s="49">
        <f t="shared" si="89"/>
        <v>0</v>
      </c>
      <c r="BQ45" s="61">
        <f t="shared" si="52"/>
        <v>0</v>
      </c>
      <c r="BR45" s="58">
        <f t="shared" si="90"/>
        <v>0</v>
      </c>
      <c r="BS45" s="49">
        <f t="shared" si="91"/>
        <v>0</v>
      </c>
      <c r="BT45" s="61">
        <f t="shared" si="54"/>
        <v>0</v>
      </c>
      <c r="BU45" s="58">
        <f t="shared" si="73"/>
        <v>9.8155946580471467E-3</v>
      </c>
      <c r="BV45" s="49">
        <f t="shared" si="20"/>
        <v>1.0800000000000002E-3</v>
      </c>
      <c r="BW45" s="61">
        <f t="shared" si="74"/>
        <v>6.7499999999999999E-3</v>
      </c>
      <c r="BX45" s="49">
        <f t="shared" si="55"/>
        <v>3.201983464188555</v>
      </c>
      <c r="BY45" s="49">
        <f t="shared" si="42"/>
        <v>4.2136874596813643</v>
      </c>
      <c r="BZ45" s="49">
        <f t="shared" si="92"/>
        <v>81.848263155089441</v>
      </c>
    </row>
    <row r="46" spans="17:78" x14ac:dyDescent="0.4">
      <c r="Q46" s="49">
        <v>39</v>
      </c>
      <c r="R46" s="217">
        <f t="shared" si="56"/>
        <v>19.5</v>
      </c>
      <c r="S46" s="213">
        <f t="shared" si="1"/>
        <v>15</v>
      </c>
      <c r="T46" s="218">
        <f t="shared" si="57"/>
        <v>1.3</v>
      </c>
      <c r="U46" s="217">
        <f t="shared" si="58"/>
        <v>1</v>
      </c>
      <c r="V46" s="213">
        <f t="shared" si="59"/>
        <v>0.88317608663278468</v>
      </c>
      <c r="W46" s="213">
        <f t="shared" si="60"/>
        <v>7.0654086930622778E-2</v>
      </c>
      <c r="X46" s="213">
        <f t="shared" si="22"/>
        <v>4.6169826436592537E-2</v>
      </c>
      <c r="Y46" s="217">
        <f t="shared" si="75"/>
        <v>1.4719601443879746</v>
      </c>
      <c r="Z46" s="213">
        <f t="shared" si="61"/>
        <v>2.9439202887759488</v>
      </c>
      <c r="AA46" s="213">
        <f t="shared" si="24"/>
        <v>2.9439202887759492</v>
      </c>
      <c r="AB46" s="218">
        <f t="shared" si="62"/>
        <v>1.5973094827258187</v>
      </c>
      <c r="AC46" s="217">
        <v>0</v>
      </c>
      <c r="AD46" s="213">
        <f t="shared" si="63"/>
        <v>2.9341072211466961</v>
      </c>
      <c r="AE46" s="218">
        <f t="shared" si="26"/>
        <v>2.9341072211466961</v>
      </c>
      <c r="AF46" s="58">
        <f t="shared" si="64"/>
        <v>0.39</v>
      </c>
      <c r="AG46" s="61">
        <f t="shared" si="65"/>
        <v>0.39</v>
      </c>
      <c r="AH46" s="58">
        <f t="shared" si="66"/>
        <v>0.59957843214736828</v>
      </c>
      <c r="AI46" s="49">
        <f t="shared" si="67"/>
        <v>1.8735303994269221E-2</v>
      </c>
      <c r="AJ46" s="61">
        <f t="shared" si="44"/>
        <v>0.61831373614163754</v>
      </c>
      <c r="AK46" s="217">
        <f t="shared" si="68"/>
        <v>19.5</v>
      </c>
      <c r="AL46" s="213">
        <f t="shared" si="13"/>
        <v>1500</v>
      </c>
      <c r="AM46" s="218">
        <f t="shared" si="27"/>
        <v>1.2999999999999999E-2</v>
      </c>
      <c r="AN46" s="217">
        <f t="shared" si="76"/>
        <v>2</v>
      </c>
      <c r="AO46" s="213">
        <f t="shared" si="77"/>
        <v>7.0654086930622764E-2</v>
      </c>
      <c r="AP46" s="213">
        <f t="shared" si="78"/>
        <v>0.18399501804849683</v>
      </c>
      <c r="AQ46" s="213">
        <f t="shared" si="79"/>
        <v>0.36799003609699354</v>
      </c>
      <c r="AR46" s="213">
        <f t="shared" si="45"/>
        <v>0.3679900360969936</v>
      </c>
      <c r="AS46" s="218">
        <f t="shared" si="46"/>
        <v>5.6473418344450146E-2</v>
      </c>
      <c r="AT46" s="217"/>
      <c r="AU46" s="213">
        <f t="shared" si="80"/>
        <v>4.5629999999999993E-3</v>
      </c>
      <c r="AV46" s="218">
        <f t="shared" si="47"/>
        <v>4.5629999999999993E-3</v>
      </c>
      <c r="AW46" s="217">
        <f t="shared" si="81"/>
        <v>0</v>
      </c>
      <c r="AX46" s="213">
        <f t="shared" si="82"/>
        <v>1.4949999999999998E-2</v>
      </c>
      <c r="AY46" s="218">
        <f t="shared" si="48"/>
        <v>1.4949999999999998E-2</v>
      </c>
      <c r="AZ46" s="217">
        <f t="shared" si="69"/>
        <v>0</v>
      </c>
      <c r="BA46" s="213">
        <f t="shared" si="70"/>
        <v>0</v>
      </c>
      <c r="BB46" s="213">
        <f t="shared" si="49"/>
        <v>0</v>
      </c>
      <c r="BC46" s="61">
        <f t="shared" si="83"/>
        <v>0</v>
      </c>
      <c r="BD46" s="58">
        <v>0</v>
      </c>
      <c r="BE46" s="49">
        <f t="shared" si="84"/>
        <v>0</v>
      </c>
      <c r="BF46" s="61">
        <f t="shared" si="51"/>
        <v>0</v>
      </c>
      <c r="BG46" s="58">
        <f t="shared" si="85"/>
        <v>0</v>
      </c>
      <c r="BH46" s="49">
        <f t="shared" si="86"/>
        <v>0</v>
      </c>
      <c r="BI46" s="61">
        <f t="shared" si="87"/>
        <v>0</v>
      </c>
      <c r="BK46" s="217">
        <f t="shared" si="71"/>
        <v>0</v>
      </c>
      <c r="BL46" s="213">
        <f t="shared" si="17"/>
        <v>0</v>
      </c>
      <c r="BM46" s="213">
        <f t="shared" si="72"/>
        <v>0</v>
      </c>
      <c r="BN46" s="61">
        <f t="shared" si="88"/>
        <v>0</v>
      </c>
      <c r="BO46" s="58">
        <v>0</v>
      </c>
      <c r="BP46" s="49">
        <f t="shared" si="89"/>
        <v>0</v>
      </c>
      <c r="BQ46" s="61">
        <f t="shared" si="52"/>
        <v>0</v>
      </c>
      <c r="BR46" s="58">
        <f t="shared" si="90"/>
        <v>0</v>
      </c>
      <c r="BS46" s="49">
        <f t="shared" si="91"/>
        <v>0</v>
      </c>
      <c r="BT46" s="61">
        <f t="shared" si="54"/>
        <v>0</v>
      </c>
      <c r="BU46" s="58">
        <f t="shared" si="73"/>
        <v>1.020559033442329E-2</v>
      </c>
      <c r="BV46" s="49">
        <f t="shared" si="20"/>
        <v>1.0800000000000002E-3</v>
      </c>
      <c r="BW46" s="61">
        <f t="shared" si="74"/>
        <v>6.7499999999999999E-3</v>
      </c>
      <c r="BX46" s="49">
        <f t="shared" si="55"/>
        <v>3.3241072211466962</v>
      </c>
      <c r="BY46" s="49">
        <f t="shared" si="42"/>
        <v>4.3699695476227571</v>
      </c>
      <c r="BZ46" s="49">
        <f t="shared" si="92"/>
        <v>81.692605267450077</v>
      </c>
    </row>
    <row r="47" spans="17:78" x14ac:dyDescent="0.4">
      <c r="Q47" s="49">
        <v>40</v>
      </c>
      <c r="R47" s="217">
        <f t="shared" si="56"/>
        <v>20</v>
      </c>
      <c r="S47" s="213">
        <f t="shared" si="1"/>
        <v>15</v>
      </c>
      <c r="T47" s="218">
        <f t="shared" si="57"/>
        <v>1.3333333333333333</v>
      </c>
      <c r="U47" s="217">
        <f t="shared" si="58"/>
        <v>1</v>
      </c>
      <c r="V47" s="213">
        <f t="shared" si="59"/>
        <v>0.89442719099991586</v>
      </c>
      <c r="W47" s="213">
        <f t="shared" si="60"/>
        <v>7.1554175279993262E-2</v>
      </c>
      <c r="X47" s="213">
        <f t="shared" si="22"/>
        <v>3.4018633720090882E-2</v>
      </c>
      <c r="Y47" s="217">
        <f t="shared" si="75"/>
        <v>1.49071198499986</v>
      </c>
      <c r="Z47" s="213">
        <f t="shared" si="61"/>
        <v>2.9814239699997191</v>
      </c>
      <c r="AA47" s="213">
        <f t="shared" si="24"/>
        <v>2.9814239699997196</v>
      </c>
      <c r="AB47" s="218">
        <f t="shared" si="62"/>
        <v>1.627929556215425</v>
      </c>
      <c r="AC47" s="217">
        <v>0</v>
      </c>
      <c r="AD47" s="213">
        <f t="shared" si="63"/>
        <v>3.0476778359997136</v>
      </c>
      <c r="AE47" s="218">
        <f t="shared" si="26"/>
        <v>3.0476778359997136</v>
      </c>
      <c r="AF47" s="58">
        <f t="shared" si="64"/>
        <v>0.4</v>
      </c>
      <c r="AG47" s="61">
        <f t="shared" si="65"/>
        <v>0.4</v>
      </c>
      <c r="AH47" s="58">
        <f t="shared" si="66"/>
        <v>0.62278634039994141</v>
      </c>
      <c r="AI47" s="49">
        <f t="shared" si="67"/>
        <v>1.8973979909276305E-2</v>
      </c>
      <c r="AJ47" s="61">
        <f t="shared" si="44"/>
        <v>0.6417603203092177</v>
      </c>
      <c r="AK47" s="217">
        <f t="shared" si="68"/>
        <v>20</v>
      </c>
      <c r="AL47" s="213">
        <f t="shared" si="13"/>
        <v>1500</v>
      </c>
      <c r="AM47" s="218">
        <f t="shared" si="27"/>
        <v>1.3333333333333334E-2</v>
      </c>
      <c r="AN47" s="217">
        <f t="shared" si="76"/>
        <v>2</v>
      </c>
      <c r="AO47" s="213">
        <f t="shared" si="77"/>
        <v>7.1554175279993262E-2</v>
      </c>
      <c r="AP47" s="213">
        <f t="shared" si="78"/>
        <v>0.1863389981249825</v>
      </c>
      <c r="AQ47" s="213">
        <f t="shared" si="79"/>
        <v>0.37267799624996489</v>
      </c>
      <c r="AR47" s="213">
        <f t="shared" si="45"/>
        <v>0.37267799624996495</v>
      </c>
      <c r="AS47" s="218">
        <f t="shared" si="46"/>
        <v>5.7556001424696704E-2</v>
      </c>
      <c r="AT47" s="217"/>
      <c r="AU47" s="213">
        <f t="shared" si="80"/>
        <v>4.8000000000000013E-3</v>
      </c>
      <c r="AV47" s="218">
        <f t="shared" si="47"/>
        <v>4.8000000000000013E-3</v>
      </c>
      <c r="AW47" s="217">
        <f t="shared" si="81"/>
        <v>0</v>
      </c>
      <c r="AX47" s="213">
        <f t="shared" si="82"/>
        <v>1.5333333333333332E-2</v>
      </c>
      <c r="AY47" s="218">
        <f t="shared" si="48"/>
        <v>1.5333333333333332E-2</v>
      </c>
      <c r="AZ47" s="217">
        <f t="shared" si="69"/>
        <v>0</v>
      </c>
      <c r="BA47" s="213">
        <f t="shared" si="70"/>
        <v>0</v>
      </c>
      <c r="BB47" s="213">
        <f t="shared" si="49"/>
        <v>0</v>
      </c>
      <c r="BC47" s="61">
        <f t="shared" si="83"/>
        <v>0</v>
      </c>
      <c r="BD47" s="58">
        <v>0</v>
      </c>
      <c r="BE47" s="49">
        <f t="shared" si="84"/>
        <v>0</v>
      </c>
      <c r="BF47" s="61">
        <f t="shared" si="51"/>
        <v>0</v>
      </c>
      <c r="BG47" s="58">
        <f t="shared" si="85"/>
        <v>0</v>
      </c>
      <c r="BH47" s="49">
        <f t="shared" si="86"/>
        <v>0</v>
      </c>
      <c r="BI47" s="61">
        <f t="shared" si="87"/>
        <v>0</v>
      </c>
      <c r="BK47" s="217">
        <f t="shared" si="71"/>
        <v>0</v>
      </c>
      <c r="BL47" s="213">
        <f t="shared" si="17"/>
        <v>0</v>
      </c>
      <c r="BM47" s="213">
        <f t="shared" si="72"/>
        <v>0</v>
      </c>
      <c r="BN47" s="61">
        <f t="shared" si="88"/>
        <v>0</v>
      </c>
      <c r="BO47" s="58">
        <v>0</v>
      </c>
      <c r="BP47" s="49">
        <f t="shared" si="89"/>
        <v>0</v>
      </c>
      <c r="BQ47" s="61">
        <f t="shared" si="52"/>
        <v>0</v>
      </c>
      <c r="BR47" s="58">
        <f t="shared" si="90"/>
        <v>0</v>
      </c>
      <c r="BS47" s="49">
        <f t="shared" si="91"/>
        <v>0</v>
      </c>
      <c r="BT47" s="61">
        <f t="shared" si="54"/>
        <v>0</v>
      </c>
      <c r="BU47" s="58">
        <f t="shared" si="73"/>
        <v>1.0600618559999003E-2</v>
      </c>
      <c r="BV47" s="49">
        <f t="shared" si="20"/>
        <v>1.0800000000000002E-3</v>
      </c>
      <c r="BW47" s="61">
        <f t="shared" si="74"/>
        <v>6.7499999999999999E-3</v>
      </c>
      <c r="BX47" s="49">
        <f t="shared" si="55"/>
        <v>3.4476778359997136</v>
      </c>
      <c r="BY47" s="49">
        <f t="shared" si="42"/>
        <v>4.5280021082022639</v>
      </c>
      <c r="BZ47" s="49">
        <f t="shared" si="92"/>
        <v>81.53945809272382</v>
      </c>
    </row>
    <row r="48" spans="17:78" x14ac:dyDescent="0.4">
      <c r="Q48" s="49">
        <v>41</v>
      </c>
      <c r="R48" s="217">
        <f t="shared" si="56"/>
        <v>20.5</v>
      </c>
      <c r="S48" s="213">
        <f t="shared" si="1"/>
        <v>15</v>
      </c>
      <c r="T48" s="218">
        <f t="shared" si="57"/>
        <v>1.3666666666666667</v>
      </c>
      <c r="U48" s="217">
        <f t="shared" si="58"/>
        <v>1</v>
      </c>
      <c r="V48" s="213">
        <f t="shared" si="59"/>
        <v>0.90553851381374162</v>
      </c>
      <c r="W48" s="213">
        <f t="shared" si="60"/>
        <v>7.2443081105099325E-2</v>
      </c>
      <c r="X48" s="213">
        <f t="shared" si="22"/>
        <v>2.2018405081159056E-2</v>
      </c>
      <c r="Y48" s="217">
        <f t="shared" si="75"/>
        <v>1.5092308563562362</v>
      </c>
      <c r="Z48" s="213">
        <f t="shared" si="61"/>
        <v>3.018461712712472</v>
      </c>
      <c r="AA48" s="213">
        <f t="shared" si="24"/>
        <v>3.0184617127124724</v>
      </c>
      <c r="AB48" s="218">
        <f t="shared" si="62"/>
        <v>1.6583588287568551</v>
      </c>
      <c r="AC48" s="217">
        <v>0</v>
      </c>
      <c r="AD48" s="213">
        <f t="shared" si="63"/>
        <v>3.1626771056531799</v>
      </c>
      <c r="AE48" s="218">
        <f t="shared" si="26"/>
        <v>3.1626771056531799</v>
      </c>
      <c r="AF48" s="58">
        <f t="shared" si="64"/>
        <v>0.41000000000000003</v>
      </c>
      <c r="AG48" s="61">
        <f t="shared" si="65"/>
        <v>0.41000000000000003</v>
      </c>
      <c r="AH48" s="58">
        <f t="shared" si="66"/>
        <v>0.64628619115521502</v>
      </c>
      <c r="AI48" s="49">
        <f t="shared" si="67"/>
        <v>1.9209690560692574E-2</v>
      </c>
      <c r="AJ48" s="61">
        <f t="shared" si="44"/>
        <v>0.66549588171590757</v>
      </c>
      <c r="AK48" s="217">
        <f t="shared" si="68"/>
        <v>20.5</v>
      </c>
      <c r="AL48" s="213">
        <f t="shared" si="13"/>
        <v>1500</v>
      </c>
      <c r="AM48" s="218">
        <f t="shared" si="27"/>
        <v>1.3666666666666667E-2</v>
      </c>
      <c r="AN48" s="217">
        <f t="shared" si="76"/>
        <v>2</v>
      </c>
      <c r="AO48" s="213">
        <f t="shared" si="77"/>
        <v>7.2443081105099325E-2</v>
      </c>
      <c r="AP48" s="213">
        <f t="shared" si="78"/>
        <v>0.18865385704452953</v>
      </c>
      <c r="AQ48" s="213">
        <f t="shared" si="79"/>
        <v>0.377307714089059</v>
      </c>
      <c r="AR48" s="213">
        <f t="shared" si="45"/>
        <v>0.37730771408905905</v>
      </c>
      <c r="AS48" s="218">
        <f t="shared" si="46"/>
        <v>5.8631838672727643E-2</v>
      </c>
      <c r="AT48" s="217"/>
      <c r="AU48" s="213">
        <f t="shared" si="80"/>
        <v>5.0430000000000006E-3</v>
      </c>
      <c r="AV48" s="218">
        <f t="shared" si="47"/>
        <v>5.0430000000000006E-3</v>
      </c>
      <c r="AW48" s="217">
        <f t="shared" si="81"/>
        <v>0</v>
      </c>
      <c r="AX48" s="213">
        <f t="shared" si="82"/>
        <v>1.5716666666666667E-2</v>
      </c>
      <c r="AY48" s="218">
        <f t="shared" si="48"/>
        <v>1.5716666666666667E-2</v>
      </c>
      <c r="AZ48" s="217">
        <f t="shared" si="69"/>
        <v>0</v>
      </c>
      <c r="BA48" s="213">
        <f t="shared" si="70"/>
        <v>0</v>
      </c>
      <c r="BB48" s="213">
        <f t="shared" si="49"/>
        <v>0</v>
      </c>
      <c r="BC48" s="61">
        <f t="shared" si="83"/>
        <v>0</v>
      </c>
      <c r="BD48" s="58">
        <v>0</v>
      </c>
      <c r="BE48" s="49">
        <f t="shared" si="84"/>
        <v>0</v>
      </c>
      <c r="BF48" s="61">
        <f t="shared" si="51"/>
        <v>0</v>
      </c>
      <c r="BG48" s="58">
        <f t="shared" si="85"/>
        <v>0</v>
      </c>
      <c r="BH48" s="49">
        <f t="shared" si="86"/>
        <v>0</v>
      </c>
      <c r="BI48" s="61">
        <f t="shared" si="87"/>
        <v>0</v>
      </c>
      <c r="BK48" s="217">
        <f t="shared" si="71"/>
        <v>0</v>
      </c>
      <c r="BL48" s="213">
        <f t="shared" si="17"/>
        <v>0</v>
      </c>
      <c r="BM48" s="213">
        <f t="shared" si="72"/>
        <v>0</v>
      </c>
      <c r="BN48" s="61">
        <f t="shared" si="88"/>
        <v>0</v>
      </c>
      <c r="BO48" s="58">
        <v>0</v>
      </c>
      <c r="BP48" s="49">
        <f t="shared" si="89"/>
        <v>0</v>
      </c>
      <c r="BQ48" s="61">
        <f t="shared" si="52"/>
        <v>0</v>
      </c>
      <c r="BR48" s="58">
        <f t="shared" si="90"/>
        <v>0</v>
      </c>
      <c r="BS48" s="49">
        <f t="shared" si="91"/>
        <v>0</v>
      </c>
      <c r="BT48" s="61">
        <f t="shared" si="54"/>
        <v>0</v>
      </c>
      <c r="BU48" s="58">
        <f t="shared" si="73"/>
        <v>1.1000616019663234E-2</v>
      </c>
      <c r="BV48" s="49">
        <f t="shared" si="20"/>
        <v>1.0800000000000002E-3</v>
      </c>
      <c r="BW48" s="61">
        <f t="shared" si="74"/>
        <v>6.7499999999999999E-3</v>
      </c>
      <c r="BX48" s="49">
        <f t="shared" si="55"/>
        <v>3.5726771056531801</v>
      </c>
      <c r="BY48" s="49">
        <f t="shared" si="42"/>
        <v>4.6877632700554175</v>
      </c>
      <c r="BZ48" s="49">
        <f t="shared" si="92"/>
        <v>81.388727455492301</v>
      </c>
    </row>
    <row r="49" spans="17:78" x14ac:dyDescent="0.4">
      <c r="Q49" s="49">
        <v>42</v>
      </c>
      <c r="R49" s="217">
        <f t="shared" si="56"/>
        <v>21</v>
      </c>
      <c r="S49" s="213">
        <f t="shared" si="1"/>
        <v>15</v>
      </c>
      <c r="T49" s="218">
        <f t="shared" si="57"/>
        <v>1.4</v>
      </c>
      <c r="U49" s="217">
        <f t="shared" si="58"/>
        <v>1</v>
      </c>
      <c r="V49" s="213">
        <f t="shared" si="59"/>
        <v>0.91651513899116788</v>
      </c>
      <c r="W49" s="213">
        <f t="shared" si="60"/>
        <v>7.3321211119293433E-2</v>
      </c>
      <c r="X49" s="213">
        <f t="shared" si="22"/>
        <v>1.016364988953869E-2</v>
      </c>
      <c r="Y49" s="217">
        <f t="shared" si="75"/>
        <v>1.5275252316519468</v>
      </c>
      <c r="Z49" s="213">
        <f t="shared" si="61"/>
        <v>3.0550504633038931</v>
      </c>
      <c r="AA49" s="213">
        <f t="shared" si="24"/>
        <v>3.0550504633038935</v>
      </c>
      <c r="AB49" s="218">
        <f t="shared" si="62"/>
        <v>1.6886031009141746</v>
      </c>
      <c r="AC49" s="217">
        <v>0</v>
      </c>
      <c r="AD49" s="213">
        <f t="shared" si="63"/>
        <v>3.2790874972795119</v>
      </c>
      <c r="AE49" s="218">
        <f t="shared" si="26"/>
        <v>3.2790874972795119</v>
      </c>
      <c r="AF49" s="58">
        <f t="shared" si="64"/>
        <v>0.42</v>
      </c>
      <c r="AG49" s="61">
        <f t="shared" si="65"/>
        <v>0.42</v>
      </c>
      <c r="AH49" s="58">
        <f t="shared" si="66"/>
        <v>0.67007440161798715</v>
      </c>
      <c r="AI49" s="49">
        <f t="shared" si="67"/>
        <v>1.9442543796466084E-2</v>
      </c>
      <c r="AJ49" s="61">
        <f t="shared" si="44"/>
        <v>0.68951694541445319</v>
      </c>
      <c r="AK49" s="217">
        <f t="shared" si="68"/>
        <v>21</v>
      </c>
      <c r="AL49" s="213">
        <f t="shared" si="13"/>
        <v>1500</v>
      </c>
      <c r="AM49" s="218">
        <f t="shared" si="27"/>
        <v>1.4E-2</v>
      </c>
      <c r="AN49" s="217">
        <f t="shared" si="76"/>
        <v>2</v>
      </c>
      <c r="AO49" s="213">
        <f t="shared" si="77"/>
        <v>7.3321211119293433E-2</v>
      </c>
      <c r="AP49" s="213">
        <f t="shared" si="78"/>
        <v>0.19094065395649334</v>
      </c>
      <c r="AQ49" s="213">
        <f t="shared" si="79"/>
        <v>0.38188130791298663</v>
      </c>
      <c r="AR49" s="213">
        <f t="shared" si="45"/>
        <v>0.38188130791298669</v>
      </c>
      <c r="AS49" s="218">
        <f t="shared" si="46"/>
        <v>5.9701135169452246E-2</v>
      </c>
      <c r="AT49" s="217"/>
      <c r="AU49" s="213">
        <f t="shared" si="80"/>
        <v>5.2920000000000007E-3</v>
      </c>
      <c r="AV49" s="218">
        <f t="shared" si="47"/>
        <v>5.2920000000000007E-3</v>
      </c>
      <c r="AW49" s="217">
        <f t="shared" si="81"/>
        <v>0</v>
      </c>
      <c r="AX49" s="213">
        <f t="shared" si="82"/>
        <v>1.61E-2</v>
      </c>
      <c r="AY49" s="218">
        <f t="shared" si="48"/>
        <v>1.61E-2</v>
      </c>
      <c r="AZ49" s="217">
        <f t="shared" si="69"/>
        <v>0</v>
      </c>
      <c r="BA49" s="213">
        <f t="shared" si="70"/>
        <v>0</v>
      </c>
      <c r="BB49" s="213">
        <f t="shared" si="49"/>
        <v>0</v>
      </c>
      <c r="BC49" s="61">
        <f t="shared" si="83"/>
        <v>0</v>
      </c>
      <c r="BD49" s="58">
        <v>0</v>
      </c>
      <c r="BE49" s="49">
        <f t="shared" si="84"/>
        <v>0</v>
      </c>
      <c r="BF49" s="61">
        <f t="shared" si="51"/>
        <v>0</v>
      </c>
      <c r="BG49" s="58">
        <f t="shared" si="85"/>
        <v>0</v>
      </c>
      <c r="BH49" s="49">
        <f t="shared" si="86"/>
        <v>0</v>
      </c>
      <c r="BI49" s="61">
        <f t="shared" si="87"/>
        <v>0</v>
      </c>
      <c r="BK49" s="217">
        <f t="shared" si="71"/>
        <v>0</v>
      </c>
      <c r="BL49" s="213">
        <f t="shared" si="17"/>
        <v>0</v>
      </c>
      <c r="BM49" s="213">
        <f t="shared" si="72"/>
        <v>0</v>
      </c>
      <c r="BN49" s="61">
        <f t="shared" si="88"/>
        <v>0</v>
      </c>
      <c r="BO49" s="58">
        <v>0</v>
      </c>
      <c r="BP49" s="49">
        <f t="shared" si="89"/>
        <v>0</v>
      </c>
      <c r="BQ49" s="61">
        <f t="shared" si="52"/>
        <v>0</v>
      </c>
      <c r="BR49" s="58">
        <f t="shared" si="90"/>
        <v>0</v>
      </c>
      <c r="BS49" s="49">
        <f t="shared" si="91"/>
        <v>0</v>
      </c>
      <c r="BT49" s="61">
        <f t="shared" si="54"/>
        <v>0</v>
      </c>
      <c r="BU49" s="58">
        <f t="shared" si="73"/>
        <v>1.1405521729667866E-2</v>
      </c>
      <c r="BV49" s="49">
        <f t="shared" si="20"/>
        <v>1.0800000000000002E-3</v>
      </c>
      <c r="BW49" s="61">
        <f t="shared" si="74"/>
        <v>6.7499999999999999E-3</v>
      </c>
      <c r="BX49" s="49">
        <f t="shared" si="55"/>
        <v>3.6990874972795118</v>
      </c>
      <c r="BY49" s="49">
        <f t="shared" si="42"/>
        <v>4.849231964423633</v>
      </c>
      <c r="BZ49" s="49">
        <f t="shared" si="92"/>
        <v>81.240324776002453</v>
      </c>
    </row>
    <row r="50" spans="17:78" x14ac:dyDescent="0.4">
      <c r="Q50" s="49">
        <v>43</v>
      </c>
      <c r="R50" s="217">
        <f t="shared" si="56"/>
        <v>21.5</v>
      </c>
      <c r="S50" s="213">
        <f t="shared" si="1"/>
        <v>15</v>
      </c>
      <c r="T50" s="218">
        <f t="shared" si="57"/>
        <v>1.4333333333333333</v>
      </c>
      <c r="U50" s="217">
        <f t="shared" si="58"/>
        <v>2</v>
      </c>
      <c r="V50" s="213">
        <f t="shared" si="59"/>
        <v>0.92592592592592593</v>
      </c>
      <c r="W50" s="213">
        <f t="shared" si="60"/>
        <v>7.407407407407407E-2</v>
      </c>
      <c r="X50" s="213">
        <f t="shared" si="22"/>
        <v>0</v>
      </c>
      <c r="Y50" s="217">
        <f t="shared" si="75"/>
        <v>1.548</v>
      </c>
      <c r="Z50" s="213">
        <f t="shared" si="61"/>
        <v>3.0864197530864197</v>
      </c>
      <c r="AA50" s="213">
        <f t="shared" si="24"/>
        <v>3.0912098765432097</v>
      </c>
      <c r="AB50" s="218">
        <f t="shared" si="62"/>
        <v>1.7186709553595336</v>
      </c>
      <c r="AC50" s="217">
        <v>0</v>
      </c>
      <c r="AD50" s="213">
        <f t="shared" si="63"/>
        <v>3.3969043307159201</v>
      </c>
      <c r="AE50" s="218">
        <f t="shared" si="26"/>
        <v>3.3969043307159201</v>
      </c>
      <c r="AF50" s="58">
        <f t="shared" si="64"/>
        <v>0.43</v>
      </c>
      <c r="AG50" s="61">
        <f t="shared" si="65"/>
        <v>0.43</v>
      </c>
      <c r="AH50" s="58">
        <f t="shared" si="66"/>
        <v>0.69415001540716625</v>
      </c>
      <c r="AI50" s="49">
        <f t="shared" si="67"/>
        <v>1.9703149364270041E-2</v>
      </c>
      <c r="AJ50" s="61">
        <f t="shared" si="44"/>
        <v>0.71385316477143634</v>
      </c>
      <c r="AK50" s="217">
        <f t="shared" si="68"/>
        <v>21.5</v>
      </c>
      <c r="AL50" s="213">
        <f t="shared" si="13"/>
        <v>1500</v>
      </c>
      <c r="AM50" s="218">
        <f t="shared" si="27"/>
        <v>1.4333333333333333E-2</v>
      </c>
      <c r="AN50" s="217">
        <f t="shared" si="76"/>
        <v>2</v>
      </c>
      <c r="AO50" s="213">
        <f t="shared" si="77"/>
        <v>7.4074074074074056E-2</v>
      </c>
      <c r="AP50" s="213">
        <f t="shared" si="78"/>
        <v>0.19350000000000003</v>
      </c>
      <c r="AQ50" s="213">
        <f t="shared" si="79"/>
        <v>0.38580246913580241</v>
      </c>
      <c r="AR50" s="213">
        <f t="shared" si="45"/>
        <v>0.38640123456790121</v>
      </c>
      <c r="AS50" s="218">
        <f t="shared" si="46"/>
        <v>6.0764194358154409E-2</v>
      </c>
      <c r="AT50" s="217"/>
      <c r="AU50" s="213">
        <f t="shared" si="80"/>
        <v>5.5470000000000007E-3</v>
      </c>
      <c r="AV50" s="218">
        <f t="shared" si="47"/>
        <v>5.5470000000000007E-3</v>
      </c>
      <c r="AW50" s="217">
        <f t="shared" si="81"/>
        <v>0</v>
      </c>
      <c r="AX50" s="213">
        <f t="shared" si="82"/>
        <v>1.6483333333333332E-2</v>
      </c>
      <c r="AY50" s="218">
        <f t="shared" si="48"/>
        <v>1.6483333333333332E-2</v>
      </c>
      <c r="AZ50" s="217">
        <f t="shared" si="69"/>
        <v>0</v>
      </c>
      <c r="BA50" s="213">
        <f t="shared" si="70"/>
        <v>0</v>
      </c>
      <c r="BB50" s="213">
        <f t="shared" si="49"/>
        <v>0</v>
      </c>
      <c r="BC50" s="61">
        <f t="shared" si="83"/>
        <v>0</v>
      </c>
      <c r="BD50" s="58">
        <v>0</v>
      </c>
      <c r="BE50" s="49">
        <f t="shared" si="84"/>
        <v>0</v>
      </c>
      <c r="BF50" s="61">
        <f t="shared" si="51"/>
        <v>0</v>
      </c>
      <c r="BG50" s="58">
        <f t="shared" si="85"/>
        <v>0</v>
      </c>
      <c r="BH50" s="49">
        <f t="shared" si="86"/>
        <v>0</v>
      </c>
      <c r="BI50" s="61">
        <f t="shared" si="87"/>
        <v>0</v>
      </c>
      <c r="BK50" s="217">
        <f t="shared" si="71"/>
        <v>0</v>
      </c>
      <c r="BL50" s="213">
        <f t="shared" si="17"/>
        <v>0</v>
      </c>
      <c r="BM50" s="213">
        <f t="shared" si="72"/>
        <v>0</v>
      </c>
      <c r="BN50" s="61">
        <f t="shared" si="88"/>
        <v>0</v>
      </c>
      <c r="BO50" s="58">
        <v>0</v>
      </c>
      <c r="BP50" s="49">
        <f t="shared" si="89"/>
        <v>0</v>
      </c>
      <c r="BQ50" s="61">
        <f t="shared" si="52"/>
        <v>0</v>
      </c>
      <c r="BR50" s="58">
        <f t="shared" si="90"/>
        <v>0</v>
      </c>
      <c r="BS50" s="49">
        <f t="shared" si="91"/>
        <v>0</v>
      </c>
      <c r="BT50" s="61">
        <f t="shared" si="54"/>
        <v>0</v>
      </c>
      <c r="BU50" s="58">
        <f t="shared" si="73"/>
        <v>1.1815319411185809E-2</v>
      </c>
      <c r="BV50" s="49">
        <f t="shared" si="20"/>
        <v>1.0800000000000002E-3</v>
      </c>
      <c r="BW50" s="61">
        <f t="shared" si="74"/>
        <v>6.7499999999999999E-3</v>
      </c>
      <c r="BX50" s="49">
        <f t="shared" si="55"/>
        <v>3.8269043307159203</v>
      </c>
      <c r="BY50" s="49">
        <f t="shared" si="42"/>
        <v>5.0124331482318754</v>
      </c>
      <c r="BZ50" s="49">
        <f t="shared" si="92"/>
        <v>81.094028148200508</v>
      </c>
    </row>
    <row r="51" spans="17:78" x14ac:dyDescent="0.4">
      <c r="Q51" s="49">
        <v>44</v>
      </c>
      <c r="R51" s="217">
        <f t="shared" si="56"/>
        <v>22</v>
      </c>
      <c r="S51" s="213">
        <f t="shared" si="1"/>
        <v>15</v>
      </c>
      <c r="T51" s="218">
        <f t="shared" si="57"/>
        <v>1.4666666666666666</v>
      </c>
      <c r="U51" s="217">
        <f t="shared" si="58"/>
        <v>2</v>
      </c>
      <c r="V51" s="213">
        <f t="shared" si="59"/>
        <v>0.92592592592592593</v>
      </c>
      <c r="W51" s="213">
        <f t="shared" si="60"/>
        <v>7.407407407407407E-2</v>
      </c>
      <c r="X51" s="213">
        <f t="shared" si="22"/>
        <v>0</v>
      </c>
      <c r="Y51" s="217">
        <f t="shared" si="75"/>
        <v>1.5839999999999999</v>
      </c>
      <c r="Z51" s="213">
        <f t="shared" si="61"/>
        <v>3.0864197530864197</v>
      </c>
      <c r="AA51" s="213">
        <f t="shared" si="24"/>
        <v>3.1272098765432097</v>
      </c>
      <c r="AB51" s="218">
        <f t="shared" si="62"/>
        <v>1.7487795323586253</v>
      </c>
      <c r="AC51" s="217">
        <v>0</v>
      </c>
      <c r="AD51" s="213">
        <f t="shared" si="63"/>
        <v>3.5169643307159202</v>
      </c>
      <c r="AE51" s="218">
        <f t="shared" si="26"/>
        <v>3.5169643307159202</v>
      </c>
      <c r="AF51" s="58">
        <f t="shared" si="64"/>
        <v>0.44</v>
      </c>
      <c r="AG51" s="61">
        <f t="shared" si="65"/>
        <v>0.44</v>
      </c>
      <c r="AH51" s="58">
        <f t="shared" si="66"/>
        <v>0.71868401540716631</v>
      </c>
      <c r="AI51" s="49">
        <f t="shared" si="67"/>
        <v>2.0161362140183294E-2</v>
      </c>
      <c r="AJ51" s="61">
        <f t="shared" si="44"/>
        <v>0.73884537754734958</v>
      </c>
      <c r="AK51" s="217">
        <f t="shared" si="68"/>
        <v>22</v>
      </c>
      <c r="AL51" s="213">
        <f t="shared" si="13"/>
        <v>1500</v>
      </c>
      <c r="AM51" s="218">
        <f t="shared" si="27"/>
        <v>1.4666666666666666E-2</v>
      </c>
      <c r="AN51" s="217">
        <f t="shared" si="76"/>
        <v>2</v>
      </c>
      <c r="AO51" s="213">
        <f t="shared" si="77"/>
        <v>7.4074074074074084E-2</v>
      </c>
      <c r="AP51" s="213">
        <f t="shared" si="78"/>
        <v>0.19799999999999998</v>
      </c>
      <c r="AQ51" s="213">
        <f t="shared" si="79"/>
        <v>0.38580246913580252</v>
      </c>
      <c r="AR51" s="213">
        <f t="shared" si="45"/>
        <v>0.39090123456790127</v>
      </c>
      <c r="AS51" s="218">
        <f t="shared" si="46"/>
        <v>6.1828693306551191E-2</v>
      </c>
      <c r="AT51" s="217"/>
      <c r="AU51" s="213">
        <f t="shared" si="80"/>
        <v>5.8079999999999998E-3</v>
      </c>
      <c r="AV51" s="218">
        <f t="shared" si="47"/>
        <v>5.8079999999999998E-3</v>
      </c>
      <c r="AW51" s="217">
        <f t="shared" si="81"/>
        <v>0</v>
      </c>
      <c r="AX51" s="213">
        <f t="shared" si="82"/>
        <v>1.6866666666666665E-2</v>
      </c>
      <c r="AY51" s="218">
        <f t="shared" si="48"/>
        <v>1.6866666666666665E-2</v>
      </c>
      <c r="AZ51" s="217">
        <f t="shared" si="69"/>
        <v>0</v>
      </c>
      <c r="BA51" s="213">
        <f t="shared" si="70"/>
        <v>0</v>
      </c>
      <c r="BB51" s="213">
        <f t="shared" si="49"/>
        <v>0</v>
      </c>
      <c r="BC51" s="61">
        <f t="shared" si="83"/>
        <v>0</v>
      </c>
      <c r="BD51" s="58">
        <v>0</v>
      </c>
      <c r="BE51" s="49">
        <f t="shared" si="84"/>
        <v>0</v>
      </c>
      <c r="BF51" s="61">
        <f t="shared" si="51"/>
        <v>0</v>
      </c>
      <c r="BG51" s="58">
        <f t="shared" si="85"/>
        <v>0</v>
      </c>
      <c r="BH51" s="49">
        <f t="shared" si="86"/>
        <v>0</v>
      </c>
      <c r="BI51" s="61">
        <f t="shared" si="87"/>
        <v>0</v>
      </c>
      <c r="BK51" s="217">
        <f t="shared" si="71"/>
        <v>0</v>
      </c>
      <c r="BL51" s="213">
        <f t="shared" si="17"/>
        <v>0</v>
      </c>
      <c r="BM51" s="213">
        <f t="shared" si="72"/>
        <v>0</v>
      </c>
      <c r="BN51" s="61">
        <f t="shared" si="88"/>
        <v>0</v>
      </c>
      <c r="BO51" s="58">
        <v>0</v>
      </c>
      <c r="BP51" s="49">
        <f t="shared" si="89"/>
        <v>0</v>
      </c>
      <c r="BQ51" s="61">
        <f t="shared" si="52"/>
        <v>0</v>
      </c>
      <c r="BR51" s="58">
        <f t="shared" si="90"/>
        <v>0</v>
      </c>
      <c r="BS51" s="49">
        <f t="shared" si="91"/>
        <v>0</v>
      </c>
      <c r="BT51" s="61">
        <f t="shared" si="54"/>
        <v>0</v>
      </c>
      <c r="BU51" s="58">
        <f t="shared" si="73"/>
        <v>1.2232919411185808E-2</v>
      </c>
      <c r="BV51" s="49">
        <f t="shared" si="20"/>
        <v>1.0800000000000002E-3</v>
      </c>
      <c r="BW51" s="61">
        <f t="shared" si="74"/>
        <v>6.7499999999999999E-3</v>
      </c>
      <c r="BX51" s="49">
        <f t="shared" si="55"/>
        <v>3.9569643307159201</v>
      </c>
      <c r="BY51" s="49">
        <f t="shared" si="42"/>
        <v>5.178547294341123</v>
      </c>
      <c r="BZ51" s="49">
        <f t="shared" si="92"/>
        <v>80.946195400887547</v>
      </c>
    </row>
    <row r="52" spans="17:78" x14ac:dyDescent="0.4">
      <c r="Q52" s="49">
        <v>45</v>
      </c>
      <c r="R52" s="217">
        <f t="shared" si="56"/>
        <v>22.5</v>
      </c>
      <c r="S52" s="213">
        <f t="shared" si="1"/>
        <v>15</v>
      </c>
      <c r="T52" s="218">
        <f t="shared" si="57"/>
        <v>1.5</v>
      </c>
      <c r="U52" s="217">
        <f t="shared" si="58"/>
        <v>2</v>
      </c>
      <c r="V52" s="213">
        <f t="shared" si="59"/>
        <v>0.92592592592592593</v>
      </c>
      <c r="W52" s="213">
        <f t="shared" si="60"/>
        <v>7.407407407407407E-2</v>
      </c>
      <c r="X52" s="213">
        <f t="shared" si="22"/>
        <v>0</v>
      </c>
      <c r="Y52" s="217">
        <f t="shared" si="75"/>
        <v>1.6199999999999999</v>
      </c>
      <c r="Z52" s="213">
        <f t="shared" si="61"/>
        <v>3.0864197530864197</v>
      </c>
      <c r="AA52" s="213">
        <f t="shared" si="24"/>
        <v>3.1632098765432097</v>
      </c>
      <c r="AB52" s="218">
        <f t="shared" si="62"/>
        <v>1.7790530775658304</v>
      </c>
      <c r="AC52" s="217">
        <v>0</v>
      </c>
      <c r="AD52" s="213">
        <f t="shared" si="63"/>
        <v>3.639784330715921</v>
      </c>
      <c r="AE52" s="218">
        <f t="shared" si="26"/>
        <v>3.639784330715921</v>
      </c>
      <c r="AF52" s="58">
        <f t="shared" si="64"/>
        <v>0.45</v>
      </c>
      <c r="AG52" s="61">
        <f t="shared" si="65"/>
        <v>0.45</v>
      </c>
      <c r="AH52" s="58">
        <f t="shared" si="66"/>
        <v>0.74378201540716637</v>
      </c>
      <c r="AI52" s="49">
        <f t="shared" si="67"/>
        <v>2.0619574916096547E-2</v>
      </c>
      <c r="AJ52" s="61">
        <f t="shared" si="44"/>
        <v>0.76440159032326294</v>
      </c>
      <c r="AK52" s="217">
        <f t="shared" si="68"/>
        <v>22.5</v>
      </c>
      <c r="AL52" s="213">
        <f t="shared" si="13"/>
        <v>1500</v>
      </c>
      <c r="AM52" s="218">
        <f t="shared" si="27"/>
        <v>1.4999999999999999E-2</v>
      </c>
      <c r="AN52" s="217">
        <f t="shared" si="76"/>
        <v>2</v>
      </c>
      <c r="AO52" s="213">
        <f t="shared" si="77"/>
        <v>7.407407407407407E-2</v>
      </c>
      <c r="AP52" s="213">
        <f t="shared" si="78"/>
        <v>0.20249999999999999</v>
      </c>
      <c r="AQ52" s="213">
        <f t="shared" si="79"/>
        <v>0.38580246913580241</v>
      </c>
      <c r="AR52" s="213">
        <f t="shared" si="45"/>
        <v>0.39540123456790122</v>
      </c>
      <c r="AS52" s="218">
        <f t="shared" si="46"/>
        <v>6.2899024761879779E-2</v>
      </c>
      <c r="AT52" s="217"/>
      <c r="AU52" s="213">
        <f t="shared" si="80"/>
        <v>6.0749999999999997E-3</v>
      </c>
      <c r="AV52" s="218">
        <f t="shared" si="47"/>
        <v>6.0749999999999997E-3</v>
      </c>
      <c r="AW52" s="217">
        <f t="shared" si="81"/>
        <v>0</v>
      </c>
      <c r="AX52" s="213">
        <f t="shared" si="82"/>
        <v>1.7249999999999998E-2</v>
      </c>
      <c r="AY52" s="218">
        <f t="shared" si="48"/>
        <v>1.7249999999999998E-2</v>
      </c>
      <c r="AZ52" s="217">
        <f t="shared" si="69"/>
        <v>0</v>
      </c>
      <c r="BA52" s="213">
        <f t="shared" si="70"/>
        <v>0</v>
      </c>
      <c r="BB52" s="213">
        <f t="shared" si="49"/>
        <v>0</v>
      </c>
      <c r="BC52" s="61">
        <f t="shared" si="83"/>
        <v>0</v>
      </c>
      <c r="BD52" s="58">
        <v>0</v>
      </c>
      <c r="BE52" s="49">
        <f t="shared" si="84"/>
        <v>0</v>
      </c>
      <c r="BF52" s="61">
        <f t="shared" si="51"/>
        <v>0</v>
      </c>
      <c r="BG52" s="58">
        <f t="shared" si="85"/>
        <v>0</v>
      </c>
      <c r="BH52" s="49">
        <f t="shared" si="86"/>
        <v>0</v>
      </c>
      <c r="BI52" s="61">
        <f t="shared" si="87"/>
        <v>0</v>
      </c>
      <c r="BK52" s="217">
        <f t="shared" si="71"/>
        <v>0</v>
      </c>
      <c r="BL52" s="213">
        <f t="shared" si="17"/>
        <v>0</v>
      </c>
      <c r="BM52" s="213">
        <f t="shared" si="72"/>
        <v>0</v>
      </c>
      <c r="BN52" s="61">
        <f t="shared" si="88"/>
        <v>0</v>
      </c>
      <c r="BO52" s="58">
        <v>0</v>
      </c>
      <c r="BP52" s="49">
        <f t="shared" si="89"/>
        <v>0</v>
      </c>
      <c r="BQ52" s="61">
        <f t="shared" si="52"/>
        <v>0</v>
      </c>
      <c r="BR52" s="58">
        <f t="shared" si="90"/>
        <v>0</v>
      </c>
      <c r="BS52" s="49">
        <f t="shared" si="91"/>
        <v>0</v>
      </c>
      <c r="BT52" s="61">
        <f t="shared" si="54"/>
        <v>0</v>
      </c>
      <c r="BU52" s="58">
        <f t="shared" si="73"/>
        <v>1.266011941118581E-2</v>
      </c>
      <c r="BV52" s="49">
        <f t="shared" si="20"/>
        <v>1.0800000000000002E-3</v>
      </c>
      <c r="BW52" s="61">
        <f t="shared" si="74"/>
        <v>6.7499999999999999E-3</v>
      </c>
      <c r="BX52" s="49">
        <f t="shared" si="55"/>
        <v>4.0897843307159212</v>
      </c>
      <c r="BY52" s="49">
        <f t="shared" si="42"/>
        <v>5.3480010404503702</v>
      </c>
      <c r="BZ52" s="49">
        <f t="shared" si="92"/>
        <v>80.795745329504342</v>
      </c>
    </row>
    <row r="53" spans="17:78" x14ac:dyDescent="0.4">
      <c r="Q53" s="49">
        <v>46</v>
      </c>
      <c r="R53" s="217">
        <f t="shared" si="56"/>
        <v>23</v>
      </c>
      <c r="S53" s="213">
        <f t="shared" si="1"/>
        <v>15</v>
      </c>
      <c r="T53" s="218">
        <f t="shared" si="57"/>
        <v>1.5333333333333334</v>
      </c>
      <c r="U53" s="217">
        <f t="shared" si="58"/>
        <v>2</v>
      </c>
      <c r="V53" s="213">
        <f t="shared" si="59"/>
        <v>0.92592592592592593</v>
      </c>
      <c r="W53" s="213">
        <f t="shared" si="60"/>
        <v>7.407407407407407E-2</v>
      </c>
      <c r="X53" s="213">
        <f t="shared" si="22"/>
        <v>0</v>
      </c>
      <c r="Y53" s="217">
        <f t="shared" si="75"/>
        <v>1.6559999999999999</v>
      </c>
      <c r="Z53" s="213">
        <f t="shared" si="61"/>
        <v>3.0864197530864197</v>
      </c>
      <c r="AA53" s="213">
        <f t="shared" si="24"/>
        <v>3.1992098765432098</v>
      </c>
      <c r="AB53" s="218">
        <f t="shared" si="62"/>
        <v>1.809483311002468</v>
      </c>
      <c r="AC53" s="217">
        <v>0</v>
      </c>
      <c r="AD53" s="213">
        <f t="shared" si="63"/>
        <v>3.7653643307159226</v>
      </c>
      <c r="AE53" s="218">
        <f t="shared" si="26"/>
        <v>3.7653643307159226</v>
      </c>
      <c r="AF53" s="58">
        <f t="shared" si="64"/>
        <v>0.46</v>
      </c>
      <c r="AG53" s="61">
        <f t="shared" si="65"/>
        <v>0.46</v>
      </c>
      <c r="AH53" s="58">
        <f t="shared" si="66"/>
        <v>0.76944401540716678</v>
      </c>
      <c r="AI53" s="49">
        <f t="shared" si="67"/>
        <v>2.1077787692009804E-2</v>
      </c>
      <c r="AJ53" s="61">
        <f t="shared" si="44"/>
        <v>0.79052180309917663</v>
      </c>
      <c r="AK53" s="217">
        <f t="shared" si="68"/>
        <v>23</v>
      </c>
      <c r="AL53" s="213">
        <f t="shared" si="13"/>
        <v>1500</v>
      </c>
      <c r="AM53" s="218">
        <f t="shared" si="27"/>
        <v>1.5333333333333332E-2</v>
      </c>
      <c r="AN53" s="217">
        <f t="shared" si="76"/>
        <v>2</v>
      </c>
      <c r="AO53" s="213">
        <f t="shared" si="77"/>
        <v>7.407407407407407E-2</v>
      </c>
      <c r="AP53" s="213">
        <f t="shared" si="78"/>
        <v>0.20700000000000002</v>
      </c>
      <c r="AQ53" s="213">
        <f t="shared" si="79"/>
        <v>0.38580246913580241</v>
      </c>
      <c r="AR53" s="213">
        <f t="shared" si="45"/>
        <v>0.39990123456790122</v>
      </c>
      <c r="AS53" s="218">
        <f t="shared" si="46"/>
        <v>6.3974895982686575E-2</v>
      </c>
      <c r="AT53" s="217"/>
      <c r="AU53" s="213">
        <f t="shared" si="80"/>
        <v>6.3479999999999995E-3</v>
      </c>
      <c r="AV53" s="218">
        <f t="shared" si="47"/>
        <v>6.3479999999999995E-3</v>
      </c>
      <c r="AW53" s="217">
        <f t="shared" si="81"/>
        <v>0</v>
      </c>
      <c r="AX53" s="213">
        <f t="shared" si="82"/>
        <v>1.7633333333333331E-2</v>
      </c>
      <c r="AY53" s="218">
        <f t="shared" si="48"/>
        <v>1.7633333333333331E-2</v>
      </c>
      <c r="AZ53" s="217">
        <f t="shared" si="69"/>
        <v>0</v>
      </c>
      <c r="BA53" s="213">
        <f t="shared" si="70"/>
        <v>0</v>
      </c>
      <c r="BB53" s="213">
        <f t="shared" si="49"/>
        <v>0</v>
      </c>
      <c r="BC53" s="61">
        <f t="shared" si="83"/>
        <v>0</v>
      </c>
      <c r="BD53" s="58">
        <v>0</v>
      </c>
      <c r="BE53" s="49">
        <f t="shared" si="84"/>
        <v>0</v>
      </c>
      <c r="BF53" s="61">
        <f t="shared" si="51"/>
        <v>0</v>
      </c>
      <c r="BG53" s="58">
        <f t="shared" si="85"/>
        <v>0</v>
      </c>
      <c r="BH53" s="49">
        <f t="shared" si="86"/>
        <v>0</v>
      </c>
      <c r="BI53" s="61">
        <f t="shared" si="87"/>
        <v>0</v>
      </c>
      <c r="BK53" s="217">
        <f t="shared" si="71"/>
        <v>0</v>
      </c>
      <c r="BL53" s="213">
        <f t="shared" si="17"/>
        <v>0</v>
      </c>
      <c r="BM53" s="213">
        <f t="shared" si="72"/>
        <v>0</v>
      </c>
      <c r="BN53" s="61">
        <f t="shared" si="88"/>
        <v>0</v>
      </c>
      <c r="BO53" s="58">
        <v>0</v>
      </c>
      <c r="BP53" s="49">
        <f t="shared" si="89"/>
        <v>0</v>
      </c>
      <c r="BQ53" s="61">
        <f t="shared" si="52"/>
        <v>0</v>
      </c>
      <c r="BR53" s="58">
        <f t="shared" si="90"/>
        <v>0</v>
      </c>
      <c r="BS53" s="49">
        <f t="shared" si="91"/>
        <v>0</v>
      </c>
      <c r="BT53" s="61">
        <f t="shared" si="54"/>
        <v>0</v>
      </c>
      <c r="BU53" s="58">
        <f t="shared" si="73"/>
        <v>1.3096919411185817E-2</v>
      </c>
      <c r="BV53" s="49">
        <f t="shared" si="20"/>
        <v>1.0800000000000002E-3</v>
      </c>
      <c r="BW53" s="61">
        <f t="shared" si="74"/>
        <v>6.7499999999999999E-3</v>
      </c>
      <c r="BX53" s="49">
        <f t="shared" si="55"/>
        <v>4.225364330715923</v>
      </c>
      <c r="BY53" s="49">
        <f t="shared" si="42"/>
        <v>5.5207943865596185</v>
      </c>
      <c r="BZ53" s="49">
        <f t="shared" si="92"/>
        <v>80.642915089485427</v>
      </c>
    </row>
    <row r="54" spans="17:78" x14ac:dyDescent="0.4">
      <c r="Q54" s="49">
        <v>47</v>
      </c>
      <c r="R54" s="217">
        <f t="shared" si="56"/>
        <v>23.5</v>
      </c>
      <c r="S54" s="213">
        <f t="shared" si="1"/>
        <v>15</v>
      </c>
      <c r="T54" s="218">
        <f t="shared" si="57"/>
        <v>1.5666666666666667</v>
      </c>
      <c r="U54" s="217">
        <f t="shared" si="58"/>
        <v>2</v>
      </c>
      <c r="V54" s="213">
        <f t="shared" si="59"/>
        <v>0.92592592592592593</v>
      </c>
      <c r="W54" s="213">
        <f t="shared" si="60"/>
        <v>7.407407407407407E-2</v>
      </c>
      <c r="X54" s="213">
        <f t="shared" si="22"/>
        <v>0</v>
      </c>
      <c r="Y54" s="217">
        <f t="shared" si="75"/>
        <v>1.6919999999999999</v>
      </c>
      <c r="Z54" s="213">
        <f t="shared" si="61"/>
        <v>3.0864197530864197</v>
      </c>
      <c r="AA54" s="213">
        <f t="shared" si="24"/>
        <v>3.2352098765432098</v>
      </c>
      <c r="AB54" s="218">
        <f t="shared" si="62"/>
        <v>1.8400624589389496</v>
      </c>
      <c r="AC54" s="217">
        <v>0</v>
      </c>
      <c r="AD54" s="213">
        <f t="shared" si="63"/>
        <v>3.8937043307159223</v>
      </c>
      <c r="AE54" s="218">
        <f t="shared" si="26"/>
        <v>3.8937043307159223</v>
      </c>
      <c r="AF54" s="58">
        <f t="shared" si="64"/>
        <v>0.47000000000000003</v>
      </c>
      <c r="AG54" s="61">
        <f t="shared" si="65"/>
        <v>0.47000000000000003</v>
      </c>
      <c r="AH54" s="58">
        <f t="shared" si="66"/>
        <v>0.79567001540716664</v>
      </c>
      <c r="AI54" s="49">
        <f t="shared" si="67"/>
        <v>2.1536000467923064E-2</v>
      </c>
      <c r="AJ54" s="61">
        <f t="shared" si="44"/>
        <v>0.81720601587508968</v>
      </c>
      <c r="AK54" s="217">
        <f t="shared" si="68"/>
        <v>23.5</v>
      </c>
      <c r="AL54" s="213">
        <f t="shared" si="13"/>
        <v>1500</v>
      </c>
      <c r="AM54" s="218">
        <f t="shared" si="27"/>
        <v>1.5666666666666666E-2</v>
      </c>
      <c r="AN54" s="217">
        <f t="shared" si="76"/>
        <v>2</v>
      </c>
      <c r="AO54" s="213">
        <f t="shared" si="77"/>
        <v>7.407407407407407E-2</v>
      </c>
      <c r="AP54" s="213">
        <f t="shared" si="78"/>
        <v>0.21149999999999999</v>
      </c>
      <c r="AQ54" s="213">
        <f t="shared" si="79"/>
        <v>0.38580246913580241</v>
      </c>
      <c r="AR54" s="213">
        <f t="shared" si="45"/>
        <v>0.40440123456790122</v>
      </c>
      <c r="AS54" s="218">
        <f t="shared" si="46"/>
        <v>6.505603212612622E-2</v>
      </c>
      <c r="AT54" s="217"/>
      <c r="AU54" s="213">
        <f t="shared" si="80"/>
        <v>6.6269999999999992E-3</v>
      </c>
      <c r="AV54" s="218">
        <f t="shared" si="47"/>
        <v>6.6269999999999992E-3</v>
      </c>
      <c r="AW54" s="217">
        <f t="shared" si="81"/>
        <v>0</v>
      </c>
      <c r="AX54" s="213">
        <f t="shared" si="82"/>
        <v>1.8016666666666663E-2</v>
      </c>
      <c r="AY54" s="218">
        <f t="shared" si="48"/>
        <v>1.8016666666666663E-2</v>
      </c>
      <c r="AZ54" s="217">
        <f t="shared" si="69"/>
        <v>0</v>
      </c>
      <c r="BA54" s="213">
        <f t="shared" si="70"/>
        <v>0</v>
      </c>
      <c r="BB54" s="213">
        <f t="shared" si="49"/>
        <v>0</v>
      </c>
      <c r="BC54" s="61">
        <f t="shared" si="83"/>
        <v>0</v>
      </c>
      <c r="BD54" s="58">
        <v>0</v>
      </c>
      <c r="BE54" s="49">
        <f t="shared" si="84"/>
        <v>0</v>
      </c>
      <c r="BF54" s="61">
        <f t="shared" si="51"/>
        <v>0</v>
      </c>
      <c r="BG54" s="58">
        <f t="shared" si="85"/>
        <v>0</v>
      </c>
      <c r="BH54" s="49">
        <f t="shared" si="86"/>
        <v>0</v>
      </c>
      <c r="BI54" s="61">
        <f t="shared" si="87"/>
        <v>0</v>
      </c>
      <c r="BK54" s="217">
        <f t="shared" si="71"/>
        <v>0</v>
      </c>
      <c r="BL54" s="213">
        <f t="shared" si="17"/>
        <v>0</v>
      </c>
      <c r="BM54" s="213">
        <f t="shared" si="72"/>
        <v>0</v>
      </c>
      <c r="BN54" s="61">
        <f t="shared" si="88"/>
        <v>0</v>
      </c>
      <c r="BO54" s="58">
        <v>0</v>
      </c>
      <c r="BP54" s="49">
        <f t="shared" si="89"/>
        <v>0</v>
      </c>
      <c r="BQ54" s="61">
        <f t="shared" si="52"/>
        <v>0</v>
      </c>
      <c r="BR54" s="58">
        <f t="shared" si="90"/>
        <v>0</v>
      </c>
      <c r="BS54" s="49">
        <f t="shared" si="91"/>
        <v>0</v>
      </c>
      <c r="BT54" s="61">
        <f t="shared" si="54"/>
        <v>0</v>
      </c>
      <c r="BU54" s="58">
        <f t="shared" si="73"/>
        <v>1.3543319411185814E-2</v>
      </c>
      <c r="BV54" s="49">
        <f t="shared" si="20"/>
        <v>1.0800000000000002E-3</v>
      </c>
      <c r="BW54" s="61">
        <f t="shared" si="74"/>
        <v>6.7499999999999999E-3</v>
      </c>
      <c r="BX54" s="49">
        <f t="shared" si="55"/>
        <v>4.3637043307159225</v>
      </c>
      <c r="BY54" s="49">
        <f t="shared" si="42"/>
        <v>5.6969273326688645</v>
      </c>
      <c r="BZ54" s="49">
        <f t="shared" si="92"/>
        <v>80.487921664638691</v>
      </c>
    </row>
    <row r="55" spans="17:78" x14ac:dyDescent="0.4">
      <c r="Q55" s="49">
        <v>48</v>
      </c>
      <c r="R55" s="217">
        <f t="shared" si="56"/>
        <v>24</v>
      </c>
      <c r="S55" s="213">
        <f t="shared" si="1"/>
        <v>15</v>
      </c>
      <c r="T55" s="218">
        <f t="shared" si="57"/>
        <v>1.6</v>
      </c>
      <c r="U55" s="217">
        <f t="shared" si="58"/>
        <v>2</v>
      </c>
      <c r="V55" s="213">
        <f t="shared" si="59"/>
        <v>0.92592592592592593</v>
      </c>
      <c r="W55" s="213">
        <f t="shared" si="60"/>
        <v>7.407407407407407E-2</v>
      </c>
      <c r="X55" s="213">
        <f t="shared" si="22"/>
        <v>0</v>
      </c>
      <c r="Y55" s="217">
        <f t="shared" si="75"/>
        <v>1.728</v>
      </c>
      <c r="Z55" s="213">
        <f t="shared" si="61"/>
        <v>3.0864197530864197</v>
      </c>
      <c r="AA55" s="213">
        <f t="shared" si="24"/>
        <v>3.2712098765432098</v>
      </c>
      <c r="AB55" s="218">
        <f t="shared" si="62"/>
        <v>1.87078321908137</v>
      </c>
      <c r="AC55" s="217">
        <v>0</v>
      </c>
      <c r="AD55" s="213">
        <f t="shared" si="63"/>
        <v>4.0248043307159218</v>
      </c>
      <c r="AE55" s="218">
        <f t="shared" si="26"/>
        <v>4.0248043307159218</v>
      </c>
      <c r="AF55" s="58">
        <f t="shared" si="64"/>
        <v>0.48</v>
      </c>
      <c r="AG55" s="61">
        <f t="shared" si="65"/>
        <v>0.48</v>
      </c>
      <c r="AH55" s="58">
        <f t="shared" si="66"/>
        <v>0.82246001540716651</v>
      </c>
      <c r="AI55" s="49">
        <f t="shared" si="67"/>
        <v>2.1994213243836321E-2</v>
      </c>
      <c r="AJ55" s="61">
        <f t="shared" si="44"/>
        <v>0.84445422865100284</v>
      </c>
      <c r="AK55" s="217">
        <f t="shared" si="68"/>
        <v>24</v>
      </c>
      <c r="AL55" s="213">
        <f t="shared" si="13"/>
        <v>1500</v>
      </c>
      <c r="AM55" s="218">
        <f t="shared" si="27"/>
        <v>1.6E-2</v>
      </c>
      <c r="AN55" s="217">
        <f t="shared" si="76"/>
        <v>2</v>
      </c>
      <c r="AO55" s="213">
        <f t="shared" si="77"/>
        <v>7.407407407407407E-2</v>
      </c>
      <c r="AP55" s="213">
        <f t="shared" si="78"/>
        <v>0.216</v>
      </c>
      <c r="AQ55" s="213">
        <f t="shared" si="79"/>
        <v>0.38580246913580241</v>
      </c>
      <c r="AR55" s="213">
        <f t="shared" si="45"/>
        <v>0.40890123456790117</v>
      </c>
      <c r="AS55" s="218">
        <f t="shared" si="46"/>
        <v>6.6142175017121746E-2</v>
      </c>
      <c r="AT55" s="217"/>
      <c r="AU55" s="213">
        <f t="shared" si="80"/>
        <v>6.9119999999999997E-3</v>
      </c>
      <c r="AV55" s="218">
        <f t="shared" si="47"/>
        <v>6.9119999999999997E-3</v>
      </c>
      <c r="AW55" s="217">
        <f t="shared" si="81"/>
        <v>0</v>
      </c>
      <c r="AX55" s="213">
        <f t="shared" si="82"/>
        <v>1.84E-2</v>
      </c>
      <c r="AY55" s="218">
        <f t="shared" si="48"/>
        <v>1.84E-2</v>
      </c>
      <c r="AZ55" s="217">
        <f t="shared" si="69"/>
        <v>0</v>
      </c>
      <c r="BA55" s="213">
        <f t="shared" si="70"/>
        <v>0</v>
      </c>
      <c r="BB55" s="213">
        <f t="shared" si="49"/>
        <v>0</v>
      </c>
      <c r="BC55" s="61">
        <f t="shared" si="83"/>
        <v>0</v>
      </c>
      <c r="BD55" s="58">
        <v>0</v>
      </c>
      <c r="BE55" s="49">
        <f t="shared" si="84"/>
        <v>0</v>
      </c>
      <c r="BF55" s="61">
        <f t="shared" si="51"/>
        <v>0</v>
      </c>
      <c r="BG55" s="58">
        <f t="shared" si="85"/>
        <v>0</v>
      </c>
      <c r="BH55" s="49">
        <f t="shared" si="86"/>
        <v>0</v>
      </c>
      <c r="BI55" s="61">
        <f t="shared" si="87"/>
        <v>0</v>
      </c>
      <c r="BK55" s="217">
        <f t="shared" si="71"/>
        <v>0</v>
      </c>
      <c r="BL55" s="213">
        <f t="shared" si="17"/>
        <v>0</v>
      </c>
      <c r="BM55" s="213">
        <f t="shared" si="72"/>
        <v>0</v>
      </c>
      <c r="BN55" s="61">
        <f t="shared" si="88"/>
        <v>0</v>
      </c>
      <c r="BO55" s="58">
        <v>0</v>
      </c>
      <c r="BP55" s="49">
        <f t="shared" si="89"/>
        <v>0</v>
      </c>
      <c r="BQ55" s="61">
        <f t="shared" si="52"/>
        <v>0</v>
      </c>
      <c r="BR55" s="58">
        <f t="shared" si="90"/>
        <v>0</v>
      </c>
      <c r="BS55" s="49">
        <f t="shared" si="91"/>
        <v>0</v>
      </c>
      <c r="BT55" s="61">
        <f t="shared" si="54"/>
        <v>0</v>
      </c>
      <c r="BU55" s="58">
        <f t="shared" si="73"/>
        <v>1.3999319411185812E-2</v>
      </c>
      <c r="BV55" s="49">
        <f t="shared" si="20"/>
        <v>1.0800000000000002E-3</v>
      </c>
      <c r="BW55" s="61">
        <f t="shared" si="74"/>
        <v>6.7499999999999999E-3</v>
      </c>
      <c r="BX55" s="49">
        <f t="shared" si="55"/>
        <v>4.5048043307159222</v>
      </c>
      <c r="BY55" s="49">
        <f t="shared" si="42"/>
        <v>5.8763998787781109</v>
      </c>
      <c r="BZ55" s="49">
        <f t="shared" si="92"/>
        <v>80.330963895846594</v>
      </c>
    </row>
    <row r="56" spans="17:78" x14ac:dyDescent="0.4">
      <c r="Q56" s="49">
        <v>49</v>
      </c>
      <c r="R56" s="217">
        <f t="shared" si="56"/>
        <v>24.5</v>
      </c>
      <c r="S56" s="213">
        <f t="shared" si="1"/>
        <v>15</v>
      </c>
      <c r="T56" s="218">
        <f t="shared" si="57"/>
        <v>1.6333333333333333</v>
      </c>
      <c r="U56" s="217">
        <f t="shared" si="58"/>
        <v>2</v>
      </c>
      <c r="V56" s="213">
        <f t="shared" si="59"/>
        <v>0.92592592592592593</v>
      </c>
      <c r="W56" s="213">
        <f t="shared" si="60"/>
        <v>7.407407407407407E-2</v>
      </c>
      <c r="X56" s="213">
        <f t="shared" si="22"/>
        <v>0</v>
      </c>
      <c r="Y56" s="217">
        <f t="shared" si="75"/>
        <v>1.764</v>
      </c>
      <c r="Z56" s="213">
        <f t="shared" si="61"/>
        <v>3.0864197530864197</v>
      </c>
      <c r="AA56" s="213">
        <f t="shared" si="24"/>
        <v>3.3072098765432099</v>
      </c>
      <c r="AB56" s="218">
        <f t="shared" si="62"/>
        <v>1.9016387282542531</v>
      </c>
      <c r="AC56" s="217">
        <v>0</v>
      </c>
      <c r="AD56" s="213">
        <f t="shared" si="63"/>
        <v>4.1586643307159212</v>
      </c>
      <c r="AE56" s="218">
        <f t="shared" si="26"/>
        <v>4.1586643307159212</v>
      </c>
      <c r="AF56" s="58">
        <f t="shared" si="64"/>
        <v>0.49</v>
      </c>
      <c r="AG56" s="61">
        <f t="shared" si="65"/>
        <v>0.49</v>
      </c>
      <c r="AH56" s="58">
        <f t="shared" si="66"/>
        <v>0.8498140154071665</v>
      </c>
      <c r="AI56" s="49">
        <f t="shared" si="67"/>
        <v>2.2452426019749578E-2</v>
      </c>
      <c r="AJ56" s="61">
        <f t="shared" si="44"/>
        <v>0.87226644142691612</v>
      </c>
      <c r="AK56" s="217">
        <f t="shared" si="68"/>
        <v>24.5</v>
      </c>
      <c r="AL56" s="213">
        <f t="shared" si="13"/>
        <v>1500</v>
      </c>
      <c r="AM56" s="218">
        <f t="shared" si="27"/>
        <v>1.6333333333333332E-2</v>
      </c>
      <c r="AN56" s="217">
        <f t="shared" si="76"/>
        <v>2</v>
      </c>
      <c r="AO56" s="213">
        <f t="shared" si="77"/>
        <v>7.4074074074074056E-2</v>
      </c>
      <c r="AP56" s="213">
        <f t="shared" si="78"/>
        <v>0.22050000000000003</v>
      </c>
      <c r="AQ56" s="213">
        <f t="shared" si="79"/>
        <v>0.38580246913580241</v>
      </c>
      <c r="AR56" s="213">
        <f t="shared" si="45"/>
        <v>0.41340123456790123</v>
      </c>
      <c r="AS56" s="218">
        <f t="shared" si="46"/>
        <v>6.7233082005777225E-2</v>
      </c>
      <c r="AT56" s="217"/>
      <c r="AU56" s="213">
        <f t="shared" si="80"/>
        <v>7.2029999999999985E-3</v>
      </c>
      <c r="AV56" s="218">
        <f t="shared" si="47"/>
        <v>7.2029999999999985E-3</v>
      </c>
      <c r="AW56" s="217">
        <f t="shared" si="81"/>
        <v>0</v>
      </c>
      <c r="AX56" s="213">
        <f t="shared" si="82"/>
        <v>1.8783333333333329E-2</v>
      </c>
      <c r="AY56" s="218">
        <f t="shared" si="48"/>
        <v>1.8783333333333329E-2</v>
      </c>
      <c r="AZ56" s="217">
        <f t="shared" si="69"/>
        <v>0</v>
      </c>
      <c r="BA56" s="213">
        <f t="shared" si="70"/>
        <v>0</v>
      </c>
      <c r="BB56" s="213">
        <f t="shared" si="49"/>
        <v>0</v>
      </c>
      <c r="BC56" s="61">
        <f t="shared" si="83"/>
        <v>0</v>
      </c>
      <c r="BD56" s="58">
        <v>0</v>
      </c>
      <c r="BE56" s="49">
        <f t="shared" si="84"/>
        <v>0</v>
      </c>
      <c r="BF56" s="61">
        <f t="shared" si="51"/>
        <v>0</v>
      </c>
      <c r="BG56" s="58">
        <f t="shared" si="85"/>
        <v>0</v>
      </c>
      <c r="BH56" s="49">
        <f t="shared" si="86"/>
        <v>0</v>
      </c>
      <c r="BI56" s="61">
        <f t="shared" si="87"/>
        <v>0</v>
      </c>
      <c r="BK56" s="217">
        <f t="shared" si="71"/>
        <v>0</v>
      </c>
      <c r="BL56" s="213">
        <f t="shared" si="17"/>
        <v>0</v>
      </c>
      <c r="BM56" s="213">
        <f t="shared" si="72"/>
        <v>0</v>
      </c>
      <c r="BN56" s="61">
        <f t="shared" si="88"/>
        <v>0</v>
      </c>
      <c r="BO56" s="58">
        <v>0</v>
      </c>
      <c r="BP56" s="49">
        <f t="shared" si="89"/>
        <v>0</v>
      </c>
      <c r="BQ56" s="61">
        <f t="shared" si="52"/>
        <v>0</v>
      </c>
      <c r="BR56" s="58">
        <f t="shared" si="90"/>
        <v>0</v>
      </c>
      <c r="BS56" s="49">
        <f t="shared" si="91"/>
        <v>0</v>
      </c>
      <c r="BT56" s="61">
        <f t="shared" si="54"/>
        <v>0</v>
      </c>
      <c r="BU56" s="58">
        <f t="shared" si="73"/>
        <v>1.4464919411185813E-2</v>
      </c>
      <c r="BV56" s="49">
        <f t="shared" si="20"/>
        <v>1.0800000000000002E-3</v>
      </c>
      <c r="BW56" s="61">
        <f t="shared" si="74"/>
        <v>6.7499999999999999E-3</v>
      </c>
      <c r="BX56" s="49">
        <f t="shared" si="55"/>
        <v>4.6486643307159214</v>
      </c>
      <c r="BY56" s="49">
        <f t="shared" si="42"/>
        <v>6.0592120248873567</v>
      </c>
      <c r="BZ56" s="49">
        <f t="shared" si="92"/>
        <v>80.172224270858976</v>
      </c>
    </row>
    <row r="57" spans="17:78" x14ac:dyDescent="0.4">
      <c r="Q57" s="49">
        <v>50</v>
      </c>
      <c r="R57" s="217">
        <f t="shared" si="56"/>
        <v>25</v>
      </c>
      <c r="S57" s="213">
        <f t="shared" si="1"/>
        <v>15</v>
      </c>
      <c r="T57" s="218">
        <f t="shared" si="57"/>
        <v>1.6666666666666667</v>
      </c>
      <c r="U57" s="217">
        <f t="shared" si="58"/>
        <v>2</v>
      </c>
      <c r="V57" s="213">
        <f t="shared" si="59"/>
        <v>0.92592592592592593</v>
      </c>
      <c r="W57" s="213">
        <f t="shared" si="60"/>
        <v>7.407407407407407E-2</v>
      </c>
      <c r="X57" s="213">
        <f t="shared" si="22"/>
        <v>0</v>
      </c>
      <c r="Y57" s="217">
        <f t="shared" si="75"/>
        <v>1.8</v>
      </c>
      <c r="Z57" s="213">
        <f t="shared" si="61"/>
        <v>3.0864197530864197</v>
      </c>
      <c r="AA57" s="213">
        <f t="shared" si="24"/>
        <v>3.3432098765432099</v>
      </c>
      <c r="AB57" s="218">
        <f t="shared" si="62"/>
        <v>1.9326225324145565</v>
      </c>
      <c r="AC57" s="217">
        <v>0</v>
      </c>
      <c r="AD57" s="213">
        <f t="shared" si="63"/>
        <v>4.2952843307159219</v>
      </c>
      <c r="AE57" s="218">
        <f t="shared" si="26"/>
        <v>4.2952843307159219</v>
      </c>
      <c r="AF57" s="58">
        <f t="shared" si="64"/>
        <v>0.5</v>
      </c>
      <c r="AG57" s="61">
        <f t="shared" si="65"/>
        <v>0.5</v>
      </c>
      <c r="AH57" s="58">
        <f t="shared" si="66"/>
        <v>0.87773201540716661</v>
      </c>
      <c r="AI57" s="49">
        <f t="shared" si="67"/>
        <v>2.2910638795662835E-2</v>
      </c>
      <c r="AJ57" s="61">
        <f t="shared" si="44"/>
        <v>0.90064265420282941</v>
      </c>
      <c r="AK57" s="217">
        <f t="shared" si="68"/>
        <v>25</v>
      </c>
      <c r="AL57" s="213">
        <f t="shared" si="13"/>
        <v>1500</v>
      </c>
      <c r="AM57" s="218">
        <f t="shared" si="27"/>
        <v>1.6666666666666666E-2</v>
      </c>
      <c r="AN57" s="217">
        <f t="shared" si="76"/>
        <v>2</v>
      </c>
      <c r="AO57" s="213">
        <f t="shared" si="77"/>
        <v>7.407407407407407E-2</v>
      </c>
      <c r="AP57" s="213">
        <f t="shared" si="78"/>
        <v>0.22500000000000001</v>
      </c>
      <c r="AQ57" s="213">
        <f t="shared" si="79"/>
        <v>0.38580246913580241</v>
      </c>
      <c r="AR57" s="213">
        <f t="shared" si="45"/>
        <v>0.41790123456790118</v>
      </c>
      <c r="AS57" s="218">
        <f t="shared" si="46"/>
        <v>6.8328524907212543E-2</v>
      </c>
      <c r="AT57" s="217"/>
      <c r="AU57" s="213">
        <f t="shared" si="80"/>
        <v>7.4999999999999997E-3</v>
      </c>
      <c r="AV57" s="218">
        <f t="shared" si="47"/>
        <v>7.4999999999999997E-3</v>
      </c>
      <c r="AW57" s="217">
        <f t="shared" si="81"/>
        <v>0</v>
      </c>
      <c r="AX57" s="213">
        <f t="shared" si="82"/>
        <v>1.9166666666666665E-2</v>
      </c>
      <c r="AY57" s="218">
        <f t="shared" si="48"/>
        <v>1.9166666666666665E-2</v>
      </c>
      <c r="AZ57" s="217">
        <f t="shared" si="69"/>
        <v>0</v>
      </c>
      <c r="BA57" s="213">
        <f t="shared" si="70"/>
        <v>0</v>
      </c>
      <c r="BB57" s="213">
        <f t="shared" si="49"/>
        <v>0</v>
      </c>
      <c r="BC57" s="61">
        <f t="shared" si="83"/>
        <v>0</v>
      </c>
      <c r="BD57" s="58">
        <v>0</v>
      </c>
      <c r="BE57" s="49">
        <f t="shared" si="84"/>
        <v>0</v>
      </c>
      <c r="BF57" s="61">
        <f t="shared" si="51"/>
        <v>0</v>
      </c>
      <c r="BG57" s="58">
        <f t="shared" si="85"/>
        <v>0</v>
      </c>
      <c r="BH57" s="49">
        <f t="shared" si="86"/>
        <v>0</v>
      </c>
      <c r="BI57" s="61">
        <f t="shared" si="87"/>
        <v>0</v>
      </c>
      <c r="BK57" s="217">
        <f t="shared" si="71"/>
        <v>0</v>
      </c>
      <c r="BL57" s="213">
        <f t="shared" si="17"/>
        <v>0</v>
      </c>
      <c r="BM57" s="213">
        <f t="shared" si="72"/>
        <v>0</v>
      </c>
      <c r="BN57" s="61">
        <f t="shared" si="88"/>
        <v>0</v>
      </c>
      <c r="BO57" s="58">
        <v>0</v>
      </c>
      <c r="BP57" s="49">
        <f t="shared" si="89"/>
        <v>0</v>
      </c>
      <c r="BQ57" s="61">
        <f t="shared" si="52"/>
        <v>0</v>
      </c>
      <c r="BR57" s="58">
        <f t="shared" si="90"/>
        <v>0</v>
      </c>
      <c r="BS57" s="49">
        <f t="shared" si="91"/>
        <v>0</v>
      </c>
      <c r="BT57" s="61">
        <f t="shared" si="54"/>
        <v>0</v>
      </c>
      <c r="BU57" s="58">
        <f t="shared" si="73"/>
        <v>1.4940119411185815E-2</v>
      </c>
      <c r="BV57" s="49">
        <f t="shared" si="20"/>
        <v>1.0800000000000002E-3</v>
      </c>
      <c r="BW57" s="61">
        <f t="shared" si="74"/>
        <v>6.7499999999999999E-3</v>
      </c>
      <c r="BX57" s="49">
        <f t="shared" si="55"/>
        <v>4.7952843307159219</v>
      </c>
      <c r="BY57" s="49">
        <f t="shared" si="42"/>
        <v>6.2453637709966037</v>
      </c>
      <c r="BZ57" s="49">
        <f t="shared" si="92"/>
        <v>80.011870507349187</v>
      </c>
    </row>
    <row r="58" spans="17:78" x14ac:dyDescent="0.4">
      <c r="Q58" s="49">
        <v>51</v>
      </c>
      <c r="R58" s="217">
        <f t="shared" si="56"/>
        <v>25.5</v>
      </c>
      <c r="S58" s="213">
        <f t="shared" si="1"/>
        <v>15</v>
      </c>
      <c r="T58" s="218">
        <f t="shared" si="57"/>
        <v>1.7</v>
      </c>
      <c r="U58" s="217">
        <f t="shared" si="58"/>
        <v>2</v>
      </c>
      <c r="V58" s="213">
        <f t="shared" si="59"/>
        <v>0.92592592592592593</v>
      </c>
      <c r="W58" s="213">
        <f t="shared" si="60"/>
        <v>7.407407407407407E-2</v>
      </c>
      <c r="X58" s="213">
        <f t="shared" si="22"/>
        <v>0</v>
      </c>
      <c r="Y58" s="217">
        <f t="shared" si="75"/>
        <v>1.8359999999999999</v>
      </c>
      <c r="Z58" s="213">
        <f t="shared" si="61"/>
        <v>3.0864197530864197</v>
      </c>
      <c r="AA58" s="213">
        <f t="shared" si="24"/>
        <v>3.3792098765432099</v>
      </c>
      <c r="AB58" s="218">
        <f t="shared" si="62"/>
        <v>1.9637285588381233</v>
      </c>
      <c r="AC58" s="217">
        <v>0</v>
      </c>
      <c r="AD58" s="213">
        <f t="shared" si="63"/>
        <v>4.434664330715921</v>
      </c>
      <c r="AE58" s="218">
        <f t="shared" si="26"/>
        <v>4.434664330715921</v>
      </c>
      <c r="AF58" s="58">
        <f t="shared" si="64"/>
        <v>0.51</v>
      </c>
      <c r="AG58" s="61">
        <f t="shared" si="65"/>
        <v>0.51</v>
      </c>
      <c r="AH58" s="58">
        <f t="shared" si="66"/>
        <v>0.9062140154071664</v>
      </c>
      <c r="AI58" s="49">
        <f t="shared" si="67"/>
        <v>2.3368851571576092E-2</v>
      </c>
      <c r="AJ58" s="61">
        <f t="shared" si="44"/>
        <v>0.92958286697874248</v>
      </c>
      <c r="AK58" s="217">
        <f t="shared" si="68"/>
        <v>25.5</v>
      </c>
      <c r="AL58" s="213">
        <f t="shared" si="13"/>
        <v>1500</v>
      </c>
      <c r="AM58" s="218">
        <f t="shared" si="27"/>
        <v>1.7000000000000001E-2</v>
      </c>
      <c r="AN58" s="217">
        <f t="shared" si="76"/>
        <v>2</v>
      </c>
      <c r="AO58" s="213">
        <f t="shared" si="77"/>
        <v>7.4074074074074084E-2</v>
      </c>
      <c r="AP58" s="213">
        <f t="shared" si="78"/>
        <v>0.22949999999999998</v>
      </c>
      <c r="AQ58" s="213">
        <f t="shared" si="79"/>
        <v>0.38580246913580252</v>
      </c>
      <c r="AR58" s="213">
        <f t="shared" si="45"/>
        <v>0.42240123456790124</v>
      </c>
      <c r="AS58" s="218">
        <f t="shared" si="46"/>
        <v>6.9428289018206149E-2</v>
      </c>
      <c r="AT58" s="217"/>
      <c r="AU58" s="213">
        <f t="shared" si="80"/>
        <v>7.8030000000000009E-3</v>
      </c>
      <c r="AV58" s="218">
        <f t="shared" si="47"/>
        <v>7.8030000000000009E-3</v>
      </c>
      <c r="AW58" s="217">
        <f t="shared" si="81"/>
        <v>0</v>
      </c>
      <c r="AX58" s="213">
        <f t="shared" si="82"/>
        <v>1.9550000000000001E-2</v>
      </c>
      <c r="AY58" s="218">
        <f t="shared" si="48"/>
        <v>1.9550000000000001E-2</v>
      </c>
      <c r="AZ58" s="217">
        <f t="shared" si="69"/>
        <v>0</v>
      </c>
      <c r="BA58" s="213">
        <f t="shared" si="70"/>
        <v>0</v>
      </c>
      <c r="BB58" s="213">
        <f t="shared" si="49"/>
        <v>0</v>
      </c>
      <c r="BC58" s="61">
        <f t="shared" si="83"/>
        <v>0</v>
      </c>
      <c r="BD58" s="58">
        <v>0</v>
      </c>
      <c r="BE58" s="49">
        <f t="shared" si="84"/>
        <v>0</v>
      </c>
      <c r="BF58" s="61">
        <f t="shared" si="51"/>
        <v>0</v>
      </c>
      <c r="BG58" s="58">
        <f t="shared" si="85"/>
        <v>0</v>
      </c>
      <c r="BH58" s="49">
        <f t="shared" si="86"/>
        <v>0</v>
      </c>
      <c r="BI58" s="61">
        <f t="shared" si="87"/>
        <v>0</v>
      </c>
      <c r="BK58" s="217">
        <f t="shared" si="71"/>
        <v>0</v>
      </c>
      <c r="BL58" s="213">
        <f t="shared" si="17"/>
        <v>0</v>
      </c>
      <c r="BM58" s="213">
        <f t="shared" si="72"/>
        <v>0</v>
      </c>
      <c r="BN58" s="61">
        <f t="shared" si="88"/>
        <v>0</v>
      </c>
      <c r="BO58" s="58">
        <v>0</v>
      </c>
      <c r="BP58" s="49">
        <f t="shared" si="89"/>
        <v>0</v>
      </c>
      <c r="BQ58" s="61">
        <f t="shared" si="52"/>
        <v>0</v>
      </c>
      <c r="BR58" s="58">
        <f t="shared" si="90"/>
        <v>0</v>
      </c>
      <c r="BS58" s="49">
        <f t="shared" si="91"/>
        <v>0</v>
      </c>
      <c r="BT58" s="61">
        <f t="shared" si="54"/>
        <v>0</v>
      </c>
      <c r="BU58" s="58">
        <f t="shared" si="73"/>
        <v>1.542491941118581E-2</v>
      </c>
      <c r="BV58" s="49">
        <f t="shared" si="20"/>
        <v>1.0800000000000002E-3</v>
      </c>
      <c r="BW58" s="61">
        <f t="shared" si="74"/>
        <v>6.7499999999999999E-3</v>
      </c>
      <c r="BX58" s="49">
        <f t="shared" si="55"/>
        <v>4.9446643307159208</v>
      </c>
      <c r="BY58" s="49">
        <f t="shared" si="42"/>
        <v>6.4348551171058492</v>
      </c>
      <c r="BZ58" s="49">
        <f t="shared" si="92"/>
        <v>79.850056956547675</v>
      </c>
    </row>
    <row r="59" spans="17:78" x14ac:dyDescent="0.4">
      <c r="Q59" s="49">
        <v>52</v>
      </c>
      <c r="R59" s="217">
        <f t="shared" si="56"/>
        <v>26</v>
      </c>
      <c r="S59" s="213">
        <f t="shared" si="1"/>
        <v>15</v>
      </c>
      <c r="T59" s="218">
        <f t="shared" si="57"/>
        <v>1.7333333333333334</v>
      </c>
      <c r="U59" s="217">
        <f t="shared" si="58"/>
        <v>2</v>
      </c>
      <c r="V59" s="213">
        <f t="shared" si="59"/>
        <v>0.92592592592592593</v>
      </c>
      <c r="W59" s="213">
        <f t="shared" si="60"/>
        <v>7.407407407407407E-2</v>
      </c>
      <c r="X59" s="213">
        <f t="shared" si="22"/>
        <v>0</v>
      </c>
      <c r="Y59" s="217">
        <f t="shared" si="75"/>
        <v>1.8719999999999999</v>
      </c>
      <c r="Z59" s="213">
        <f t="shared" si="61"/>
        <v>3.0864197530864197</v>
      </c>
      <c r="AA59" s="213">
        <f t="shared" si="24"/>
        <v>3.4152098765432095</v>
      </c>
      <c r="AB59" s="218">
        <f t="shared" si="62"/>
        <v>1.9949510903268914</v>
      </c>
      <c r="AC59" s="217">
        <v>0</v>
      </c>
      <c r="AD59" s="213">
        <f t="shared" si="63"/>
        <v>4.5768043307159214</v>
      </c>
      <c r="AE59" s="218">
        <f t="shared" si="26"/>
        <v>4.5768043307159214</v>
      </c>
      <c r="AF59" s="58">
        <f t="shared" si="64"/>
        <v>0.52</v>
      </c>
      <c r="AG59" s="61">
        <f t="shared" si="65"/>
        <v>0.52</v>
      </c>
      <c r="AH59" s="58">
        <f t="shared" si="66"/>
        <v>0.93526001540716652</v>
      </c>
      <c r="AI59" s="49">
        <f t="shared" si="67"/>
        <v>2.3827064347489348E-2</v>
      </c>
      <c r="AJ59" s="61">
        <f t="shared" si="44"/>
        <v>0.9590870797546559</v>
      </c>
      <c r="AK59" s="217">
        <f t="shared" si="68"/>
        <v>26</v>
      </c>
      <c r="AL59" s="213">
        <f t="shared" si="13"/>
        <v>1500</v>
      </c>
      <c r="AM59" s="218">
        <f t="shared" si="27"/>
        <v>1.7333333333333333E-2</v>
      </c>
      <c r="AN59" s="217">
        <f t="shared" si="76"/>
        <v>2</v>
      </c>
      <c r="AO59" s="213">
        <f t="shared" si="77"/>
        <v>7.407407407407407E-2</v>
      </c>
      <c r="AP59" s="213">
        <f t="shared" si="78"/>
        <v>0.23399999999999999</v>
      </c>
      <c r="AQ59" s="213">
        <f t="shared" si="79"/>
        <v>0.38580246913580241</v>
      </c>
      <c r="AR59" s="213">
        <f t="shared" si="45"/>
        <v>0.42690123456790119</v>
      </c>
      <c r="AS59" s="218">
        <f t="shared" si="46"/>
        <v>7.0532172205282087E-2</v>
      </c>
      <c r="AT59" s="217"/>
      <c r="AU59" s="213">
        <f t="shared" si="80"/>
        <v>8.1119999999999994E-3</v>
      </c>
      <c r="AV59" s="218">
        <f t="shared" si="47"/>
        <v>8.1119999999999994E-3</v>
      </c>
      <c r="AW59" s="217">
        <f t="shared" si="81"/>
        <v>0</v>
      </c>
      <c r="AX59" s="213">
        <f t="shared" si="82"/>
        <v>1.9933333333333331E-2</v>
      </c>
      <c r="AY59" s="218">
        <f t="shared" si="48"/>
        <v>1.9933333333333331E-2</v>
      </c>
      <c r="AZ59" s="217">
        <f t="shared" si="69"/>
        <v>0</v>
      </c>
      <c r="BA59" s="213">
        <f t="shared" si="70"/>
        <v>0</v>
      </c>
      <c r="BB59" s="213">
        <f t="shared" si="49"/>
        <v>0</v>
      </c>
      <c r="BC59" s="61">
        <f t="shared" si="83"/>
        <v>0</v>
      </c>
      <c r="BD59" s="58">
        <v>0</v>
      </c>
      <c r="BE59" s="49">
        <f t="shared" si="84"/>
        <v>0</v>
      </c>
      <c r="BF59" s="61">
        <f t="shared" si="51"/>
        <v>0</v>
      </c>
      <c r="BG59" s="58">
        <f t="shared" si="85"/>
        <v>0</v>
      </c>
      <c r="BH59" s="49">
        <f t="shared" si="86"/>
        <v>0</v>
      </c>
      <c r="BI59" s="61">
        <f t="shared" si="87"/>
        <v>0</v>
      </c>
      <c r="BK59" s="217">
        <f t="shared" si="71"/>
        <v>0</v>
      </c>
      <c r="BL59" s="213">
        <f t="shared" si="17"/>
        <v>0</v>
      </c>
      <c r="BM59" s="213">
        <f t="shared" si="72"/>
        <v>0</v>
      </c>
      <c r="BN59" s="61">
        <f t="shared" si="88"/>
        <v>0</v>
      </c>
      <c r="BO59" s="58">
        <v>0</v>
      </c>
      <c r="BP59" s="49">
        <f t="shared" si="89"/>
        <v>0</v>
      </c>
      <c r="BQ59" s="61">
        <f t="shared" si="52"/>
        <v>0</v>
      </c>
      <c r="BR59" s="58">
        <f t="shared" si="90"/>
        <v>0</v>
      </c>
      <c r="BS59" s="49">
        <f t="shared" si="91"/>
        <v>0</v>
      </c>
      <c r="BT59" s="61">
        <f t="shared" si="54"/>
        <v>0</v>
      </c>
      <c r="BU59" s="58">
        <f t="shared" si="73"/>
        <v>1.5919319411185812E-2</v>
      </c>
      <c r="BV59" s="49">
        <f t="shared" si="20"/>
        <v>1.0800000000000002E-3</v>
      </c>
      <c r="BW59" s="61">
        <f t="shared" si="74"/>
        <v>6.7499999999999999E-3</v>
      </c>
      <c r="BX59" s="49">
        <f t="shared" si="55"/>
        <v>5.096804330715921</v>
      </c>
      <c r="BY59" s="49">
        <f t="shared" si="42"/>
        <v>6.627686063215096</v>
      </c>
      <c r="BZ59" s="49">
        <f t="shared" si="92"/>
        <v>79.686925850720257</v>
      </c>
    </row>
    <row r="60" spans="17:78" x14ac:dyDescent="0.4">
      <c r="Q60" s="49">
        <v>53</v>
      </c>
      <c r="R60" s="217">
        <f t="shared" si="56"/>
        <v>26.5</v>
      </c>
      <c r="S60" s="213">
        <f t="shared" si="1"/>
        <v>15</v>
      </c>
      <c r="T60" s="218">
        <f t="shared" si="57"/>
        <v>1.7666666666666666</v>
      </c>
      <c r="U60" s="217">
        <f t="shared" si="58"/>
        <v>2</v>
      </c>
      <c r="V60" s="213">
        <f t="shared" si="59"/>
        <v>0.92592592592592593</v>
      </c>
      <c r="W60" s="213">
        <f t="shared" si="60"/>
        <v>7.407407407407407E-2</v>
      </c>
      <c r="X60" s="213">
        <f t="shared" si="22"/>
        <v>0</v>
      </c>
      <c r="Y60" s="217">
        <f t="shared" si="75"/>
        <v>1.9079999999999999</v>
      </c>
      <c r="Z60" s="213">
        <f t="shared" si="61"/>
        <v>3.0864197530864197</v>
      </c>
      <c r="AA60" s="213">
        <f t="shared" si="24"/>
        <v>3.45120987654321</v>
      </c>
      <c r="AB60" s="218">
        <f t="shared" si="62"/>
        <v>2.0262847412929048</v>
      </c>
      <c r="AC60" s="217">
        <v>0</v>
      </c>
      <c r="AD60" s="213">
        <f t="shared" si="63"/>
        <v>4.7217043307159221</v>
      </c>
      <c r="AE60" s="218">
        <f t="shared" si="26"/>
        <v>4.7217043307159221</v>
      </c>
      <c r="AF60" s="58">
        <f t="shared" si="64"/>
        <v>0.53</v>
      </c>
      <c r="AG60" s="61">
        <f t="shared" si="65"/>
        <v>0.53</v>
      </c>
      <c r="AH60" s="58">
        <f t="shared" si="66"/>
        <v>0.96487001540716666</v>
      </c>
      <c r="AI60" s="49">
        <f t="shared" si="67"/>
        <v>2.4285277123402605E-2</v>
      </c>
      <c r="AJ60" s="61">
        <f t="shared" si="44"/>
        <v>0.98915529253056922</v>
      </c>
      <c r="AK60" s="217">
        <f t="shared" si="68"/>
        <v>26.5</v>
      </c>
      <c r="AL60" s="213">
        <f t="shared" si="13"/>
        <v>1500</v>
      </c>
      <c r="AM60" s="218">
        <f t="shared" si="27"/>
        <v>1.7666666666666667E-2</v>
      </c>
      <c r="AN60" s="217">
        <f t="shared" si="76"/>
        <v>2</v>
      </c>
      <c r="AO60" s="213">
        <f t="shared" si="77"/>
        <v>7.4074074074074084E-2</v>
      </c>
      <c r="AP60" s="213">
        <f t="shared" si="78"/>
        <v>0.23849999999999999</v>
      </c>
      <c r="AQ60" s="213">
        <f t="shared" si="79"/>
        <v>0.38580246913580252</v>
      </c>
      <c r="AR60" s="213">
        <f t="shared" si="45"/>
        <v>0.43140123456790125</v>
      </c>
      <c r="AS60" s="218">
        <f t="shared" si="46"/>
        <v>7.1639984059152104E-2</v>
      </c>
      <c r="AT60" s="217"/>
      <c r="AU60" s="213">
        <f t="shared" si="80"/>
        <v>8.4270000000000005E-3</v>
      </c>
      <c r="AV60" s="218">
        <f t="shared" si="47"/>
        <v>8.4270000000000005E-3</v>
      </c>
      <c r="AW60" s="217">
        <f t="shared" si="81"/>
        <v>0</v>
      </c>
      <c r="AX60" s="213">
        <f t="shared" si="82"/>
        <v>2.0316666666666667E-2</v>
      </c>
      <c r="AY60" s="218">
        <f t="shared" si="48"/>
        <v>2.0316666666666667E-2</v>
      </c>
      <c r="AZ60" s="217">
        <f t="shared" si="69"/>
        <v>0</v>
      </c>
      <c r="BA60" s="213">
        <f t="shared" si="70"/>
        <v>0</v>
      </c>
      <c r="BB60" s="213">
        <f t="shared" si="49"/>
        <v>0</v>
      </c>
      <c r="BC60" s="61">
        <f t="shared" si="83"/>
        <v>0</v>
      </c>
      <c r="BD60" s="58">
        <v>0</v>
      </c>
      <c r="BE60" s="49">
        <f t="shared" si="84"/>
        <v>0</v>
      </c>
      <c r="BF60" s="61">
        <f t="shared" si="51"/>
        <v>0</v>
      </c>
      <c r="BG60" s="58">
        <f t="shared" si="85"/>
        <v>0</v>
      </c>
      <c r="BH60" s="49">
        <f t="shared" si="86"/>
        <v>0</v>
      </c>
      <c r="BI60" s="61">
        <f t="shared" si="87"/>
        <v>0</v>
      </c>
      <c r="BK60" s="217">
        <f t="shared" si="71"/>
        <v>0</v>
      </c>
      <c r="BL60" s="213">
        <f t="shared" si="17"/>
        <v>0</v>
      </c>
      <c r="BM60" s="213">
        <f t="shared" si="72"/>
        <v>0</v>
      </c>
      <c r="BN60" s="61">
        <f t="shared" si="88"/>
        <v>0</v>
      </c>
      <c r="BO60" s="58">
        <v>0</v>
      </c>
      <c r="BP60" s="49">
        <f t="shared" si="89"/>
        <v>0</v>
      </c>
      <c r="BQ60" s="61">
        <f t="shared" si="52"/>
        <v>0</v>
      </c>
      <c r="BR60" s="58">
        <f t="shared" si="90"/>
        <v>0</v>
      </c>
      <c r="BS60" s="49">
        <f t="shared" si="91"/>
        <v>0</v>
      </c>
      <c r="BT60" s="61">
        <f t="shared" si="54"/>
        <v>0</v>
      </c>
      <c r="BU60" s="58">
        <f t="shared" si="73"/>
        <v>1.6423319411185817E-2</v>
      </c>
      <c r="BV60" s="49">
        <f t="shared" si="20"/>
        <v>1.0800000000000002E-3</v>
      </c>
      <c r="BW60" s="61">
        <f t="shared" si="74"/>
        <v>6.7499999999999999E-3</v>
      </c>
      <c r="BX60" s="49">
        <f t="shared" si="55"/>
        <v>5.2517043307159224</v>
      </c>
      <c r="BY60" s="49">
        <f t="shared" si="42"/>
        <v>6.823856609324344</v>
      </c>
      <c r="BZ60" s="49">
        <f t="shared" si="92"/>
        <v>79.522608414372527</v>
      </c>
    </row>
    <row r="61" spans="17:78" x14ac:dyDescent="0.4">
      <c r="Q61" s="49">
        <v>54</v>
      </c>
      <c r="R61" s="217">
        <f t="shared" si="56"/>
        <v>27</v>
      </c>
      <c r="S61" s="213">
        <f t="shared" si="1"/>
        <v>15</v>
      </c>
      <c r="T61" s="218">
        <f t="shared" si="57"/>
        <v>1.8</v>
      </c>
      <c r="U61" s="217">
        <f t="shared" si="58"/>
        <v>2</v>
      </c>
      <c r="V61" s="213">
        <f t="shared" si="59"/>
        <v>0.92592592592592593</v>
      </c>
      <c r="W61" s="213">
        <f t="shared" si="60"/>
        <v>7.407407407407407E-2</v>
      </c>
      <c r="X61" s="213">
        <f t="shared" si="22"/>
        <v>0</v>
      </c>
      <c r="Y61" s="217">
        <f t="shared" si="75"/>
        <v>1.944</v>
      </c>
      <c r="Z61" s="213">
        <f t="shared" si="61"/>
        <v>3.0864197530864197</v>
      </c>
      <c r="AA61" s="213">
        <f t="shared" si="24"/>
        <v>3.4872098765432096</v>
      </c>
      <c r="AB61" s="218">
        <f t="shared" si="62"/>
        <v>2.0577244355832613</v>
      </c>
      <c r="AC61" s="217">
        <v>0</v>
      </c>
      <c r="AD61" s="213">
        <f t="shared" si="63"/>
        <v>4.8693643307159196</v>
      </c>
      <c r="AE61" s="218">
        <f t="shared" si="26"/>
        <v>4.8693643307159196</v>
      </c>
      <c r="AF61" s="58">
        <f t="shared" si="64"/>
        <v>0.54</v>
      </c>
      <c r="AG61" s="61">
        <f t="shared" si="65"/>
        <v>0.54</v>
      </c>
      <c r="AH61" s="58">
        <f t="shared" si="66"/>
        <v>0.99504401540716614</v>
      </c>
      <c r="AI61" s="49">
        <f t="shared" si="67"/>
        <v>2.4743489899315862E-2</v>
      </c>
      <c r="AJ61" s="61">
        <f t="shared" si="44"/>
        <v>1.019787505306482</v>
      </c>
      <c r="AK61" s="217">
        <f t="shared" si="68"/>
        <v>27</v>
      </c>
      <c r="AL61" s="213">
        <f t="shared" si="13"/>
        <v>1500</v>
      </c>
      <c r="AM61" s="218">
        <f t="shared" si="27"/>
        <v>1.7999999999999999E-2</v>
      </c>
      <c r="AN61" s="217">
        <f t="shared" si="76"/>
        <v>2</v>
      </c>
      <c r="AO61" s="213">
        <f t="shared" si="77"/>
        <v>7.407407407407407E-2</v>
      </c>
      <c r="AP61" s="213">
        <f t="shared" si="78"/>
        <v>0.24299999999999999</v>
      </c>
      <c r="AQ61" s="213">
        <f t="shared" si="79"/>
        <v>0.38580246913580241</v>
      </c>
      <c r="AR61" s="213">
        <f t="shared" si="45"/>
        <v>0.4359012345679012</v>
      </c>
      <c r="AS61" s="218">
        <f t="shared" si="46"/>
        <v>7.2751545110709262E-2</v>
      </c>
      <c r="AT61" s="217"/>
      <c r="AU61" s="213">
        <f t="shared" si="80"/>
        <v>8.7479999999999988E-3</v>
      </c>
      <c r="AV61" s="218">
        <f t="shared" si="47"/>
        <v>8.7479999999999988E-3</v>
      </c>
      <c r="AW61" s="217">
        <f t="shared" si="81"/>
        <v>0</v>
      </c>
      <c r="AX61" s="213">
        <f t="shared" si="82"/>
        <v>2.0699999999999996E-2</v>
      </c>
      <c r="AY61" s="218">
        <f t="shared" si="48"/>
        <v>2.0699999999999996E-2</v>
      </c>
      <c r="AZ61" s="217">
        <f t="shared" si="69"/>
        <v>0</v>
      </c>
      <c r="BA61" s="213">
        <f t="shared" si="70"/>
        <v>0</v>
      </c>
      <c r="BB61" s="213">
        <f t="shared" si="49"/>
        <v>0</v>
      </c>
      <c r="BC61" s="61">
        <f t="shared" si="83"/>
        <v>0</v>
      </c>
      <c r="BD61" s="58">
        <v>0</v>
      </c>
      <c r="BE61" s="49">
        <f t="shared" si="84"/>
        <v>0</v>
      </c>
      <c r="BF61" s="61">
        <f t="shared" si="51"/>
        <v>0</v>
      </c>
      <c r="BG61" s="58">
        <f t="shared" si="85"/>
        <v>0</v>
      </c>
      <c r="BH61" s="49">
        <f t="shared" si="86"/>
        <v>0</v>
      </c>
      <c r="BI61" s="61">
        <f t="shared" si="87"/>
        <v>0</v>
      </c>
      <c r="BK61" s="217">
        <f t="shared" si="71"/>
        <v>0</v>
      </c>
      <c r="BL61" s="213">
        <f t="shared" si="17"/>
        <v>0</v>
      </c>
      <c r="BM61" s="213">
        <f t="shared" si="72"/>
        <v>0</v>
      </c>
      <c r="BN61" s="61">
        <f t="shared" si="88"/>
        <v>0</v>
      </c>
      <c r="BO61" s="58">
        <v>0</v>
      </c>
      <c r="BP61" s="49">
        <f t="shared" si="89"/>
        <v>0</v>
      </c>
      <c r="BQ61" s="61">
        <f t="shared" si="52"/>
        <v>0</v>
      </c>
      <c r="BR61" s="58">
        <f t="shared" si="90"/>
        <v>0</v>
      </c>
      <c r="BS61" s="49">
        <f t="shared" si="91"/>
        <v>0</v>
      </c>
      <c r="BT61" s="61">
        <f t="shared" si="54"/>
        <v>0</v>
      </c>
      <c r="BU61" s="58">
        <f t="shared" si="73"/>
        <v>1.6936919411185806E-2</v>
      </c>
      <c r="BV61" s="49">
        <f t="shared" si="20"/>
        <v>1.0800000000000002E-3</v>
      </c>
      <c r="BW61" s="61">
        <f t="shared" si="74"/>
        <v>6.7499999999999999E-3</v>
      </c>
      <c r="BX61" s="49">
        <f t="shared" si="55"/>
        <v>5.4093643307159196</v>
      </c>
      <c r="BY61" s="49">
        <f t="shared" si="42"/>
        <v>7.0233667554335879</v>
      </c>
      <c r="BZ61" s="49">
        <f t="shared" si="92"/>
        <v>79.357225856221476</v>
      </c>
    </row>
    <row r="62" spans="17:78" x14ac:dyDescent="0.4">
      <c r="Q62" s="49">
        <v>55</v>
      </c>
      <c r="R62" s="217">
        <f t="shared" si="56"/>
        <v>27.5</v>
      </c>
      <c r="S62" s="213">
        <f t="shared" si="1"/>
        <v>15</v>
      </c>
      <c r="T62" s="218">
        <f t="shared" si="57"/>
        <v>1.8333333333333333</v>
      </c>
      <c r="U62" s="217">
        <f t="shared" si="58"/>
        <v>2</v>
      </c>
      <c r="V62" s="213">
        <f t="shared" si="59"/>
        <v>0.92592592592592593</v>
      </c>
      <c r="W62" s="213">
        <f t="shared" si="60"/>
        <v>7.407407407407407E-2</v>
      </c>
      <c r="X62" s="213">
        <f t="shared" si="22"/>
        <v>0</v>
      </c>
      <c r="Y62" s="217">
        <f t="shared" si="75"/>
        <v>1.98</v>
      </c>
      <c r="Z62" s="213">
        <f t="shared" si="61"/>
        <v>3.0864197530864197</v>
      </c>
      <c r="AA62" s="213">
        <f t="shared" si="24"/>
        <v>3.5232098765432101</v>
      </c>
      <c r="AB62" s="218">
        <f t="shared" si="62"/>
        <v>2.0892653859183263</v>
      </c>
      <c r="AC62" s="217">
        <v>0</v>
      </c>
      <c r="AD62" s="213">
        <f t="shared" si="63"/>
        <v>5.0197843307159218</v>
      </c>
      <c r="AE62" s="218">
        <f t="shared" si="26"/>
        <v>5.0197843307159218</v>
      </c>
      <c r="AF62" s="58">
        <f t="shared" si="64"/>
        <v>0.55000000000000004</v>
      </c>
      <c r="AG62" s="61">
        <f t="shared" si="65"/>
        <v>0.55000000000000004</v>
      </c>
      <c r="AH62" s="58">
        <f t="shared" si="66"/>
        <v>1.0257820154071664</v>
      </c>
      <c r="AI62" s="49">
        <f t="shared" si="67"/>
        <v>2.5201702675229119E-2</v>
      </c>
      <c r="AJ62" s="61">
        <f t="shared" si="44"/>
        <v>1.0509837180823955</v>
      </c>
      <c r="AK62" s="217">
        <f t="shared" si="68"/>
        <v>27.5</v>
      </c>
      <c r="AL62" s="213">
        <f t="shared" si="13"/>
        <v>1500</v>
      </c>
      <c r="AM62" s="218">
        <f t="shared" si="27"/>
        <v>1.8333333333333333E-2</v>
      </c>
      <c r="AN62" s="217">
        <f t="shared" si="76"/>
        <v>2</v>
      </c>
      <c r="AO62" s="213">
        <f t="shared" si="77"/>
        <v>7.407407407407407E-2</v>
      </c>
      <c r="AP62" s="213">
        <f t="shared" si="78"/>
        <v>0.24750000000000003</v>
      </c>
      <c r="AQ62" s="213">
        <f t="shared" si="79"/>
        <v>0.38580246913580241</v>
      </c>
      <c r="AR62" s="213">
        <f t="shared" si="45"/>
        <v>0.44040123456790126</v>
      </c>
      <c r="AS62" s="218">
        <f t="shared" si="46"/>
        <v>7.3866686104058887E-2</v>
      </c>
      <c r="AT62" s="217"/>
      <c r="AU62" s="213">
        <f t="shared" si="80"/>
        <v>9.0750000000000015E-3</v>
      </c>
      <c r="AV62" s="218">
        <f t="shared" si="47"/>
        <v>9.0750000000000015E-3</v>
      </c>
      <c r="AW62" s="217">
        <f t="shared" si="81"/>
        <v>0</v>
      </c>
      <c r="AX62" s="213">
        <f t="shared" si="82"/>
        <v>2.1083333333333332E-2</v>
      </c>
      <c r="AY62" s="218">
        <f t="shared" si="48"/>
        <v>2.1083333333333332E-2</v>
      </c>
      <c r="AZ62" s="217">
        <f t="shared" si="69"/>
        <v>0</v>
      </c>
      <c r="BA62" s="213">
        <f t="shared" si="70"/>
        <v>0</v>
      </c>
      <c r="BB62" s="213">
        <f t="shared" si="49"/>
        <v>0</v>
      </c>
      <c r="BC62" s="61">
        <f t="shared" si="83"/>
        <v>0</v>
      </c>
      <c r="BD62" s="58">
        <v>0</v>
      </c>
      <c r="BE62" s="49">
        <f t="shared" si="84"/>
        <v>0</v>
      </c>
      <c r="BF62" s="61">
        <f t="shared" si="51"/>
        <v>0</v>
      </c>
      <c r="BG62" s="58">
        <f t="shared" si="85"/>
        <v>0</v>
      </c>
      <c r="BH62" s="49">
        <f t="shared" si="86"/>
        <v>0</v>
      </c>
      <c r="BI62" s="61">
        <f t="shared" si="87"/>
        <v>0</v>
      </c>
      <c r="BK62" s="217">
        <f t="shared" si="71"/>
        <v>0</v>
      </c>
      <c r="BL62" s="213">
        <f t="shared" si="17"/>
        <v>0</v>
      </c>
      <c r="BM62" s="213">
        <f t="shared" si="72"/>
        <v>0</v>
      </c>
      <c r="BN62" s="61">
        <f t="shared" si="88"/>
        <v>0</v>
      </c>
      <c r="BO62" s="58">
        <v>0</v>
      </c>
      <c r="BP62" s="49">
        <f t="shared" si="89"/>
        <v>0</v>
      </c>
      <c r="BQ62" s="61">
        <f t="shared" si="52"/>
        <v>0</v>
      </c>
      <c r="BR62" s="58">
        <f t="shared" si="90"/>
        <v>0</v>
      </c>
      <c r="BS62" s="49">
        <f t="shared" si="91"/>
        <v>0</v>
      </c>
      <c r="BT62" s="61">
        <f t="shared" si="54"/>
        <v>0</v>
      </c>
      <c r="BU62" s="58">
        <f t="shared" si="73"/>
        <v>1.7460119411185811E-2</v>
      </c>
      <c r="BV62" s="49">
        <f t="shared" si="20"/>
        <v>1.0800000000000002E-3</v>
      </c>
      <c r="BW62" s="61">
        <f t="shared" si="74"/>
        <v>6.7499999999999999E-3</v>
      </c>
      <c r="BX62" s="49">
        <f t="shared" si="55"/>
        <v>5.5697843307159216</v>
      </c>
      <c r="BY62" s="49">
        <f t="shared" si="42"/>
        <v>7.2262165015428366</v>
      </c>
      <c r="BZ62" s="49">
        <f t="shared" si="92"/>
        <v>79.190890256582406</v>
      </c>
    </row>
    <row r="63" spans="17:78" x14ac:dyDescent="0.4">
      <c r="Q63" s="49">
        <v>56</v>
      </c>
      <c r="R63" s="217">
        <f t="shared" si="56"/>
        <v>28</v>
      </c>
      <c r="S63" s="213">
        <f t="shared" si="1"/>
        <v>15</v>
      </c>
      <c r="T63" s="218">
        <f t="shared" si="57"/>
        <v>1.8666666666666667</v>
      </c>
      <c r="U63" s="217">
        <f t="shared" si="58"/>
        <v>2</v>
      </c>
      <c r="V63" s="213">
        <f t="shared" si="59"/>
        <v>0.92592592592592593</v>
      </c>
      <c r="W63" s="213">
        <f t="shared" si="60"/>
        <v>7.407407407407407E-2</v>
      </c>
      <c r="X63" s="213">
        <f t="shared" si="22"/>
        <v>0</v>
      </c>
      <c r="Y63" s="217">
        <f t="shared" si="75"/>
        <v>2.016</v>
      </c>
      <c r="Z63" s="213">
        <f t="shared" si="61"/>
        <v>3.0864197530864197</v>
      </c>
      <c r="AA63" s="213">
        <f t="shared" si="24"/>
        <v>3.5592098765432096</v>
      </c>
      <c r="AB63" s="218">
        <f t="shared" si="62"/>
        <v>2.1209030748236595</v>
      </c>
      <c r="AC63" s="217">
        <v>0</v>
      </c>
      <c r="AD63" s="213">
        <f t="shared" si="63"/>
        <v>5.1729643307159217</v>
      </c>
      <c r="AE63" s="218">
        <f t="shared" si="26"/>
        <v>5.1729643307159217</v>
      </c>
      <c r="AF63" s="58">
        <f t="shared" si="64"/>
        <v>0.56000000000000005</v>
      </c>
      <c r="AG63" s="61">
        <f t="shared" si="65"/>
        <v>0.56000000000000005</v>
      </c>
      <c r="AH63" s="58">
        <f t="shared" si="66"/>
        <v>1.0570840154071666</v>
      </c>
      <c r="AI63" s="49">
        <f t="shared" si="67"/>
        <v>2.5659915451142375E-2</v>
      </c>
      <c r="AJ63" s="61">
        <f t="shared" si="44"/>
        <v>1.0827439308583089</v>
      </c>
      <c r="AK63" s="217">
        <f t="shared" si="68"/>
        <v>28</v>
      </c>
      <c r="AL63" s="213">
        <f t="shared" si="13"/>
        <v>1500</v>
      </c>
      <c r="AM63" s="218">
        <f t="shared" si="27"/>
        <v>1.8666666666666668E-2</v>
      </c>
      <c r="AN63" s="217">
        <f t="shared" si="76"/>
        <v>2</v>
      </c>
      <c r="AO63" s="213">
        <f t="shared" si="77"/>
        <v>7.4074074074074084E-2</v>
      </c>
      <c r="AP63" s="213">
        <f t="shared" si="78"/>
        <v>0.252</v>
      </c>
      <c r="AQ63" s="213">
        <f t="shared" si="79"/>
        <v>0.38580246913580252</v>
      </c>
      <c r="AR63" s="213">
        <f t="shared" si="45"/>
        <v>0.44490123456790126</v>
      </c>
      <c r="AS63" s="218">
        <f t="shared" si="46"/>
        <v>7.4985247322360463E-2</v>
      </c>
      <c r="AT63" s="217"/>
      <c r="AU63" s="213">
        <f t="shared" si="80"/>
        <v>9.4080000000000014E-3</v>
      </c>
      <c r="AV63" s="218">
        <f t="shared" si="47"/>
        <v>9.4080000000000014E-3</v>
      </c>
      <c r="AW63" s="217">
        <f t="shared" si="81"/>
        <v>0</v>
      </c>
      <c r="AX63" s="213">
        <f t="shared" si="82"/>
        <v>2.1466666666666665E-2</v>
      </c>
      <c r="AY63" s="218">
        <f t="shared" si="48"/>
        <v>2.1466666666666665E-2</v>
      </c>
      <c r="AZ63" s="217">
        <f t="shared" si="69"/>
        <v>0</v>
      </c>
      <c r="BA63" s="213">
        <f t="shared" si="70"/>
        <v>0</v>
      </c>
      <c r="BB63" s="213">
        <f t="shared" si="49"/>
        <v>0</v>
      </c>
      <c r="BC63" s="61">
        <f t="shared" si="83"/>
        <v>0</v>
      </c>
      <c r="BD63" s="58">
        <v>0</v>
      </c>
      <c r="BE63" s="49">
        <f t="shared" si="84"/>
        <v>0</v>
      </c>
      <c r="BF63" s="61">
        <f t="shared" si="51"/>
        <v>0</v>
      </c>
      <c r="BG63" s="58">
        <f t="shared" si="85"/>
        <v>0</v>
      </c>
      <c r="BH63" s="49">
        <f t="shared" si="86"/>
        <v>0</v>
      </c>
      <c r="BI63" s="61">
        <f t="shared" si="87"/>
        <v>0</v>
      </c>
      <c r="BK63" s="217">
        <f t="shared" si="71"/>
        <v>0</v>
      </c>
      <c r="BL63" s="213">
        <f t="shared" si="17"/>
        <v>0</v>
      </c>
      <c r="BM63" s="213">
        <f t="shared" si="72"/>
        <v>0</v>
      </c>
      <c r="BN63" s="61">
        <f t="shared" si="88"/>
        <v>0</v>
      </c>
      <c r="BO63" s="58">
        <v>0</v>
      </c>
      <c r="BP63" s="49">
        <f t="shared" si="89"/>
        <v>0</v>
      </c>
      <c r="BQ63" s="61">
        <f t="shared" si="52"/>
        <v>0</v>
      </c>
      <c r="BR63" s="58">
        <f t="shared" si="90"/>
        <v>0</v>
      </c>
      <c r="BS63" s="49">
        <f t="shared" si="91"/>
        <v>0</v>
      </c>
      <c r="BT63" s="61">
        <f t="shared" si="54"/>
        <v>0</v>
      </c>
      <c r="BU63" s="58">
        <f t="shared" si="73"/>
        <v>1.7992919411185814E-2</v>
      </c>
      <c r="BV63" s="49">
        <f t="shared" si="20"/>
        <v>1.0800000000000002E-3</v>
      </c>
      <c r="BW63" s="61">
        <f t="shared" si="74"/>
        <v>6.7499999999999999E-3</v>
      </c>
      <c r="BX63" s="49">
        <f t="shared" si="55"/>
        <v>5.7329643307159213</v>
      </c>
      <c r="BY63" s="49">
        <f t="shared" si="42"/>
        <v>7.4324058476520829</v>
      </c>
      <c r="BZ63" s="49">
        <f t="shared" si="92"/>
        <v>79.023705362799717</v>
      </c>
    </row>
    <row r="64" spans="17:78" x14ac:dyDescent="0.4">
      <c r="Q64" s="49">
        <v>57</v>
      </c>
      <c r="R64" s="217">
        <f t="shared" si="56"/>
        <v>28.5</v>
      </c>
      <c r="S64" s="213">
        <f t="shared" si="1"/>
        <v>15</v>
      </c>
      <c r="T64" s="218">
        <f t="shared" si="57"/>
        <v>1.9</v>
      </c>
      <c r="U64" s="217">
        <f t="shared" si="58"/>
        <v>2</v>
      </c>
      <c r="V64" s="213">
        <f t="shared" si="59"/>
        <v>0.92592592592592593</v>
      </c>
      <c r="W64" s="213">
        <f t="shared" si="60"/>
        <v>7.407407407407407E-2</v>
      </c>
      <c r="X64" s="213">
        <f t="shared" si="22"/>
        <v>0</v>
      </c>
      <c r="Y64" s="217">
        <f t="shared" si="75"/>
        <v>2.052</v>
      </c>
      <c r="Z64" s="213">
        <f t="shared" si="61"/>
        <v>3.0864197530864197</v>
      </c>
      <c r="AA64" s="213">
        <f t="shared" si="24"/>
        <v>3.5952098765432101</v>
      </c>
      <c r="AB64" s="218">
        <f t="shared" si="62"/>
        <v>2.1526332369441046</v>
      </c>
      <c r="AC64" s="217">
        <v>0</v>
      </c>
      <c r="AD64" s="213">
        <f t="shared" si="63"/>
        <v>5.3289043307159218</v>
      </c>
      <c r="AE64" s="218">
        <f t="shared" si="26"/>
        <v>5.3289043307159218</v>
      </c>
      <c r="AF64" s="58">
        <f t="shared" si="64"/>
        <v>0.57000000000000006</v>
      </c>
      <c r="AG64" s="61">
        <f t="shared" si="65"/>
        <v>0.57000000000000006</v>
      </c>
      <c r="AH64" s="58">
        <f t="shared" si="66"/>
        <v>1.0889500154071665</v>
      </c>
      <c r="AI64" s="49">
        <f t="shared" si="67"/>
        <v>2.6118128227055632E-2</v>
      </c>
      <c r="AJ64" s="61">
        <f t="shared" si="44"/>
        <v>1.1150681436342222</v>
      </c>
      <c r="AK64" s="217">
        <f t="shared" si="68"/>
        <v>28.5</v>
      </c>
      <c r="AL64" s="213">
        <f t="shared" si="13"/>
        <v>1500</v>
      </c>
      <c r="AM64" s="218">
        <f t="shared" si="27"/>
        <v>1.9E-2</v>
      </c>
      <c r="AN64" s="217">
        <f t="shared" si="76"/>
        <v>2</v>
      </c>
      <c r="AO64" s="213">
        <f t="shared" si="77"/>
        <v>7.407407407407407E-2</v>
      </c>
      <c r="AP64" s="213">
        <f t="shared" si="78"/>
        <v>0.25650000000000001</v>
      </c>
      <c r="AQ64" s="213">
        <f t="shared" si="79"/>
        <v>0.38580246913580241</v>
      </c>
      <c r="AR64" s="213">
        <f t="shared" si="45"/>
        <v>0.44940123456790121</v>
      </c>
      <c r="AS64" s="218">
        <f t="shared" si="46"/>
        <v>7.6107077962536226E-2</v>
      </c>
      <c r="AT64" s="217"/>
      <c r="AU64" s="213">
        <f t="shared" si="80"/>
        <v>9.7470000000000005E-3</v>
      </c>
      <c r="AV64" s="218">
        <f t="shared" si="47"/>
        <v>9.7470000000000005E-3</v>
      </c>
      <c r="AW64" s="217">
        <f t="shared" si="81"/>
        <v>0</v>
      </c>
      <c r="AX64" s="213">
        <f t="shared" si="82"/>
        <v>2.1849999999999998E-2</v>
      </c>
      <c r="AY64" s="218">
        <f t="shared" si="48"/>
        <v>2.1849999999999998E-2</v>
      </c>
      <c r="AZ64" s="217">
        <f t="shared" si="69"/>
        <v>0</v>
      </c>
      <c r="BA64" s="213">
        <f t="shared" si="70"/>
        <v>0</v>
      </c>
      <c r="BB64" s="213">
        <f t="shared" si="49"/>
        <v>0</v>
      </c>
      <c r="BC64" s="61">
        <f t="shared" si="83"/>
        <v>0</v>
      </c>
      <c r="BD64" s="58">
        <v>0</v>
      </c>
      <c r="BE64" s="49">
        <f t="shared" si="84"/>
        <v>0</v>
      </c>
      <c r="BF64" s="61">
        <f t="shared" si="51"/>
        <v>0</v>
      </c>
      <c r="BG64" s="58">
        <f t="shared" si="85"/>
        <v>0</v>
      </c>
      <c r="BH64" s="49">
        <f t="shared" si="86"/>
        <v>0</v>
      </c>
      <c r="BI64" s="61">
        <f t="shared" si="87"/>
        <v>0</v>
      </c>
      <c r="BK64" s="217">
        <f t="shared" si="71"/>
        <v>0</v>
      </c>
      <c r="BL64" s="213">
        <f t="shared" si="17"/>
        <v>0</v>
      </c>
      <c r="BM64" s="213">
        <f t="shared" si="72"/>
        <v>0</v>
      </c>
      <c r="BN64" s="61">
        <f t="shared" si="88"/>
        <v>0</v>
      </c>
      <c r="BO64" s="58">
        <v>0</v>
      </c>
      <c r="BP64" s="49">
        <f t="shared" si="89"/>
        <v>0</v>
      </c>
      <c r="BQ64" s="61">
        <f t="shared" si="52"/>
        <v>0</v>
      </c>
      <c r="BR64" s="58">
        <f t="shared" si="90"/>
        <v>0</v>
      </c>
      <c r="BS64" s="49">
        <f t="shared" si="91"/>
        <v>0</v>
      </c>
      <c r="BT64" s="61">
        <f t="shared" si="54"/>
        <v>0</v>
      </c>
      <c r="BU64" s="58">
        <f t="shared" si="73"/>
        <v>1.8535319411185813E-2</v>
      </c>
      <c r="BV64" s="49">
        <f t="shared" si="20"/>
        <v>1.0800000000000002E-3</v>
      </c>
      <c r="BW64" s="61">
        <f t="shared" si="74"/>
        <v>6.7499999999999999E-3</v>
      </c>
      <c r="BX64" s="49">
        <f t="shared" si="55"/>
        <v>5.8989043307159221</v>
      </c>
      <c r="BY64" s="49">
        <f t="shared" si="42"/>
        <v>7.6419347937613304</v>
      </c>
      <c r="BZ64" s="49">
        <f t="shared" si="92"/>
        <v>78.85576730363519</v>
      </c>
    </row>
    <row r="65" spans="17:78" x14ac:dyDescent="0.4">
      <c r="Q65" s="49">
        <v>58</v>
      </c>
      <c r="R65" s="217">
        <f t="shared" si="56"/>
        <v>29</v>
      </c>
      <c r="S65" s="213">
        <f t="shared" si="1"/>
        <v>15</v>
      </c>
      <c r="T65" s="218">
        <f t="shared" si="57"/>
        <v>1.9333333333333333</v>
      </c>
      <c r="U65" s="217">
        <f t="shared" si="58"/>
        <v>2</v>
      </c>
      <c r="V65" s="213">
        <f t="shared" si="59"/>
        <v>0.92592592592592593</v>
      </c>
      <c r="W65" s="213">
        <f t="shared" si="60"/>
        <v>7.407407407407407E-2</v>
      </c>
      <c r="X65" s="213">
        <f t="shared" si="22"/>
        <v>0</v>
      </c>
      <c r="Y65" s="217">
        <f t="shared" si="75"/>
        <v>2.0880000000000001</v>
      </c>
      <c r="Z65" s="213">
        <f t="shared" si="61"/>
        <v>3.0864197530864197</v>
      </c>
      <c r="AA65" s="213">
        <f t="shared" si="24"/>
        <v>3.6312098765432097</v>
      </c>
      <c r="AB65" s="218">
        <f t="shared" si="62"/>
        <v>2.1844518426361459</v>
      </c>
      <c r="AC65" s="217">
        <v>0</v>
      </c>
      <c r="AD65" s="213">
        <f t="shared" si="63"/>
        <v>5.4876043307159224</v>
      </c>
      <c r="AE65" s="218">
        <f t="shared" si="26"/>
        <v>5.4876043307159224</v>
      </c>
      <c r="AF65" s="58">
        <f t="shared" si="64"/>
        <v>0.57999999999999996</v>
      </c>
      <c r="AG65" s="61">
        <f t="shared" si="65"/>
        <v>0.57999999999999996</v>
      </c>
      <c r="AH65" s="58">
        <f t="shared" si="66"/>
        <v>1.1213800154071667</v>
      </c>
      <c r="AI65" s="49">
        <f t="shared" si="67"/>
        <v>2.6576341002968889E-2</v>
      </c>
      <c r="AJ65" s="61">
        <f t="shared" si="44"/>
        <v>1.1479563564101356</v>
      </c>
      <c r="AK65" s="217">
        <f t="shared" si="68"/>
        <v>29</v>
      </c>
      <c r="AL65" s="213">
        <f t="shared" si="13"/>
        <v>1500</v>
      </c>
      <c r="AM65" s="218">
        <f t="shared" si="27"/>
        <v>1.9333333333333334E-2</v>
      </c>
      <c r="AN65" s="217">
        <f t="shared" si="76"/>
        <v>2</v>
      </c>
      <c r="AO65" s="213">
        <f t="shared" si="77"/>
        <v>7.407407407407407E-2</v>
      </c>
      <c r="AP65" s="213">
        <f t="shared" si="78"/>
        <v>0.26100000000000001</v>
      </c>
      <c r="AQ65" s="213">
        <f t="shared" si="79"/>
        <v>0.38580246913580241</v>
      </c>
      <c r="AR65" s="213">
        <f t="shared" si="45"/>
        <v>0.45390123456790121</v>
      </c>
      <c r="AS65" s="218">
        <f t="shared" si="46"/>
        <v>7.7232035555173398E-2</v>
      </c>
      <c r="AT65" s="217"/>
      <c r="AU65" s="213">
        <f t="shared" si="80"/>
        <v>1.0092000000000002E-2</v>
      </c>
      <c r="AV65" s="218">
        <f t="shared" si="47"/>
        <v>1.0092000000000002E-2</v>
      </c>
      <c r="AW65" s="217">
        <f t="shared" si="81"/>
        <v>0</v>
      </c>
      <c r="AX65" s="213">
        <f t="shared" si="82"/>
        <v>2.2233333333333334E-2</v>
      </c>
      <c r="AY65" s="218">
        <f t="shared" si="48"/>
        <v>2.2233333333333334E-2</v>
      </c>
      <c r="AZ65" s="217">
        <f t="shared" si="69"/>
        <v>0</v>
      </c>
      <c r="BA65" s="213">
        <f t="shared" si="70"/>
        <v>0</v>
      </c>
      <c r="BB65" s="213">
        <f t="shared" si="49"/>
        <v>0</v>
      </c>
      <c r="BC65" s="61">
        <f t="shared" si="83"/>
        <v>0</v>
      </c>
      <c r="BD65" s="58">
        <v>0</v>
      </c>
      <c r="BE65" s="49">
        <f t="shared" si="84"/>
        <v>0</v>
      </c>
      <c r="BF65" s="61">
        <f t="shared" si="51"/>
        <v>0</v>
      </c>
      <c r="BG65" s="58">
        <f t="shared" si="85"/>
        <v>0</v>
      </c>
      <c r="BH65" s="49">
        <f t="shared" si="86"/>
        <v>0</v>
      </c>
      <c r="BI65" s="61">
        <f t="shared" si="87"/>
        <v>0</v>
      </c>
      <c r="BK65" s="217">
        <f t="shared" si="71"/>
        <v>0</v>
      </c>
      <c r="BL65" s="213">
        <f t="shared" si="17"/>
        <v>0</v>
      </c>
      <c r="BM65" s="213">
        <f t="shared" si="72"/>
        <v>0</v>
      </c>
      <c r="BN65" s="61">
        <f t="shared" si="88"/>
        <v>0</v>
      </c>
      <c r="BO65" s="58">
        <v>0</v>
      </c>
      <c r="BP65" s="49">
        <f t="shared" si="89"/>
        <v>0</v>
      </c>
      <c r="BQ65" s="61">
        <f t="shared" si="52"/>
        <v>0</v>
      </c>
      <c r="BR65" s="58">
        <f t="shared" si="90"/>
        <v>0</v>
      </c>
      <c r="BS65" s="49">
        <f t="shared" si="91"/>
        <v>0</v>
      </c>
      <c r="BT65" s="61">
        <f t="shared" si="54"/>
        <v>0</v>
      </c>
      <c r="BU65" s="58">
        <f t="shared" si="73"/>
        <v>1.9087319411185813E-2</v>
      </c>
      <c r="BV65" s="49">
        <f t="shared" si="20"/>
        <v>1.0800000000000002E-3</v>
      </c>
      <c r="BW65" s="61">
        <f t="shared" si="74"/>
        <v>6.7499999999999999E-3</v>
      </c>
      <c r="BX65" s="49">
        <f t="shared" si="55"/>
        <v>6.0676043307159224</v>
      </c>
      <c r="BY65" s="49">
        <f t="shared" si="42"/>
        <v>7.8548033398705766</v>
      </c>
      <c r="BZ65" s="49">
        <f t="shared" si="92"/>
        <v>78.687165232074292</v>
      </c>
    </row>
    <row r="66" spans="17:78" x14ac:dyDescent="0.4">
      <c r="Q66" s="49">
        <v>59</v>
      </c>
      <c r="R66" s="217">
        <f t="shared" si="56"/>
        <v>29.5</v>
      </c>
      <c r="S66" s="213">
        <f t="shared" si="1"/>
        <v>15</v>
      </c>
      <c r="T66" s="218">
        <f t="shared" si="57"/>
        <v>1.9666666666666666</v>
      </c>
      <c r="U66" s="217">
        <f t="shared" si="58"/>
        <v>2</v>
      </c>
      <c r="V66" s="213">
        <f t="shared" si="59"/>
        <v>0.92592592592592593</v>
      </c>
      <c r="W66" s="213">
        <f t="shared" si="60"/>
        <v>7.407407407407407E-2</v>
      </c>
      <c r="X66" s="213">
        <f t="shared" si="22"/>
        <v>0</v>
      </c>
      <c r="Y66" s="217">
        <f t="shared" si="75"/>
        <v>2.1240000000000001</v>
      </c>
      <c r="Z66" s="213">
        <f t="shared" si="61"/>
        <v>3.0864197530864197</v>
      </c>
      <c r="AA66" s="213">
        <f t="shared" si="24"/>
        <v>3.6672098765432102</v>
      </c>
      <c r="AB66" s="218">
        <f t="shared" si="62"/>
        <v>2.216355082742036</v>
      </c>
      <c r="AC66" s="217">
        <v>0</v>
      </c>
      <c r="AD66" s="213">
        <f t="shared" si="63"/>
        <v>5.6490643307159267</v>
      </c>
      <c r="AE66" s="218">
        <f t="shared" si="26"/>
        <v>5.6490643307159267</v>
      </c>
      <c r="AF66" s="58">
        <f t="shared" si="64"/>
        <v>0.59</v>
      </c>
      <c r="AG66" s="61">
        <f t="shared" si="65"/>
        <v>0.59</v>
      </c>
      <c r="AH66" s="58">
        <f t="shared" si="66"/>
        <v>1.1543740154071676</v>
      </c>
      <c r="AI66" s="49">
        <f t="shared" si="67"/>
        <v>2.7034553778882146E-2</v>
      </c>
      <c r="AJ66" s="61">
        <f t="shared" si="44"/>
        <v>1.1814085691860496</v>
      </c>
      <c r="AK66" s="217">
        <f t="shared" si="68"/>
        <v>29.5</v>
      </c>
      <c r="AL66" s="213">
        <f t="shared" si="13"/>
        <v>1500</v>
      </c>
      <c r="AM66" s="218">
        <f t="shared" si="27"/>
        <v>1.9666666666666666E-2</v>
      </c>
      <c r="AN66" s="217">
        <f t="shared" si="76"/>
        <v>2</v>
      </c>
      <c r="AO66" s="213">
        <f t="shared" si="77"/>
        <v>7.407407407407407E-2</v>
      </c>
      <c r="AP66" s="213">
        <f t="shared" si="78"/>
        <v>0.26550000000000001</v>
      </c>
      <c r="AQ66" s="213">
        <f t="shared" si="79"/>
        <v>0.38580246913580241</v>
      </c>
      <c r="AR66" s="213">
        <f t="shared" si="45"/>
        <v>0.45840123456790122</v>
      </c>
      <c r="AS66" s="218">
        <f t="shared" si="46"/>
        <v>7.8359985426208228E-2</v>
      </c>
      <c r="AT66" s="217"/>
      <c r="AU66" s="213">
        <f t="shared" si="80"/>
        <v>1.0442999999999999E-2</v>
      </c>
      <c r="AV66" s="218">
        <f t="shared" si="47"/>
        <v>1.0442999999999999E-2</v>
      </c>
      <c r="AW66" s="217">
        <f t="shared" si="81"/>
        <v>0</v>
      </c>
      <c r="AX66" s="213">
        <f t="shared" si="82"/>
        <v>2.2616666666666663E-2</v>
      </c>
      <c r="AY66" s="218">
        <f t="shared" si="48"/>
        <v>2.2616666666666663E-2</v>
      </c>
      <c r="AZ66" s="217">
        <f t="shared" si="69"/>
        <v>0</v>
      </c>
      <c r="BA66" s="213">
        <f t="shared" si="70"/>
        <v>0</v>
      </c>
      <c r="BB66" s="213">
        <f t="shared" si="49"/>
        <v>0</v>
      </c>
      <c r="BC66" s="61">
        <f t="shared" si="83"/>
        <v>0</v>
      </c>
      <c r="BD66" s="58">
        <v>0</v>
      </c>
      <c r="BE66" s="49">
        <f t="shared" si="84"/>
        <v>0</v>
      </c>
      <c r="BF66" s="61">
        <f t="shared" si="51"/>
        <v>0</v>
      </c>
      <c r="BG66" s="58">
        <f t="shared" si="85"/>
        <v>0</v>
      </c>
      <c r="BH66" s="49">
        <f t="shared" si="86"/>
        <v>0</v>
      </c>
      <c r="BI66" s="61">
        <f t="shared" si="87"/>
        <v>0</v>
      </c>
      <c r="BK66" s="217">
        <f t="shared" si="71"/>
        <v>0</v>
      </c>
      <c r="BL66" s="213">
        <f t="shared" si="17"/>
        <v>0</v>
      </c>
      <c r="BM66" s="213">
        <f t="shared" si="72"/>
        <v>0</v>
      </c>
      <c r="BN66" s="61">
        <f t="shared" si="88"/>
        <v>0</v>
      </c>
      <c r="BO66" s="58">
        <v>0</v>
      </c>
      <c r="BP66" s="49">
        <f t="shared" si="89"/>
        <v>0</v>
      </c>
      <c r="BQ66" s="61">
        <f t="shared" si="52"/>
        <v>0</v>
      </c>
      <c r="BR66" s="58">
        <f t="shared" si="90"/>
        <v>0</v>
      </c>
      <c r="BS66" s="49">
        <f t="shared" si="91"/>
        <v>0</v>
      </c>
      <c r="BT66" s="61">
        <f t="shared" si="54"/>
        <v>0</v>
      </c>
      <c r="BU66" s="58">
        <f t="shared" si="73"/>
        <v>1.9648919411185829E-2</v>
      </c>
      <c r="BV66" s="49">
        <f t="shared" si="20"/>
        <v>1.0800000000000002E-3</v>
      </c>
      <c r="BW66" s="61">
        <f t="shared" si="74"/>
        <v>6.7499999999999999E-3</v>
      </c>
      <c r="BX66" s="49">
        <f t="shared" si="55"/>
        <v>6.2390643307159266</v>
      </c>
      <c r="BY66" s="49">
        <f t="shared" si="42"/>
        <v>8.0710114859798292</v>
      </c>
      <c r="BZ66" s="49">
        <f t="shared" si="92"/>
        <v>78.517981904768135</v>
      </c>
    </row>
    <row r="67" spans="17:78" x14ac:dyDescent="0.4">
      <c r="Q67" s="49">
        <v>60</v>
      </c>
      <c r="R67" s="217">
        <f t="shared" si="56"/>
        <v>30</v>
      </c>
      <c r="S67" s="213">
        <f t="shared" si="1"/>
        <v>15</v>
      </c>
      <c r="T67" s="218">
        <f t="shared" si="57"/>
        <v>2</v>
      </c>
      <c r="U67" s="217">
        <f t="shared" si="58"/>
        <v>2</v>
      </c>
      <c r="V67" s="213">
        <f t="shared" si="59"/>
        <v>0.92592592592592593</v>
      </c>
      <c r="W67" s="213">
        <f t="shared" si="60"/>
        <v>7.407407407407407E-2</v>
      </c>
      <c r="X67" s="213">
        <f t="shared" si="22"/>
        <v>0</v>
      </c>
      <c r="Y67" s="217">
        <f t="shared" si="75"/>
        <v>2.16</v>
      </c>
      <c r="Z67" s="213">
        <f t="shared" si="61"/>
        <v>3.0864197530864197</v>
      </c>
      <c r="AA67" s="213">
        <f t="shared" si="24"/>
        <v>3.7032098765432098</v>
      </c>
      <c r="AB67" s="218">
        <f t="shared" si="62"/>
        <v>2.2483393544561845</v>
      </c>
      <c r="AC67" s="217">
        <v>0</v>
      </c>
      <c r="AD67" s="213">
        <f t="shared" si="63"/>
        <v>5.8132843307159208</v>
      </c>
      <c r="AE67" s="218">
        <f t="shared" si="26"/>
        <v>5.8132843307159208</v>
      </c>
      <c r="AF67" s="58">
        <f t="shared" si="64"/>
        <v>0.6</v>
      </c>
      <c r="AG67" s="61">
        <f t="shared" si="65"/>
        <v>0.6</v>
      </c>
      <c r="AH67" s="58">
        <f t="shared" si="66"/>
        <v>1.1879320154071664</v>
      </c>
      <c r="AI67" s="49">
        <f t="shared" si="67"/>
        <v>2.7492766554795402E-2</v>
      </c>
      <c r="AJ67" s="61">
        <f t="shared" si="44"/>
        <v>1.2154247819619619</v>
      </c>
      <c r="AK67" s="217">
        <f t="shared" si="68"/>
        <v>30</v>
      </c>
      <c r="AL67" s="213">
        <f t="shared" si="13"/>
        <v>1500</v>
      </c>
      <c r="AM67" s="218">
        <f t="shared" si="27"/>
        <v>0.02</v>
      </c>
      <c r="AN67" s="217">
        <f t="shared" si="76"/>
        <v>2</v>
      </c>
      <c r="AO67" s="213">
        <f t="shared" si="77"/>
        <v>7.4074074074074056E-2</v>
      </c>
      <c r="AP67" s="213">
        <f t="shared" si="78"/>
        <v>0.27000000000000007</v>
      </c>
      <c r="AQ67" s="213">
        <f t="shared" si="79"/>
        <v>0.38580246913580241</v>
      </c>
      <c r="AR67" s="213">
        <f t="shared" si="45"/>
        <v>0.46290123456790128</v>
      </c>
      <c r="AS67" s="218">
        <f t="shared" si="46"/>
        <v>7.9490800197227665E-2</v>
      </c>
      <c r="AT67" s="217"/>
      <c r="AU67" s="213">
        <f t="shared" si="80"/>
        <v>1.0800000000000001E-2</v>
      </c>
      <c r="AV67" s="218">
        <f t="shared" si="47"/>
        <v>1.0800000000000001E-2</v>
      </c>
      <c r="AW67" s="217">
        <f t="shared" si="81"/>
        <v>0</v>
      </c>
      <c r="AX67" s="213">
        <f t="shared" si="82"/>
        <v>2.3E-2</v>
      </c>
      <c r="AY67" s="218">
        <f t="shared" si="48"/>
        <v>2.3E-2</v>
      </c>
      <c r="AZ67" s="217">
        <f t="shared" si="69"/>
        <v>0</v>
      </c>
      <c r="BA67" s="213">
        <f t="shared" si="70"/>
        <v>0</v>
      </c>
      <c r="BB67" s="213">
        <f t="shared" si="49"/>
        <v>0</v>
      </c>
      <c r="BC67" s="61">
        <f t="shared" si="83"/>
        <v>0</v>
      </c>
      <c r="BD67" s="58">
        <v>0</v>
      </c>
      <c r="BE67" s="49">
        <f t="shared" si="84"/>
        <v>0</v>
      </c>
      <c r="BF67" s="61">
        <f t="shared" si="51"/>
        <v>0</v>
      </c>
      <c r="BG67" s="58">
        <f t="shared" si="85"/>
        <v>0</v>
      </c>
      <c r="BH67" s="49">
        <f t="shared" si="86"/>
        <v>0</v>
      </c>
      <c r="BI67" s="61">
        <f t="shared" si="87"/>
        <v>0</v>
      </c>
      <c r="BK67" s="217">
        <f t="shared" si="71"/>
        <v>0</v>
      </c>
      <c r="BL67" s="213">
        <f t="shared" si="17"/>
        <v>0</v>
      </c>
      <c r="BM67" s="213">
        <f t="shared" si="72"/>
        <v>0</v>
      </c>
      <c r="BN67" s="61">
        <f t="shared" si="88"/>
        <v>0</v>
      </c>
      <c r="BO67" s="58">
        <v>0</v>
      </c>
      <c r="BP67" s="49">
        <f t="shared" si="89"/>
        <v>0</v>
      </c>
      <c r="BQ67" s="61">
        <f t="shared" si="52"/>
        <v>0</v>
      </c>
      <c r="BR67" s="58">
        <f t="shared" si="90"/>
        <v>0</v>
      </c>
      <c r="BS67" s="49">
        <f t="shared" si="91"/>
        <v>0</v>
      </c>
      <c r="BT67" s="61">
        <f t="shared" si="54"/>
        <v>0</v>
      </c>
      <c r="BU67" s="58">
        <f t="shared" si="73"/>
        <v>2.0220119411185809E-2</v>
      </c>
      <c r="BV67" s="49">
        <f t="shared" si="20"/>
        <v>1.0800000000000002E-3</v>
      </c>
      <c r="BW67" s="61">
        <f t="shared" si="74"/>
        <v>6.7499999999999999E-3</v>
      </c>
      <c r="BX67" s="49">
        <f t="shared" si="55"/>
        <v>6.4132843307159204</v>
      </c>
      <c r="BY67" s="49">
        <f t="shared" si="42"/>
        <v>8.290559232089068</v>
      </c>
      <c r="BZ67" s="49">
        <f t="shared" si="92"/>
        <v>78.34829420526917</v>
      </c>
    </row>
    <row r="68" spans="17:78" x14ac:dyDescent="0.4">
      <c r="Q68" s="49">
        <v>61</v>
      </c>
      <c r="R68" s="217">
        <f t="shared" si="56"/>
        <v>30.5</v>
      </c>
      <c r="S68" s="213">
        <f t="shared" si="1"/>
        <v>15</v>
      </c>
      <c r="T68" s="218">
        <f t="shared" si="57"/>
        <v>2.0333333333333332</v>
      </c>
      <c r="U68" s="217">
        <f t="shared" si="58"/>
        <v>2</v>
      </c>
      <c r="V68" s="213">
        <f t="shared" si="59"/>
        <v>0.92592592592592593</v>
      </c>
      <c r="W68" s="213">
        <f t="shared" si="60"/>
        <v>7.407407407407407E-2</v>
      </c>
      <c r="X68" s="213">
        <f t="shared" si="22"/>
        <v>0</v>
      </c>
      <c r="Y68" s="217">
        <f t="shared" si="75"/>
        <v>2.1959999999999997</v>
      </c>
      <c r="Z68" s="213">
        <f t="shared" si="61"/>
        <v>3.0864197530864197</v>
      </c>
      <c r="AA68" s="213">
        <f t="shared" si="24"/>
        <v>3.7392098765432094</v>
      </c>
      <c r="AB68" s="218">
        <f t="shared" si="62"/>
        <v>2.2804012482009499</v>
      </c>
      <c r="AC68" s="217">
        <v>0</v>
      </c>
      <c r="AD68" s="213">
        <f t="shared" si="63"/>
        <v>5.9802643307159187</v>
      </c>
      <c r="AE68" s="218">
        <f t="shared" si="26"/>
        <v>5.9802643307159187</v>
      </c>
      <c r="AF68" s="58">
        <f t="shared" si="64"/>
        <v>0.61</v>
      </c>
      <c r="AG68" s="61">
        <f t="shared" si="65"/>
        <v>0.61</v>
      </c>
      <c r="AH68" s="58">
        <f t="shared" si="66"/>
        <v>1.222054015407166</v>
      </c>
      <c r="AI68" s="49">
        <f t="shared" si="67"/>
        <v>2.7950979330708652E-2</v>
      </c>
      <c r="AJ68" s="61">
        <f t="shared" si="44"/>
        <v>1.2500049947378746</v>
      </c>
      <c r="AK68" s="217">
        <f t="shared" si="68"/>
        <v>30.5</v>
      </c>
      <c r="AL68" s="213">
        <f t="shared" si="13"/>
        <v>1500</v>
      </c>
      <c r="AM68" s="218">
        <f t="shared" si="27"/>
        <v>2.0333333333333332E-2</v>
      </c>
      <c r="AN68" s="217">
        <f t="shared" si="76"/>
        <v>2</v>
      </c>
      <c r="AO68" s="213">
        <f t="shared" si="77"/>
        <v>7.4074074074074084E-2</v>
      </c>
      <c r="AP68" s="213">
        <f t="shared" si="78"/>
        <v>0.27449999999999997</v>
      </c>
      <c r="AQ68" s="213">
        <f t="shared" si="79"/>
        <v>0.38580246913580252</v>
      </c>
      <c r="AR68" s="213">
        <f t="shared" si="45"/>
        <v>0.46740123456790122</v>
      </c>
      <c r="AS68" s="218">
        <f t="shared" si="46"/>
        <v>8.0624359321457978E-2</v>
      </c>
      <c r="AT68" s="217"/>
      <c r="AU68" s="213">
        <f t="shared" si="80"/>
        <v>1.1162999999999998E-2</v>
      </c>
      <c r="AV68" s="218">
        <f t="shared" si="47"/>
        <v>1.1162999999999998E-2</v>
      </c>
      <c r="AW68" s="217">
        <f t="shared" si="81"/>
        <v>0</v>
      </c>
      <c r="AX68" s="213">
        <f t="shared" si="82"/>
        <v>2.3383333333333329E-2</v>
      </c>
      <c r="AY68" s="218">
        <f t="shared" si="48"/>
        <v>2.3383333333333329E-2</v>
      </c>
      <c r="AZ68" s="217">
        <f t="shared" si="69"/>
        <v>0</v>
      </c>
      <c r="BA68" s="213">
        <f t="shared" si="70"/>
        <v>0</v>
      </c>
      <c r="BB68" s="213">
        <f t="shared" si="49"/>
        <v>0</v>
      </c>
      <c r="BC68" s="61">
        <f t="shared" si="83"/>
        <v>0</v>
      </c>
      <c r="BD68" s="58">
        <v>0</v>
      </c>
      <c r="BE68" s="49">
        <f t="shared" si="84"/>
        <v>0</v>
      </c>
      <c r="BF68" s="61">
        <f t="shared" si="51"/>
        <v>0</v>
      </c>
      <c r="BG68" s="58">
        <f t="shared" si="85"/>
        <v>0</v>
      </c>
      <c r="BH68" s="49">
        <f t="shared" si="86"/>
        <v>0</v>
      </c>
      <c r="BI68" s="61">
        <f t="shared" si="87"/>
        <v>0</v>
      </c>
      <c r="BK68" s="217">
        <f t="shared" si="71"/>
        <v>0</v>
      </c>
      <c r="BL68" s="213">
        <f t="shared" si="17"/>
        <v>0</v>
      </c>
      <c r="BM68" s="213">
        <f t="shared" si="72"/>
        <v>0</v>
      </c>
      <c r="BN68" s="61">
        <f t="shared" si="88"/>
        <v>0</v>
      </c>
      <c r="BO68" s="58">
        <v>0</v>
      </c>
      <c r="BP68" s="49">
        <f t="shared" si="89"/>
        <v>0</v>
      </c>
      <c r="BQ68" s="61">
        <f t="shared" si="52"/>
        <v>0</v>
      </c>
      <c r="BR68" s="58">
        <f t="shared" si="90"/>
        <v>0</v>
      </c>
      <c r="BS68" s="49">
        <f t="shared" si="91"/>
        <v>0</v>
      </c>
      <c r="BT68" s="61">
        <f t="shared" si="54"/>
        <v>0</v>
      </c>
      <c r="BU68" s="58">
        <f t="shared" si="73"/>
        <v>2.0800919411185802E-2</v>
      </c>
      <c r="BV68" s="49">
        <f t="shared" si="20"/>
        <v>1.0800000000000002E-3</v>
      </c>
      <c r="BW68" s="61">
        <f t="shared" si="74"/>
        <v>6.7499999999999999E-3</v>
      </c>
      <c r="BX68" s="49">
        <f t="shared" si="55"/>
        <v>6.590264330715919</v>
      </c>
      <c r="BY68" s="49">
        <f t="shared" si="42"/>
        <v>8.5134465781983124</v>
      </c>
      <c r="BZ68" s="49">
        <f t="shared" si="92"/>
        <v>78.178173617309071</v>
      </c>
    </row>
    <row r="69" spans="17:78" x14ac:dyDescent="0.4">
      <c r="Q69" s="49">
        <v>62</v>
      </c>
      <c r="R69" s="217">
        <f t="shared" si="56"/>
        <v>31</v>
      </c>
      <c r="S69" s="213">
        <f t="shared" si="1"/>
        <v>15</v>
      </c>
      <c r="T69" s="218">
        <f t="shared" si="57"/>
        <v>2.0666666666666669</v>
      </c>
      <c r="U69" s="217">
        <f t="shared" si="58"/>
        <v>2</v>
      </c>
      <c r="V69" s="213">
        <f t="shared" si="59"/>
        <v>0.92592592592592593</v>
      </c>
      <c r="W69" s="213">
        <f t="shared" si="60"/>
        <v>7.407407407407407E-2</v>
      </c>
      <c r="X69" s="213">
        <f t="shared" si="22"/>
        <v>0</v>
      </c>
      <c r="Y69" s="217">
        <f t="shared" si="75"/>
        <v>2.2319999999999998</v>
      </c>
      <c r="Z69" s="213">
        <f t="shared" si="61"/>
        <v>3.0864197530864197</v>
      </c>
      <c r="AA69" s="213">
        <f t="shared" si="24"/>
        <v>3.7752098765432098</v>
      </c>
      <c r="AB69" s="218">
        <f t="shared" si="62"/>
        <v>2.312537535435145</v>
      </c>
      <c r="AC69" s="217">
        <v>0</v>
      </c>
      <c r="AD69" s="213">
        <f t="shared" si="63"/>
        <v>6.150004330715924</v>
      </c>
      <c r="AE69" s="218">
        <f t="shared" si="26"/>
        <v>6.150004330715924</v>
      </c>
      <c r="AF69" s="58">
        <f t="shared" si="64"/>
        <v>0.62</v>
      </c>
      <c r="AG69" s="61">
        <f t="shared" si="65"/>
        <v>0.62</v>
      </c>
      <c r="AH69" s="58">
        <f t="shared" si="66"/>
        <v>1.2567400154071668</v>
      </c>
      <c r="AI69" s="49">
        <f t="shared" si="67"/>
        <v>2.8409192106621909E-2</v>
      </c>
      <c r="AJ69" s="61">
        <f t="shared" si="44"/>
        <v>1.2851492075137887</v>
      </c>
      <c r="AK69" s="217">
        <f t="shared" si="68"/>
        <v>31</v>
      </c>
      <c r="AL69" s="213">
        <f t="shared" si="13"/>
        <v>1500</v>
      </c>
      <c r="AM69" s="218">
        <f t="shared" si="27"/>
        <v>2.0666666666666667E-2</v>
      </c>
      <c r="AN69" s="217">
        <f t="shared" si="76"/>
        <v>2</v>
      </c>
      <c r="AO69" s="213">
        <f t="shared" si="77"/>
        <v>7.4074074074074084E-2</v>
      </c>
      <c r="AP69" s="213">
        <f t="shared" si="78"/>
        <v>0.27899999999999997</v>
      </c>
      <c r="AQ69" s="213">
        <f t="shared" si="79"/>
        <v>0.38580246913580252</v>
      </c>
      <c r="AR69" s="213">
        <f t="shared" si="45"/>
        <v>0.47190123456790123</v>
      </c>
      <c r="AS69" s="218">
        <f t="shared" si="46"/>
        <v>8.1760548652730844E-2</v>
      </c>
      <c r="AT69" s="217"/>
      <c r="AU69" s="213">
        <f t="shared" si="80"/>
        <v>1.1532000000000001E-2</v>
      </c>
      <c r="AV69" s="218">
        <f t="shared" si="47"/>
        <v>1.1532000000000001E-2</v>
      </c>
      <c r="AW69" s="217">
        <f t="shared" si="81"/>
        <v>0</v>
      </c>
      <c r="AX69" s="213">
        <f t="shared" si="82"/>
        <v>2.3766666666666665E-2</v>
      </c>
      <c r="AY69" s="218">
        <f t="shared" si="48"/>
        <v>2.3766666666666665E-2</v>
      </c>
      <c r="AZ69" s="217">
        <f t="shared" si="69"/>
        <v>0</v>
      </c>
      <c r="BA69" s="213">
        <f t="shared" si="70"/>
        <v>0</v>
      </c>
      <c r="BB69" s="213">
        <f t="shared" si="49"/>
        <v>0</v>
      </c>
      <c r="BC69" s="61">
        <f t="shared" si="83"/>
        <v>0</v>
      </c>
      <c r="BD69" s="58">
        <v>0</v>
      </c>
      <c r="BE69" s="49">
        <f t="shared" si="84"/>
        <v>0</v>
      </c>
      <c r="BF69" s="61">
        <f t="shared" si="51"/>
        <v>0</v>
      </c>
      <c r="BG69" s="58">
        <f t="shared" si="85"/>
        <v>0</v>
      </c>
      <c r="BH69" s="49">
        <f t="shared" si="86"/>
        <v>0</v>
      </c>
      <c r="BI69" s="61">
        <f t="shared" si="87"/>
        <v>0</v>
      </c>
      <c r="BK69" s="217">
        <f t="shared" si="71"/>
        <v>0</v>
      </c>
      <c r="BL69" s="213">
        <f t="shared" si="17"/>
        <v>0</v>
      </c>
      <c r="BM69" s="213">
        <f t="shared" si="72"/>
        <v>0</v>
      </c>
      <c r="BN69" s="61">
        <f t="shared" si="88"/>
        <v>0</v>
      </c>
      <c r="BO69" s="58">
        <v>0</v>
      </c>
      <c r="BP69" s="49">
        <f t="shared" si="89"/>
        <v>0</v>
      </c>
      <c r="BQ69" s="61">
        <f t="shared" si="52"/>
        <v>0</v>
      </c>
      <c r="BR69" s="58">
        <f t="shared" si="90"/>
        <v>0</v>
      </c>
      <c r="BS69" s="49">
        <f t="shared" si="91"/>
        <v>0</v>
      </c>
      <c r="BT69" s="61">
        <f t="shared" si="54"/>
        <v>0</v>
      </c>
      <c r="BU69" s="58">
        <f t="shared" si="73"/>
        <v>2.139131941118582E-2</v>
      </c>
      <c r="BV69" s="49">
        <f t="shared" si="20"/>
        <v>1.0800000000000002E-3</v>
      </c>
      <c r="BW69" s="61">
        <f t="shared" si="74"/>
        <v>6.7499999999999999E-3</v>
      </c>
      <c r="BX69" s="49">
        <f t="shared" si="55"/>
        <v>6.7700043307159241</v>
      </c>
      <c r="BY69" s="49">
        <f t="shared" si="42"/>
        <v>8.7396735243075643</v>
      </c>
      <c r="BZ69" s="49">
        <f t="shared" si="92"/>
        <v>78.007686653586205</v>
      </c>
    </row>
    <row r="70" spans="17:78" x14ac:dyDescent="0.4">
      <c r="Q70" s="49">
        <v>63</v>
      </c>
      <c r="R70" s="217">
        <f t="shared" si="56"/>
        <v>31.5</v>
      </c>
      <c r="S70" s="213">
        <f t="shared" si="1"/>
        <v>15</v>
      </c>
      <c r="T70" s="218">
        <f t="shared" si="57"/>
        <v>2.1</v>
      </c>
      <c r="U70" s="217">
        <f t="shared" si="58"/>
        <v>2</v>
      </c>
      <c r="V70" s="213">
        <f t="shared" si="59"/>
        <v>0.92592592592592593</v>
      </c>
      <c r="W70" s="213">
        <f t="shared" si="60"/>
        <v>7.407407407407407E-2</v>
      </c>
      <c r="X70" s="213">
        <f t="shared" si="22"/>
        <v>0</v>
      </c>
      <c r="Y70" s="217">
        <f t="shared" si="75"/>
        <v>2.2679999999999998</v>
      </c>
      <c r="Z70" s="213">
        <f t="shared" si="61"/>
        <v>3.0864197530864197</v>
      </c>
      <c r="AA70" s="213">
        <f t="shared" si="24"/>
        <v>3.8112098765432094</v>
      </c>
      <c r="AB70" s="218">
        <f t="shared" si="62"/>
        <v>2.3447451573244487</v>
      </c>
      <c r="AC70" s="217">
        <v>0</v>
      </c>
      <c r="AD70" s="213">
        <f t="shared" si="63"/>
        <v>6.3225043307159217</v>
      </c>
      <c r="AE70" s="218">
        <f t="shared" si="26"/>
        <v>6.3225043307159217</v>
      </c>
      <c r="AF70" s="58">
        <f t="shared" si="64"/>
        <v>0.63</v>
      </c>
      <c r="AG70" s="61">
        <f t="shared" si="65"/>
        <v>0.63</v>
      </c>
      <c r="AH70" s="58">
        <f t="shared" si="66"/>
        <v>1.2919900154071666</v>
      </c>
      <c r="AI70" s="49">
        <f t="shared" si="67"/>
        <v>2.8867404882535173E-2</v>
      </c>
      <c r="AJ70" s="61">
        <f t="shared" si="44"/>
        <v>1.3208574202897019</v>
      </c>
      <c r="AK70" s="217">
        <f t="shared" si="68"/>
        <v>31.5</v>
      </c>
      <c r="AL70" s="213">
        <f t="shared" si="13"/>
        <v>1500</v>
      </c>
      <c r="AM70" s="218">
        <f t="shared" si="27"/>
        <v>2.1000000000000001E-2</v>
      </c>
      <c r="AN70" s="217">
        <f t="shared" si="76"/>
        <v>2</v>
      </c>
      <c r="AO70" s="213">
        <f t="shared" si="77"/>
        <v>7.4074074074074084E-2</v>
      </c>
      <c r="AP70" s="213">
        <f t="shared" si="78"/>
        <v>0.28349999999999997</v>
      </c>
      <c r="AQ70" s="213">
        <f t="shared" si="79"/>
        <v>0.38580246913580252</v>
      </c>
      <c r="AR70" s="213">
        <f t="shared" si="45"/>
        <v>0.47640123456790123</v>
      </c>
      <c r="AS70" s="218">
        <f t="shared" si="46"/>
        <v>8.2899260044921777E-2</v>
      </c>
      <c r="AT70" s="217"/>
      <c r="AU70" s="213">
        <f t="shared" si="80"/>
        <v>1.1907000000000001E-2</v>
      </c>
      <c r="AV70" s="218">
        <f t="shared" si="47"/>
        <v>1.1907000000000001E-2</v>
      </c>
      <c r="AW70" s="217">
        <f t="shared" si="81"/>
        <v>0</v>
      </c>
      <c r="AX70" s="213">
        <f t="shared" si="82"/>
        <v>2.4150000000000001E-2</v>
      </c>
      <c r="AY70" s="218">
        <f t="shared" si="48"/>
        <v>2.4150000000000001E-2</v>
      </c>
      <c r="AZ70" s="217">
        <f t="shared" si="69"/>
        <v>0</v>
      </c>
      <c r="BA70" s="213">
        <f t="shared" si="70"/>
        <v>0</v>
      </c>
      <c r="BB70" s="213">
        <f t="shared" si="49"/>
        <v>0</v>
      </c>
      <c r="BC70" s="61">
        <f t="shared" si="83"/>
        <v>0</v>
      </c>
      <c r="BD70" s="58">
        <v>0</v>
      </c>
      <c r="BE70" s="49">
        <f t="shared" si="84"/>
        <v>0</v>
      </c>
      <c r="BF70" s="61">
        <f t="shared" si="51"/>
        <v>0</v>
      </c>
      <c r="BG70" s="58">
        <f t="shared" si="85"/>
        <v>0</v>
      </c>
      <c r="BH70" s="49">
        <f t="shared" si="86"/>
        <v>0</v>
      </c>
      <c r="BI70" s="61">
        <f t="shared" si="87"/>
        <v>0</v>
      </c>
      <c r="BK70" s="217">
        <f t="shared" si="71"/>
        <v>0</v>
      </c>
      <c r="BL70" s="213">
        <f t="shared" si="17"/>
        <v>0</v>
      </c>
      <c r="BM70" s="213">
        <f t="shared" si="72"/>
        <v>0</v>
      </c>
      <c r="BN70" s="61">
        <f t="shared" si="88"/>
        <v>0</v>
      </c>
      <c r="BO70" s="58">
        <v>0</v>
      </c>
      <c r="BP70" s="49">
        <f t="shared" si="89"/>
        <v>0</v>
      </c>
      <c r="BQ70" s="61">
        <f t="shared" si="52"/>
        <v>0</v>
      </c>
      <c r="BR70" s="58">
        <f t="shared" si="90"/>
        <v>0</v>
      </c>
      <c r="BS70" s="49">
        <f t="shared" si="91"/>
        <v>0</v>
      </c>
      <c r="BT70" s="61">
        <f t="shared" si="54"/>
        <v>0</v>
      </c>
      <c r="BU70" s="58">
        <f t="shared" si="73"/>
        <v>2.1991319411185813E-2</v>
      </c>
      <c r="BV70" s="49">
        <f t="shared" si="20"/>
        <v>1.0800000000000002E-3</v>
      </c>
      <c r="BW70" s="61">
        <f t="shared" si="74"/>
        <v>6.7499999999999999E-3</v>
      </c>
      <c r="BX70" s="49">
        <f t="shared" si="55"/>
        <v>6.9525043307159216</v>
      </c>
      <c r="BY70" s="49">
        <f t="shared" si="42"/>
        <v>8.9692400704168112</v>
      </c>
      <c r="BZ70" s="49">
        <f t="shared" si="92"/>
        <v>77.836895244856947</v>
      </c>
    </row>
    <row r="71" spans="17:78" x14ac:dyDescent="0.4">
      <c r="Q71" s="49">
        <v>64</v>
      </c>
      <c r="R71" s="217">
        <f t="shared" ref="R71:R102" si="93">AK71+AZ71+BK71</f>
        <v>32</v>
      </c>
      <c r="S71" s="213">
        <f t="shared" ref="S71:S134" si="94">VIN_var</f>
        <v>15</v>
      </c>
      <c r="T71" s="218">
        <f t="shared" ref="T71:T102" si="95">(R71)/(S71*EFF_est)</f>
        <v>2.1333333333333333</v>
      </c>
      <c r="U71" s="217">
        <f t="shared" ref="U71:U102" si="96">IF(R71&lt;((((Np/NS1_)*(AL71)/((S71+((Np/NS1_)*(AL71)))))^2)*(S71^2))/(2*Lm*Fsw),1,2)</f>
        <v>2</v>
      </c>
      <c r="V71" s="213">
        <f t="shared" ref="V71:V102" si="97">CHOOSE(U71,SQRT((2*Lm*R71*Fsw)/((S71^2)*EFF_est)),(((Np/NS1_)*(AL71))/(S71+((Np/NS1_)*(AL71)))))</f>
        <v>0.92592592592592593</v>
      </c>
      <c r="W71" s="213">
        <f t="shared" ref="W71:W102" si="98">CHOOSE(U71,(NS1_*S71*V71)/(Np*AL71),1-V71)</f>
        <v>7.407407407407407E-2</v>
      </c>
      <c r="X71" s="213">
        <f t="shared" si="22"/>
        <v>0</v>
      </c>
      <c r="Y71" s="217">
        <f t="shared" si="75"/>
        <v>2.3039999999999998</v>
      </c>
      <c r="Z71" s="213">
        <f t="shared" ref="Z71:Z102" si="99">(S71*V71)/(Lm*Fsw)</f>
        <v>3.0864197530864197</v>
      </c>
      <c r="AA71" s="213">
        <f t="shared" si="24"/>
        <v>3.8472098765432099</v>
      </c>
      <c r="AB71" s="218">
        <f t="shared" ref="AB71:AB102" si="100">CHOOSE(U71,AA71*SQRT(V71/3),SQRT(V71*((AA71^2)+((Z71^2)/(3))-(AA71*Z71))))</f>
        <v>2.3770212142083325</v>
      </c>
      <c r="AC71" s="217">
        <v>0</v>
      </c>
      <c r="AD71" s="213">
        <f t="shared" ref="AD71:AD102" si="101">(AB71^2)*Rdcr</f>
        <v>6.4977643307159241</v>
      </c>
      <c r="AE71" s="218">
        <f t="shared" si="26"/>
        <v>6.4977643307159241</v>
      </c>
      <c r="AF71" s="58">
        <f t="shared" ref="AF71:AF102" si="102">R71*0.02</f>
        <v>0.64</v>
      </c>
      <c r="AG71" s="61">
        <f t="shared" ref="AG71:AG102" si="103">R71*0.02</f>
        <v>0.64</v>
      </c>
      <c r="AH71" s="58">
        <f t="shared" ref="AH71:AH102" si="104">(AB71^2)*RDS_on</f>
        <v>1.3278040154071671</v>
      </c>
      <c r="AI71" s="49">
        <f t="shared" ref="AI71:AI102" si="105">((Y71*(S71+((Np/NS1_)*VOUT1)))/2)*Fsw*(tr_sw+tf_sw)</f>
        <v>2.9325617658448423E-2</v>
      </c>
      <c r="AJ71" s="61">
        <f t="shared" si="44"/>
        <v>1.3571296330656155</v>
      </c>
      <c r="AK71" s="217">
        <f t="shared" ref="AK71:AK102" si="106">Q71*$B$11</f>
        <v>32</v>
      </c>
      <c r="AL71" s="213">
        <f t="shared" ref="AL71:AL134" si="107">VOUT1</f>
        <v>1500</v>
      </c>
      <c r="AM71" s="218">
        <f t="shared" si="27"/>
        <v>2.1333333333333333E-2</v>
      </c>
      <c r="AN71" s="217">
        <f t="shared" si="76"/>
        <v>2</v>
      </c>
      <c r="AO71" s="213">
        <f t="shared" si="77"/>
        <v>7.4074074074074084E-2</v>
      </c>
      <c r="AP71" s="213">
        <f t="shared" si="78"/>
        <v>0.28799999999999998</v>
      </c>
      <c r="AQ71" s="213">
        <f t="shared" si="79"/>
        <v>0.38580246913580252</v>
      </c>
      <c r="AR71" s="213">
        <f t="shared" si="45"/>
        <v>0.48090123456790124</v>
      </c>
      <c r="AS71" s="218">
        <f t="shared" si="46"/>
        <v>8.4040390979549628E-2</v>
      </c>
      <c r="AT71" s="217"/>
      <c r="AU71" s="213">
        <f t="shared" si="80"/>
        <v>1.2288E-2</v>
      </c>
      <c r="AV71" s="218">
        <f t="shared" si="47"/>
        <v>1.2288E-2</v>
      </c>
      <c r="AW71" s="217">
        <f t="shared" si="81"/>
        <v>0</v>
      </c>
      <c r="AX71" s="213">
        <f t="shared" si="82"/>
        <v>2.4533333333333331E-2</v>
      </c>
      <c r="AY71" s="218">
        <f t="shared" si="48"/>
        <v>2.4533333333333331E-2</v>
      </c>
      <c r="AZ71" s="217">
        <f t="shared" ref="AZ71:AZ102" si="108">IF(EN_OUT_2=1,Q71*$B$15,0)</f>
        <v>0</v>
      </c>
      <c r="BA71" s="213">
        <f t="shared" ref="BA71:BA102" si="109">IF(EN_OUT_2=1,VOUT2,0)</f>
        <v>0</v>
      </c>
      <c r="BB71" s="213">
        <f t="shared" si="49"/>
        <v>0</v>
      </c>
      <c r="BC71" s="61">
        <f t="shared" si="83"/>
        <v>0</v>
      </c>
      <c r="BD71" s="58">
        <v>0</v>
      </c>
      <c r="BE71" s="49">
        <f t="shared" si="84"/>
        <v>0</v>
      </c>
      <c r="BF71" s="61">
        <f t="shared" si="51"/>
        <v>0</v>
      </c>
      <c r="BG71" s="58">
        <f t="shared" si="85"/>
        <v>0</v>
      </c>
      <c r="BH71" s="49">
        <f t="shared" si="86"/>
        <v>0</v>
      </c>
      <c r="BI71" s="61">
        <f t="shared" si="87"/>
        <v>0</v>
      </c>
      <c r="BK71" s="217">
        <f t="shared" ref="BK71:BK102" si="110">IF(EN_OUT_3=1,Q71*$B$19,0)</f>
        <v>0</v>
      </c>
      <c r="BL71" s="213">
        <f t="shared" ref="BL71:BL134" si="111">IF(EN_OUT_3=1,VOUT3,0)</f>
        <v>0</v>
      </c>
      <c r="BM71" s="213">
        <f t="shared" ref="BM71:BM102" si="112">IF(EN_OUT_3=1,BK71/BL71,0)</f>
        <v>0</v>
      </c>
      <c r="BN71" s="61">
        <f t="shared" si="88"/>
        <v>0</v>
      </c>
      <c r="BO71" s="58">
        <v>0</v>
      </c>
      <c r="BP71" s="49">
        <f t="shared" si="89"/>
        <v>0</v>
      </c>
      <c r="BQ71" s="61">
        <f t="shared" si="52"/>
        <v>0</v>
      </c>
      <c r="BR71" s="58">
        <f t="shared" si="90"/>
        <v>0</v>
      </c>
      <c r="BS71" s="49">
        <f t="shared" si="91"/>
        <v>0</v>
      </c>
      <c r="BT71" s="61">
        <f t="shared" si="54"/>
        <v>0</v>
      </c>
      <c r="BU71" s="58">
        <f t="shared" ref="BU71:BU102" si="113">(AB71^2)*R_cs</f>
        <v>2.2600919411185822E-2</v>
      </c>
      <c r="BV71" s="49">
        <f t="shared" ref="BV71:BV134" si="114">Qg_tot*Vcc*Fsw</f>
        <v>1.0800000000000002E-3</v>
      </c>
      <c r="BW71" s="61">
        <f t="shared" ref="BW71:BW102" si="115">IQ*S71</f>
        <v>6.7499999999999999E-3</v>
      </c>
      <c r="BX71" s="49">
        <f t="shared" si="55"/>
        <v>7.1377643307159238</v>
      </c>
      <c r="BY71" s="49">
        <f t="shared" si="42"/>
        <v>9.2021462165260601</v>
      </c>
      <c r="BZ71" s="49">
        <f t="shared" si="92"/>
        <v>77.665857093543579</v>
      </c>
    </row>
    <row r="72" spans="17:78" x14ac:dyDescent="0.4">
      <c r="Q72" s="49">
        <v>65</v>
      </c>
      <c r="R72" s="217">
        <f t="shared" si="93"/>
        <v>32.5</v>
      </c>
      <c r="S72" s="213">
        <f t="shared" si="94"/>
        <v>15</v>
      </c>
      <c r="T72" s="218">
        <f t="shared" si="95"/>
        <v>2.1666666666666665</v>
      </c>
      <c r="U72" s="217">
        <f t="shared" si="96"/>
        <v>2</v>
      </c>
      <c r="V72" s="213">
        <f t="shared" si="97"/>
        <v>0.92592592592592593</v>
      </c>
      <c r="W72" s="213">
        <f t="shared" si="98"/>
        <v>7.407407407407407E-2</v>
      </c>
      <c r="X72" s="213">
        <f t="shared" ref="X72:X135" si="116">CHOOSE(U72,1-V72-W72,0)</f>
        <v>0</v>
      </c>
      <c r="Y72" s="217">
        <f t="shared" ref="Y72:Y103" si="117">R72/(S72*EFF_est*V72)</f>
        <v>2.34</v>
      </c>
      <c r="Z72" s="213">
        <f t="shared" si="99"/>
        <v>3.0864197530864197</v>
      </c>
      <c r="AA72" s="213">
        <f t="shared" ref="AA72:AA135" si="118">Y72+(Z72/2)</f>
        <v>3.8832098765432095</v>
      </c>
      <c r="AB72" s="218">
        <f t="shared" si="100"/>
        <v>2.4093629558031417</v>
      </c>
      <c r="AC72" s="217">
        <v>0</v>
      </c>
      <c r="AD72" s="213">
        <f t="shared" si="101"/>
        <v>6.6757843307159206</v>
      </c>
      <c r="AE72" s="218">
        <f t="shared" ref="AE72:AE135" si="119">AC72+AD72</f>
        <v>6.6757843307159206</v>
      </c>
      <c r="AF72" s="58">
        <f t="shared" si="102"/>
        <v>0.65</v>
      </c>
      <c r="AG72" s="61">
        <f t="shared" si="103"/>
        <v>0.65</v>
      </c>
      <c r="AH72" s="58">
        <f t="shared" si="104"/>
        <v>1.3641820154071664</v>
      </c>
      <c r="AI72" s="49">
        <f t="shared" si="105"/>
        <v>2.9783830434361686E-2</v>
      </c>
      <c r="AJ72" s="61">
        <f t="shared" ref="AJ72:AJ135" si="120">AH72+AI72</f>
        <v>1.3939658458415281</v>
      </c>
      <c r="AK72" s="217">
        <f t="shared" si="106"/>
        <v>32.5</v>
      </c>
      <c r="AL72" s="213">
        <f t="shared" si="107"/>
        <v>1500</v>
      </c>
      <c r="AM72" s="218">
        <f t="shared" ref="AM72:AM103" si="121">AK72/AL72</f>
        <v>2.1666666666666667E-2</v>
      </c>
      <c r="AN72" s="217">
        <f t="shared" ref="AN72:AN103" si="122">IF(((AL72*AO72)/(Fsw*$AO$2))/2&gt;AP72,1,2)</f>
        <v>2</v>
      </c>
      <c r="AO72" s="213">
        <f t="shared" ref="AO72:AO103" si="123">AM72/AP72</f>
        <v>7.4074074074074084E-2</v>
      </c>
      <c r="AP72" s="213">
        <f t="shared" ref="AP72:AP103" si="124">Np*$Y72*AK72/(R72*NS1_)</f>
        <v>0.29249999999999998</v>
      </c>
      <c r="AQ72" s="213">
        <f t="shared" ref="AQ72:AQ103" si="125">(AL72*AO72)/(Fsw*$AO$2)</f>
        <v>0.38580246913580252</v>
      </c>
      <c r="AR72" s="213">
        <f t="shared" si="45"/>
        <v>0.48540123456790124</v>
      </c>
      <c r="AS72" s="218">
        <f t="shared" si="46"/>
        <v>8.5183844219403282E-2</v>
      </c>
      <c r="AT72" s="217"/>
      <c r="AU72" s="213">
        <f t="shared" ref="AU72:AU103" si="126">(AM72^2)*Rdcr1</f>
        <v>1.2675000000000001E-2</v>
      </c>
      <c r="AV72" s="218">
        <f t="shared" si="47"/>
        <v>1.2675000000000001E-2</v>
      </c>
      <c r="AW72" s="217">
        <f t="shared" ref="AW72:AW103" si="127">(VOUT1+((NS1_/Np)*S72))*QRR1_*Fsw</f>
        <v>0</v>
      </c>
      <c r="AX72" s="213">
        <f t="shared" ref="AX72:AX103" si="128">AM72*VD1_</f>
        <v>2.4916666666666667E-2</v>
      </c>
      <c r="AY72" s="218">
        <f t="shared" si="48"/>
        <v>2.4916666666666667E-2</v>
      </c>
      <c r="AZ72" s="217">
        <f t="shared" si="108"/>
        <v>0</v>
      </c>
      <c r="BA72" s="213">
        <f t="shared" si="109"/>
        <v>0</v>
      </c>
      <c r="BB72" s="213">
        <f t="shared" si="49"/>
        <v>0</v>
      </c>
      <c r="BC72" s="61">
        <f t="shared" ref="BC72:BC103" si="129">IF(EN_OUT_2=1,AZ72/BA72,0)</f>
        <v>0</v>
      </c>
      <c r="BD72" s="58">
        <v>0</v>
      </c>
      <c r="BE72" s="49">
        <f t="shared" ref="BE72:BE103" si="130">(BB72^2)*Rdcr2</f>
        <v>0</v>
      </c>
      <c r="BF72" s="61">
        <f t="shared" si="51"/>
        <v>0</v>
      </c>
      <c r="BG72" s="58">
        <f t="shared" ref="BG72:BG103" si="131">(VOUT2+((NS2_/Np)*S72))*QRR2_*Fsw</f>
        <v>0</v>
      </c>
      <c r="BH72" s="49">
        <f t="shared" ref="BH72:BH103" si="132">BB72*VD2_</f>
        <v>0</v>
      </c>
      <c r="BI72" s="61">
        <f t="shared" ref="BI72:BI103" si="133">BH72+BG72</f>
        <v>0</v>
      </c>
      <c r="BK72" s="217">
        <f t="shared" si="110"/>
        <v>0</v>
      </c>
      <c r="BL72" s="213">
        <f t="shared" si="111"/>
        <v>0</v>
      </c>
      <c r="BM72" s="213">
        <f t="shared" si="112"/>
        <v>0</v>
      </c>
      <c r="BN72" s="61">
        <f t="shared" ref="BN72:BN79" si="134">Y72*(Np/NS3_)*(BK72/R72)</f>
        <v>0</v>
      </c>
      <c r="BO72" s="58">
        <v>0</v>
      </c>
      <c r="BP72" s="49">
        <f t="shared" ref="BP72:BP103" si="135">(BM72^2)*Rdcr3</f>
        <v>0</v>
      </c>
      <c r="BQ72" s="61">
        <f t="shared" si="52"/>
        <v>0</v>
      </c>
      <c r="BR72" s="58">
        <f t="shared" ref="BR72:BR103" si="136">(VOUT3+((NS3_/Np)*S72))*QRR3_*Fsw</f>
        <v>0</v>
      </c>
      <c r="BS72" s="49">
        <f t="shared" ref="BS72:BS103" si="137">BM72*VD3_</f>
        <v>0</v>
      </c>
      <c r="BT72" s="61">
        <f t="shared" si="54"/>
        <v>0</v>
      </c>
      <c r="BU72" s="58">
        <f t="shared" si="113"/>
        <v>2.3220119411185808E-2</v>
      </c>
      <c r="BV72" s="49">
        <f t="shared" si="114"/>
        <v>1.0800000000000002E-3</v>
      </c>
      <c r="BW72" s="61">
        <f t="shared" si="115"/>
        <v>6.7499999999999999E-3</v>
      </c>
      <c r="BX72" s="49">
        <f t="shared" ref="BX72:BX135" si="138">BF72+BQ72+AE72+AG72</f>
        <v>7.3257843307159209</v>
      </c>
      <c r="BY72" s="49">
        <f t="shared" ref="BY72:BY135" si="139">BW72+BV72+BU72+BT72+BQ72+BI72+BF72++AY72+AV72+AJ72+AF72+AE72+AG72</f>
        <v>9.4383919626353023</v>
      </c>
      <c r="BZ72" s="49">
        <f t="shared" ref="BZ72:BZ103" si="140">(R72/(R72+BY72))*100</f>
        <v>77.49462599556901</v>
      </c>
    </row>
    <row r="73" spans="17:78" x14ac:dyDescent="0.4">
      <c r="Q73" s="49">
        <v>66</v>
      </c>
      <c r="R73" s="217">
        <f t="shared" si="93"/>
        <v>33</v>
      </c>
      <c r="S73" s="213">
        <f t="shared" si="94"/>
        <v>15</v>
      </c>
      <c r="T73" s="218">
        <f t="shared" si="95"/>
        <v>2.2000000000000002</v>
      </c>
      <c r="U73" s="217">
        <f t="shared" si="96"/>
        <v>2</v>
      </c>
      <c r="V73" s="213">
        <f t="shared" si="97"/>
        <v>0.92592592592592593</v>
      </c>
      <c r="W73" s="213">
        <f t="shared" si="98"/>
        <v>7.407407407407407E-2</v>
      </c>
      <c r="X73" s="213">
        <f t="shared" si="116"/>
        <v>0</v>
      </c>
      <c r="Y73" s="217">
        <f t="shared" si="117"/>
        <v>2.3759999999999999</v>
      </c>
      <c r="Z73" s="213">
        <f t="shared" si="99"/>
        <v>3.0864197530864197</v>
      </c>
      <c r="AA73" s="213">
        <f t="shared" si="118"/>
        <v>3.91920987654321</v>
      </c>
      <c r="AB73" s="218">
        <f t="shared" si="100"/>
        <v>2.441767772085718</v>
      </c>
      <c r="AC73" s="217">
        <v>0</v>
      </c>
      <c r="AD73" s="213">
        <f t="shared" si="101"/>
        <v>6.8565643307159192</v>
      </c>
      <c r="AE73" s="218">
        <f t="shared" si="119"/>
        <v>6.8565643307159192</v>
      </c>
      <c r="AF73" s="58">
        <f t="shared" si="102"/>
        <v>0.66</v>
      </c>
      <c r="AG73" s="61">
        <f t="shared" si="103"/>
        <v>0.66</v>
      </c>
      <c r="AH73" s="58">
        <f t="shared" si="104"/>
        <v>1.401124015407166</v>
      </c>
      <c r="AI73" s="49">
        <f t="shared" si="105"/>
        <v>3.0242043210274943E-2</v>
      </c>
      <c r="AJ73" s="61">
        <f t="shared" si="120"/>
        <v>1.431366058617441</v>
      </c>
      <c r="AK73" s="217">
        <f t="shared" si="106"/>
        <v>33</v>
      </c>
      <c r="AL73" s="213">
        <f t="shared" si="107"/>
        <v>1500</v>
      </c>
      <c r="AM73" s="218">
        <f t="shared" si="121"/>
        <v>2.1999999999999999E-2</v>
      </c>
      <c r="AN73" s="217">
        <f t="shared" si="122"/>
        <v>2</v>
      </c>
      <c r="AO73" s="213">
        <f t="shared" si="123"/>
        <v>7.407407407407407E-2</v>
      </c>
      <c r="AP73" s="213">
        <f t="shared" si="124"/>
        <v>0.29699999999999999</v>
      </c>
      <c r="AQ73" s="213">
        <f t="shared" si="125"/>
        <v>0.38580246913580241</v>
      </c>
      <c r="AR73" s="213">
        <f t="shared" ref="AR73:AR136" si="141">AP73+(AQ73/2)</f>
        <v>0.48990123456790119</v>
      </c>
      <c r="AS73" s="218">
        <f t="shared" ref="AS73:AS136" si="142">CHOOSE(AN73,AR73*SQRT(AO73/3),SQRT(AO73*((AR73^2)+((AQ73^2)/(3))-(AQ73*AR73))))</f>
        <v>8.6329527486228977E-2</v>
      </c>
      <c r="AT73" s="217"/>
      <c r="AU73" s="213">
        <f t="shared" si="126"/>
        <v>1.3067999999999998E-2</v>
      </c>
      <c r="AV73" s="218">
        <f t="shared" ref="AV73:AV136" si="143">AT73+AU73</f>
        <v>1.3067999999999998E-2</v>
      </c>
      <c r="AW73" s="217">
        <f t="shared" si="127"/>
        <v>0</v>
      </c>
      <c r="AX73" s="213">
        <f t="shared" si="128"/>
        <v>2.5299999999999996E-2</v>
      </c>
      <c r="AY73" s="218">
        <f t="shared" ref="AY73:AY136" si="144">AW73+AX73</f>
        <v>2.5299999999999996E-2</v>
      </c>
      <c r="AZ73" s="217">
        <f t="shared" si="108"/>
        <v>0</v>
      </c>
      <c r="BA73" s="213">
        <f t="shared" si="109"/>
        <v>0</v>
      </c>
      <c r="BB73" s="213">
        <f t="shared" ref="BB73:BB136" si="145">IF(EN_OUT_2=1,AZ73/BA73,0)</f>
        <v>0</v>
      </c>
      <c r="BC73" s="61">
        <f t="shared" si="129"/>
        <v>0</v>
      </c>
      <c r="BD73" s="58">
        <v>0</v>
      </c>
      <c r="BE73" s="49">
        <f t="shared" si="130"/>
        <v>0</v>
      </c>
      <c r="BF73" s="61">
        <f t="shared" ref="BF73:BF136" si="146">BD73+BE73</f>
        <v>0</v>
      </c>
      <c r="BG73" s="58">
        <f t="shared" si="131"/>
        <v>0</v>
      </c>
      <c r="BH73" s="49">
        <f t="shared" si="132"/>
        <v>0</v>
      </c>
      <c r="BI73" s="61">
        <f t="shared" si="133"/>
        <v>0</v>
      </c>
      <c r="BK73" s="217">
        <f t="shared" si="110"/>
        <v>0</v>
      </c>
      <c r="BL73" s="213">
        <f t="shared" si="111"/>
        <v>0</v>
      </c>
      <c r="BM73" s="213">
        <f t="shared" si="112"/>
        <v>0</v>
      </c>
      <c r="BN73" s="61">
        <f t="shared" si="134"/>
        <v>0</v>
      </c>
      <c r="BO73" s="58">
        <v>0</v>
      </c>
      <c r="BP73" s="49">
        <f t="shared" si="135"/>
        <v>0</v>
      </c>
      <c r="BQ73" s="61">
        <f t="shared" ref="BQ73:BQ136" si="147">BO73+BP73</f>
        <v>0</v>
      </c>
      <c r="BR73" s="58">
        <f t="shared" si="136"/>
        <v>0</v>
      </c>
      <c r="BS73" s="49">
        <f t="shared" si="137"/>
        <v>0</v>
      </c>
      <c r="BT73" s="61">
        <f t="shared" ref="BT73:BT136" si="148">BS73+BR73</f>
        <v>0</v>
      </c>
      <c r="BU73" s="58">
        <f t="shared" si="113"/>
        <v>2.3848919411185804E-2</v>
      </c>
      <c r="BV73" s="49">
        <f t="shared" si="114"/>
        <v>1.0800000000000002E-3</v>
      </c>
      <c r="BW73" s="61">
        <f t="shared" si="115"/>
        <v>6.7499999999999999E-3</v>
      </c>
      <c r="BX73" s="49">
        <f t="shared" si="138"/>
        <v>7.5165643307159193</v>
      </c>
      <c r="BY73" s="49">
        <f t="shared" si="139"/>
        <v>9.6779773087445466</v>
      </c>
      <c r="BZ73" s="49">
        <f t="shared" si="140"/>
        <v>77.323252133691057</v>
      </c>
    </row>
    <row r="74" spans="17:78" x14ac:dyDescent="0.4">
      <c r="Q74" s="49">
        <v>67</v>
      </c>
      <c r="R74" s="217">
        <f t="shared" si="93"/>
        <v>33.5</v>
      </c>
      <c r="S74" s="213">
        <f t="shared" si="94"/>
        <v>15</v>
      </c>
      <c r="T74" s="218">
        <f t="shared" si="95"/>
        <v>2.2333333333333334</v>
      </c>
      <c r="U74" s="217">
        <f t="shared" si="96"/>
        <v>2</v>
      </c>
      <c r="V74" s="213">
        <f t="shared" si="97"/>
        <v>0.92592592592592593</v>
      </c>
      <c r="W74" s="213">
        <f t="shared" si="98"/>
        <v>7.407407407407407E-2</v>
      </c>
      <c r="X74" s="213">
        <f t="shared" si="116"/>
        <v>0</v>
      </c>
      <c r="Y74" s="217">
        <f t="shared" si="117"/>
        <v>2.4119999999999999</v>
      </c>
      <c r="Z74" s="213">
        <f t="shared" si="99"/>
        <v>3.0864197530864197</v>
      </c>
      <c r="AA74" s="213">
        <f t="shared" si="118"/>
        <v>3.9552098765432095</v>
      </c>
      <c r="AB74" s="218">
        <f t="shared" si="100"/>
        <v>2.4742331848062449</v>
      </c>
      <c r="AC74" s="217">
        <v>0</v>
      </c>
      <c r="AD74" s="213">
        <f t="shared" si="101"/>
        <v>7.0401043307159226</v>
      </c>
      <c r="AE74" s="218">
        <f t="shared" si="119"/>
        <v>7.0401043307159226</v>
      </c>
      <c r="AF74" s="58">
        <f t="shared" si="102"/>
        <v>0.67</v>
      </c>
      <c r="AG74" s="61">
        <f t="shared" si="103"/>
        <v>0.67</v>
      </c>
      <c r="AH74" s="58">
        <f t="shared" si="104"/>
        <v>1.4386300154071667</v>
      </c>
      <c r="AI74" s="49">
        <f t="shared" si="105"/>
        <v>3.07002559861882E-2</v>
      </c>
      <c r="AJ74" s="61">
        <f t="shared" si="120"/>
        <v>1.4693302713933549</v>
      </c>
      <c r="AK74" s="217">
        <f t="shared" si="106"/>
        <v>33.5</v>
      </c>
      <c r="AL74" s="213">
        <f t="shared" si="107"/>
        <v>1500</v>
      </c>
      <c r="AM74" s="218">
        <f t="shared" si="121"/>
        <v>2.2333333333333334E-2</v>
      </c>
      <c r="AN74" s="217">
        <f t="shared" si="122"/>
        <v>2</v>
      </c>
      <c r="AO74" s="213">
        <f t="shared" si="123"/>
        <v>7.4074074074074084E-2</v>
      </c>
      <c r="AP74" s="213">
        <f t="shared" si="124"/>
        <v>0.30149999999999999</v>
      </c>
      <c r="AQ74" s="213">
        <f t="shared" si="125"/>
        <v>0.38580246913580252</v>
      </c>
      <c r="AR74" s="213">
        <f t="shared" si="141"/>
        <v>0.49440123456790125</v>
      </c>
      <c r="AS74" s="218">
        <f t="shared" si="142"/>
        <v>8.7477353160664198E-2</v>
      </c>
      <c r="AT74" s="217"/>
      <c r="AU74" s="213">
        <f t="shared" si="126"/>
        <v>1.3467E-2</v>
      </c>
      <c r="AV74" s="218">
        <f t="shared" si="143"/>
        <v>1.3467E-2</v>
      </c>
      <c r="AW74" s="217">
        <f t="shared" si="127"/>
        <v>0</v>
      </c>
      <c r="AX74" s="213">
        <f t="shared" si="128"/>
        <v>2.5683333333333332E-2</v>
      </c>
      <c r="AY74" s="218">
        <f t="shared" si="144"/>
        <v>2.5683333333333332E-2</v>
      </c>
      <c r="AZ74" s="217">
        <f t="shared" si="108"/>
        <v>0</v>
      </c>
      <c r="BA74" s="213">
        <f t="shared" si="109"/>
        <v>0</v>
      </c>
      <c r="BB74" s="213">
        <f t="shared" si="145"/>
        <v>0</v>
      </c>
      <c r="BC74" s="61">
        <f t="shared" si="129"/>
        <v>0</v>
      </c>
      <c r="BD74" s="58">
        <v>0</v>
      </c>
      <c r="BE74" s="49">
        <f t="shared" si="130"/>
        <v>0</v>
      </c>
      <c r="BF74" s="61">
        <f t="shared" si="146"/>
        <v>0</v>
      </c>
      <c r="BG74" s="58">
        <f t="shared" si="131"/>
        <v>0</v>
      </c>
      <c r="BH74" s="49">
        <f t="shared" si="132"/>
        <v>0</v>
      </c>
      <c r="BI74" s="61">
        <f t="shared" si="133"/>
        <v>0</v>
      </c>
      <c r="BK74" s="217">
        <f t="shared" si="110"/>
        <v>0</v>
      </c>
      <c r="BL74" s="213">
        <f t="shared" si="111"/>
        <v>0</v>
      </c>
      <c r="BM74" s="213">
        <f t="shared" si="112"/>
        <v>0</v>
      </c>
      <c r="BN74" s="61">
        <f t="shared" si="134"/>
        <v>0</v>
      </c>
      <c r="BO74" s="58">
        <v>0</v>
      </c>
      <c r="BP74" s="49">
        <f t="shared" si="135"/>
        <v>0</v>
      </c>
      <c r="BQ74" s="61">
        <f t="shared" si="147"/>
        <v>0</v>
      </c>
      <c r="BR74" s="58">
        <f t="shared" si="136"/>
        <v>0</v>
      </c>
      <c r="BS74" s="49">
        <f t="shared" si="137"/>
        <v>0</v>
      </c>
      <c r="BT74" s="61">
        <f t="shared" si="148"/>
        <v>0</v>
      </c>
      <c r="BU74" s="58">
        <f t="shared" si="113"/>
        <v>2.4487319411185815E-2</v>
      </c>
      <c r="BV74" s="49">
        <f t="shared" si="114"/>
        <v>1.0800000000000002E-3</v>
      </c>
      <c r="BW74" s="61">
        <f t="shared" si="115"/>
        <v>6.7499999999999999E-3</v>
      </c>
      <c r="BX74" s="49">
        <f t="shared" si="138"/>
        <v>7.7101043307159225</v>
      </c>
      <c r="BY74" s="49">
        <f t="shared" si="139"/>
        <v>9.9209022548537966</v>
      </c>
      <c r="BZ74" s="49">
        <f t="shared" si="140"/>
        <v>77.151782345230302</v>
      </c>
    </row>
    <row r="75" spans="17:78" x14ac:dyDescent="0.4">
      <c r="Q75" s="49">
        <v>68</v>
      </c>
      <c r="R75" s="217">
        <f t="shared" si="93"/>
        <v>34</v>
      </c>
      <c r="S75" s="213">
        <f t="shared" si="94"/>
        <v>15</v>
      </c>
      <c r="T75" s="218">
        <f t="shared" si="95"/>
        <v>2.2666666666666666</v>
      </c>
      <c r="U75" s="217">
        <f t="shared" si="96"/>
        <v>2</v>
      </c>
      <c r="V75" s="213">
        <f t="shared" si="97"/>
        <v>0.92592592592592593</v>
      </c>
      <c r="W75" s="213">
        <f t="shared" si="98"/>
        <v>7.407407407407407E-2</v>
      </c>
      <c r="X75" s="213">
        <f t="shared" si="116"/>
        <v>0</v>
      </c>
      <c r="Y75" s="217">
        <f t="shared" si="117"/>
        <v>2.448</v>
      </c>
      <c r="Z75" s="213">
        <f t="shared" si="99"/>
        <v>3.0864197530864197</v>
      </c>
      <c r="AA75" s="213">
        <f t="shared" si="118"/>
        <v>3.99120987654321</v>
      </c>
      <c r="AB75" s="218">
        <f t="shared" si="100"/>
        <v>2.5067568395830606</v>
      </c>
      <c r="AC75" s="217">
        <v>0</v>
      </c>
      <c r="AD75" s="213">
        <f t="shared" si="101"/>
        <v>7.2264043307159236</v>
      </c>
      <c r="AE75" s="218">
        <f t="shared" si="119"/>
        <v>7.2264043307159236</v>
      </c>
      <c r="AF75" s="58">
        <f t="shared" si="102"/>
        <v>0.68</v>
      </c>
      <c r="AG75" s="61">
        <f t="shared" si="103"/>
        <v>0.68</v>
      </c>
      <c r="AH75" s="58">
        <f t="shared" si="104"/>
        <v>1.476700015407167</v>
      </c>
      <c r="AI75" s="49">
        <f t="shared" si="105"/>
        <v>3.1158468762101457E-2</v>
      </c>
      <c r="AJ75" s="61">
        <f t="shared" si="120"/>
        <v>1.5078584841692684</v>
      </c>
      <c r="AK75" s="217">
        <f t="shared" si="106"/>
        <v>34</v>
      </c>
      <c r="AL75" s="213">
        <f t="shared" si="107"/>
        <v>1500</v>
      </c>
      <c r="AM75" s="218">
        <f t="shared" si="121"/>
        <v>2.2666666666666668E-2</v>
      </c>
      <c r="AN75" s="217">
        <f t="shared" si="122"/>
        <v>2</v>
      </c>
      <c r="AO75" s="213">
        <f t="shared" si="123"/>
        <v>7.4074074074074084E-2</v>
      </c>
      <c r="AP75" s="213">
        <f t="shared" si="124"/>
        <v>0.30599999999999999</v>
      </c>
      <c r="AQ75" s="213">
        <f t="shared" si="125"/>
        <v>0.38580246913580252</v>
      </c>
      <c r="AR75" s="213">
        <f t="shared" si="141"/>
        <v>0.49890123456790125</v>
      </c>
      <c r="AS75" s="218">
        <f t="shared" si="142"/>
        <v>8.8627238002747022E-2</v>
      </c>
      <c r="AT75" s="217"/>
      <c r="AU75" s="213">
        <f t="shared" si="126"/>
        <v>1.3872000000000001E-2</v>
      </c>
      <c r="AV75" s="218">
        <f t="shared" si="143"/>
        <v>1.3872000000000001E-2</v>
      </c>
      <c r="AW75" s="217">
        <f t="shared" si="127"/>
        <v>0</v>
      </c>
      <c r="AX75" s="213">
        <f t="shared" si="128"/>
        <v>2.6066666666666665E-2</v>
      </c>
      <c r="AY75" s="218">
        <f t="shared" si="144"/>
        <v>2.6066666666666665E-2</v>
      </c>
      <c r="AZ75" s="217">
        <f t="shared" si="108"/>
        <v>0</v>
      </c>
      <c r="BA75" s="213">
        <f t="shared" si="109"/>
        <v>0</v>
      </c>
      <c r="BB75" s="213">
        <f t="shared" si="145"/>
        <v>0</v>
      </c>
      <c r="BC75" s="61">
        <f t="shared" si="129"/>
        <v>0</v>
      </c>
      <c r="BD75" s="58">
        <v>0</v>
      </c>
      <c r="BE75" s="49">
        <f t="shared" si="130"/>
        <v>0</v>
      </c>
      <c r="BF75" s="61">
        <f t="shared" si="146"/>
        <v>0</v>
      </c>
      <c r="BG75" s="58">
        <f t="shared" si="131"/>
        <v>0</v>
      </c>
      <c r="BH75" s="49">
        <f t="shared" si="132"/>
        <v>0</v>
      </c>
      <c r="BI75" s="61">
        <f t="shared" si="133"/>
        <v>0</v>
      </c>
      <c r="BK75" s="217">
        <f t="shared" si="110"/>
        <v>0</v>
      </c>
      <c r="BL75" s="213">
        <f t="shared" si="111"/>
        <v>0</v>
      </c>
      <c r="BM75" s="213">
        <f t="shared" si="112"/>
        <v>0</v>
      </c>
      <c r="BN75" s="61">
        <f t="shared" si="134"/>
        <v>0</v>
      </c>
      <c r="BO75" s="58">
        <v>0</v>
      </c>
      <c r="BP75" s="49">
        <f t="shared" si="135"/>
        <v>0</v>
      </c>
      <c r="BQ75" s="61">
        <f t="shared" si="147"/>
        <v>0</v>
      </c>
      <c r="BR75" s="58">
        <f t="shared" si="136"/>
        <v>0</v>
      </c>
      <c r="BS75" s="49">
        <f t="shared" si="137"/>
        <v>0</v>
      </c>
      <c r="BT75" s="61">
        <f t="shared" si="148"/>
        <v>0</v>
      </c>
      <c r="BU75" s="58">
        <f t="shared" si="113"/>
        <v>2.5135319411185818E-2</v>
      </c>
      <c r="BV75" s="49">
        <f t="shared" si="114"/>
        <v>1.0800000000000002E-3</v>
      </c>
      <c r="BW75" s="61">
        <f t="shared" si="115"/>
        <v>6.7499999999999999E-3</v>
      </c>
      <c r="BX75" s="49">
        <f t="shared" si="138"/>
        <v>7.9064043307159233</v>
      </c>
      <c r="BY75" s="49">
        <f t="shared" si="139"/>
        <v>10.167166800963045</v>
      </c>
      <c r="BZ75" s="49">
        <f t="shared" si="140"/>
        <v>76.980260366754266</v>
      </c>
    </row>
    <row r="76" spans="17:78" x14ac:dyDescent="0.4">
      <c r="Q76" s="49">
        <v>69</v>
      </c>
      <c r="R76" s="217">
        <f t="shared" si="93"/>
        <v>34.5</v>
      </c>
      <c r="S76" s="213">
        <f t="shared" si="94"/>
        <v>15</v>
      </c>
      <c r="T76" s="218">
        <f t="shared" si="95"/>
        <v>2.2999999999999998</v>
      </c>
      <c r="U76" s="217">
        <f t="shared" si="96"/>
        <v>2</v>
      </c>
      <c r="V76" s="213">
        <f t="shared" si="97"/>
        <v>0.92592592592592593</v>
      </c>
      <c r="W76" s="213">
        <f t="shared" si="98"/>
        <v>7.407407407407407E-2</v>
      </c>
      <c r="X76" s="213">
        <f t="shared" si="116"/>
        <v>0</v>
      </c>
      <c r="Y76" s="217">
        <f t="shared" si="117"/>
        <v>2.484</v>
      </c>
      <c r="Z76" s="213">
        <f t="shared" si="99"/>
        <v>3.0864197530864197</v>
      </c>
      <c r="AA76" s="213">
        <f t="shared" si="118"/>
        <v>4.0272098765432096</v>
      </c>
      <c r="AB76" s="218">
        <f t="shared" si="100"/>
        <v>2.5393364985358775</v>
      </c>
      <c r="AC76" s="217">
        <v>0</v>
      </c>
      <c r="AD76" s="213">
        <f t="shared" si="101"/>
        <v>7.4154643307159196</v>
      </c>
      <c r="AE76" s="218">
        <f t="shared" si="119"/>
        <v>7.4154643307159196</v>
      </c>
      <c r="AF76" s="58">
        <f t="shared" si="102"/>
        <v>0.69000000000000006</v>
      </c>
      <c r="AG76" s="61">
        <f t="shared" si="103"/>
        <v>0.69000000000000006</v>
      </c>
      <c r="AH76" s="58">
        <f t="shared" si="104"/>
        <v>1.5153340154071659</v>
      </c>
      <c r="AI76" s="49">
        <f t="shared" si="105"/>
        <v>3.161668153801471E-2</v>
      </c>
      <c r="AJ76" s="61">
        <f t="shared" si="120"/>
        <v>1.5469506969451807</v>
      </c>
      <c r="AK76" s="217">
        <f t="shared" si="106"/>
        <v>34.5</v>
      </c>
      <c r="AL76" s="213">
        <f t="shared" si="107"/>
        <v>1500</v>
      </c>
      <c r="AM76" s="218">
        <f t="shared" si="121"/>
        <v>2.3E-2</v>
      </c>
      <c r="AN76" s="217">
        <f t="shared" si="122"/>
        <v>2</v>
      </c>
      <c r="AO76" s="213">
        <f t="shared" si="123"/>
        <v>7.407407407407407E-2</v>
      </c>
      <c r="AP76" s="213">
        <f t="shared" si="124"/>
        <v>0.3105</v>
      </c>
      <c r="AQ76" s="213">
        <f t="shared" si="125"/>
        <v>0.38580246913580241</v>
      </c>
      <c r="AR76" s="213">
        <f t="shared" si="141"/>
        <v>0.5034012345679012</v>
      </c>
      <c r="AS76" s="218">
        <f t="shared" si="142"/>
        <v>8.9779102891461141E-2</v>
      </c>
      <c r="AT76" s="217"/>
      <c r="AU76" s="213">
        <f t="shared" si="126"/>
        <v>1.4282999999999999E-2</v>
      </c>
      <c r="AV76" s="218">
        <f t="shared" si="143"/>
        <v>1.4282999999999999E-2</v>
      </c>
      <c r="AW76" s="217">
        <f t="shared" si="127"/>
        <v>0</v>
      </c>
      <c r="AX76" s="213">
        <f t="shared" si="128"/>
        <v>2.6449999999999998E-2</v>
      </c>
      <c r="AY76" s="218">
        <f t="shared" si="144"/>
        <v>2.6449999999999998E-2</v>
      </c>
      <c r="AZ76" s="217">
        <f t="shared" si="108"/>
        <v>0</v>
      </c>
      <c r="BA76" s="213">
        <f t="shared" si="109"/>
        <v>0</v>
      </c>
      <c r="BB76" s="213">
        <f t="shared" si="145"/>
        <v>0</v>
      </c>
      <c r="BC76" s="61">
        <f t="shared" si="129"/>
        <v>0</v>
      </c>
      <c r="BD76" s="58">
        <v>0</v>
      </c>
      <c r="BE76" s="49">
        <f t="shared" si="130"/>
        <v>0</v>
      </c>
      <c r="BF76" s="61">
        <f t="shared" si="146"/>
        <v>0</v>
      </c>
      <c r="BG76" s="58">
        <f t="shared" si="131"/>
        <v>0</v>
      </c>
      <c r="BH76" s="49">
        <f t="shared" si="132"/>
        <v>0</v>
      </c>
      <c r="BI76" s="61">
        <f t="shared" si="133"/>
        <v>0</v>
      </c>
      <c r="BK76" s="217">
        <f t="shared" si="110"/>
        <v>0</v>
      </c>
      <c r="BL76" s="213">
        <f t="shared" si="111"/>
        <v>0</v>
      </c>
      <c r="BM76" s="213">
        <f t="shared" si="112"/>
        <v>0</v>
      </c>
      <c r="BN76" s="61">
        <f t="shared" si="134"/>
        <v>0</v>
      </c>
      <c r="BO76" s="58">
        <v>0</v>
      </c>
      <c r="BP76" s="49">
        <f t="shared" si="135"/>
        <v>0</v>
      </c>
      <c r="BQ76" s="61">
        <f t="shared" si="147"/>
        <v>0</v>
      </c>
      <c r="BR76" s="58">
        <f t="shared" si="136"/>
        <v>0</v>
      </c>
      <c r="BS76" s="49">
        <f t="shared" si="137"/>
        <v>0</v>
      </c>
      <c r="BT76" s="61">
        <f t="shared" si="148"/>
        <v>0</v>
      </c>
      <c r="BU76" s="58">
        <f t="shared" si="113"/>
        <v>2.5792919411185805E-2</v>
      </c>
      <c r="BV76" s="49">
        <f t="shared" si="114"/>
        <v>1.0800000000000002E-3</v>
      </c>
      <c r="BW76" s="61">
        <f t="shared" si="115"/>
        <v>6.7499999999999999E-3</v>
      </c>
      <c r="BX76" s="49">
        <f t="shared" si="138"/>
        <v>8.10546433071592</v>
      </c>
      <c r="BY76" s="49">
        <f t="shared" si="139"/>
        <v>10.416770947072285</v>
      </c>
      <c r="BZ76" s="49">
        <f t="shared" si="140"/>
        <v>76.808727057991561</v>
      </c>
    </row>
    <row r="77" spans="17:78" x14ac:dyDescent="0.4">
      <c r="Q77" s="49">
        <v>70</v>
      </c>
      <c r="R77" s="217">
        <f t="shared" si="93"/>
        <v>35</v>
      </c>
      <c r="S77" s="213">
        <f t="shared" si="94"/>
        <v>15</v>
      </c>
      <c r="T77" s="218">
        <f t="shared" si="95"/>
        <v>2.3333333333333335</v>
      </c>
      <c r="U77" s="217">
        <f t="shared" si="96"/>
        <v>2</v>
      </c>
      <c r="V77" s="213">
        <f t="shared" si="97"/>
        <v>0.92592592592592593</v>
      </c>
      <c r="W77" s="213">
        <f t="shared" si="98"/>
        <v>7.407407407407407E-2</v>
      </c>
      <c r="X77" s="213">
        <f t="shared" si="116"/>
        <v>0</v>
      </c>
      <c r="Y77" s="217">
        <f t="shared" si="117"/>
        <v>2.52</v>
      </c>
      <c r="Z77" s="213">
        <f t="shared" si="99"/>
        <v>3.0864197530864197</v>
      </c>
      <c r="AA77" s="213">
        <f t="shared" si="118"/>
        <v>4.0632098765432101</v>
      </c>
      <c r="AB77" s="218">
        <f t="shared" si="100"/>
        <v>2.5719700334172737</v>
      </c>
      <c r="AC77" s="217">
        <v>0</v>
      </c>
      <c r="AD77" s="213">
        <f t="shared" si="101"/>
        <v>7.6072843307159204</v>
      </c>
      <c r="AE77" s="218">
        <f t="shared" si="119"/>
        <v>7.6072843307159204</v>
      </c>
      <c r="AF77" s="58">
        <f t="shared" si="102"/>
        <v>0.70000000000000007</v>
      </c>
      <c r="AG77" s="61">
        <f t="shared" si="103"/>
        <v>0.70000000000000007</v>
      </c>
      <c r="AH77" s="58">
        <f t="shared" si="104"/>
        <v>1.5545320154071662</v>
      </c>
      <c r="AI77" s="49">
        <f t="shared" si="105"/>
        <v>3.2074894313927967E-2</v>
      </c>
      <c r="AJ77" s="61">
        <f t="shared" si="120"/>
        <v>1.5866069097210942</v>
      </c>
      <c r="AK77" s="217">
        <f t="shared" si="106"/>
        <v>35</v>
      </c>
      <c r="AL77" s="213">
        <f t="shared" si="107"/>
        <v>1500</v>
      </c>
      <c r="AM77" s="218">
        <f t="shared" si="121"/>
        <v>2.3333333333333334E-2</v>
      </c>
      <c r="AN77" s="217">
        <f t="shared" si="122"/>
        <v>2</v>
      </c>
      <c r="AO77" s="213">
        <f t="shared" si="123"/>
        <v>7.4074074074074084E-2</v>
      </c>
      <c r="AP77" s="213">
        <f t="shared" si="124"/>
        <v>0.315</v>
      </c>
      <c r="AQ77" s="213">
        <f t="shared" si="125"/>
        <v>0.38580246913580252</v>
      </c>
      <c r="AR77" s="213">
        <f t="shared" si="141"/>
        <v>0.50790123456790126</v>
      </c>
      <c r="AS77" s="218">
        <f t="shared" si="142"/>
        <v>9.0932872581897292E-2</v>
      </c>
      <c r="AT77" s="217"/>
      <c r="AU77" s="213">
        <f t="shared" si="126"/>
        <v>1.4700000000000001E-2</v>
      </c>
      <c r="AV77" s="218">
        <f t="shared" si="143"/>
        <v>1.4700000000000001E-2</v>
      </c>
      <c r="AW77" s="217">
        <f t="shared" si="127"/>
        <v>0</v>
      </c>
      <c r="AX77" s="213">
        <f t="shared" si="128"/>
        <v>2.6833333333333334E-2</v>
      </c>
      <c r="AY77" s="218">
        <f t="shared" si="144"/>
        <v>2.6833333333333334E-2</v>
      </c>
      <c r="AZ77" s="217">
        <f t="shared" si="108"/>
        <v>0</v>
      </c>
      <c r="BA77" s="213">
        <f t="shared" si="109"/>
        <v>0</v>
      </c>
      <c r="BB77" s="213">
        <f t="shared" si="145"/>
        <v>0</v>
      </c>
      <c r="BC77" s="61">
        <f t="shared" si="129"/>
        <v>0</v>
      </c>
      <c r="BD77" s="58">
        <v>0</v>
      </c>
      <c r="BE77" s="49">
        <f t="shared" si="130"/>
        <v>0</v>
      </c>
      <c r="BF77" s="61">
        <f t="shared" si="146"/>
        <v>0</v>
      </c>
      <c r="BG77" s="58">
        <f t="shared" si="131"/>
        <v>0</v>
      </c>
      <c r="BH77" s="49">
        <f t="shared" si="132"/>
        <v>0</v>
      </c>
      <c r="BI77" s="61">
        <f t="shared" si="133"/>
        <v>0</v>
      </c>
      <c r="BK77" s="217">
        <f t="shared" si="110"/>
        <v>0</v>
      </c>
      <c r="BL77" s="213">
        <f t="shared" si="111"/>
        <v>0</v>
      </c>
      <c r="BM77" s="213">
        <f t="shared" si="112"/>
        <v>0</v>
      </c>
      <c r="BN77" s="61">
        <f t="shared" si="134"/>
        <v>0</v>
      </c>
      <c r="BO77" s="58">
        <v>0</v>
      </c>
      <c r="BP77" s="49">
        <f t="shared" si="135"/>
        <v>0</v>
      </c>
      <c r="BQ77" s="61">
        <f t="shared" si="147"/>
        <v>0</v>
      </c>
      <c r="BR77" s="58">
        <f t="shared" si="136"/>
        <v>0</v>
      </c>
      <c r="BS77" s="49">
        <f t="shared" si="137"/>
        <v>0</v>
      </c>
      <c r="BT77" s="61">
        <f t="shared" si="148"/>
        <v>0</v>
      </c>
      <c r="BU77" s="58">
        <f t="shared" si="113"/>
        <v>2.6460119411185808E-2</v>
      </c>
      <c r="BV77" s="49">
        <f t="shared" si="114"/>
        <v>1.0800000000000002E-3</v>
      </c>
      <c r="BW77" s="61">
        <f t="shared" si="115"/>
        <v>6.7499999999999999E-3</v>
      </c>
      <c r="BX77" s="49">
        <f t="shared" si="138"/>
        <v>8.3072843307159197</v>
      </c>
      <c r="BY77" s="49">
        <f t="shared" si="139"/>
        <v>10.669714693181533</v>
      </c>
      <c r="BZ77" s="49">
        <f t="shared" si="140"/>
        <v>76.637220606997758</v>
      </c>
    </row>
    <row r="78" spans="17:78" x14ac:dyDescent="0.4">
      <c r="Q78" s="49">
        <v>71</v>
      </c>
      <c r="R78" s="217">
        <f t="shared" si="93"/>
        <v>35.5</v>
      </c>
      <c r="S78" s="213">
        <f t="shared" si="94"/>
        <v>15</v>
      </c>
      <c r="T78" s="218">
        <f t="shared" si="95"/>
        <v>2.3666666666666667</v>
      </c>
      <c r="U78" s="217">
        <f t="shared" si="96"/>
        <v>2</v>
      </c>
      <c r="V78" s="213">
        <f t="shared" si="97"/>
        <v>0.92592592592592593</v>
      </c>
      <c r="W78" s="213">
        <f t="shared" si="98"/>
        <v>7.407407407407407E-2</v>
      </c>
      <c r="X78" s="213">
        <f t="shared" si="116"/>
        <v>0</v>
      </c>
      <c r="Y78" s="217">
        <f t="shared" si="117"/>
        <v>2.556</v>
      </c>
      <c r="Z78" s="213">
        <f t="shared" si="99"/>
        <v>3.0864197530864197</v>
      </c>
      <c r="AA78" s="213">
        <f t="shared" si="118"/>
        <v>4.0992098765432097</v>
      </c>
      <c r="AB78" s="218">
        <f t="shared" si="100"/>
        <v>2.6046554192054758</v>
      </c>
      <c r="AC78" s="217">
        <v>0</v>
      </c>
      <c r="AD78" s="213">
        <f t="shared" si="101"/>
        <v>7.8018643307159214</v>
      </c>
      <c r="AE78" s="218">
        <f t="shared" si="119"/>
        <v>7.8018643307159214</v>
      </c>
      <c r="AF78" s="58">
        <f t="shared" si="102"/>
        <v>0.71</v>
      </c>
      <c r="AG78" s="61">
        <f t="shared" si="103"/>
        <v>0.71</v>
      </c>
      <c r="AH78" s="58">
        <f t="shared" si="104"/>
        <v>1.5942940154071665</v>
      </c>
      <c r="AI78" s="49">
        <f t="shared" si="105"/>
        <v>3.2533107089841223E-2</v>
      </c>
      <c r="AJ78" s="61">
        <f t="shared" si="120"/>
        <v>1.6268271224970077</v>
      </c>
      <c r="AK78" s="217">
        <f t="shared" si="106"/>
        <v>35.5</v>
      </c>
      <c r="AL78" s="213">
        <f t="shared" si="107"/>
        <v>1500</v>
      </c>
      <c r="AM78" s="218">
        <f t="shared" si="121"/>
        <v>2.3666666666666666E-2</v>
      </c>
      <c r="AN78" s="217">
        <f t="shared" si="122"/>
        <v>2</v>
      </c>
      <c r="AO78" s="213">
        <f t="shared" si="123"/>
        <v>7.407407407407407E-2</v>
      </c>
      <c r="AP78" s="213">
        <f t="shared" si="124"/>
        <v>0.31950000000000001</v>
      </c>
      <c r="AQ78" s="213">
        <f t="shared" si="125"/>
        <v>0.38580246913580241</v>
      </c>
      <c r="AR78" s="213">
        <f t="shared" si="141"/>
        <v>0.51240123456790121</v>
      </c>
      <c r="AS78" s="218">
        <f t="shared" si="142"/>
        <v>9.2088475478724063E-2</v>
      </c>
      <c r="AT78" s="217"/>
      <c r="AU78" s="213">
        <f t="shared" si="126"/>
        <v>1.5122999999999998E-2</v>
      </c>
      <c r="AV78" s="218">
        <f t="shared" si="143"/>
        <v>1.5122999999999998E-2</v>
      </c>
      <c r="AW78" s="217">
        <f t="shared" si="127"/>
        <v>0</v>
      </c>
      <c r="AX78" s="213">
        <f t="shared" si="128"/>
        <v>2.7216666666666663E-2</v>
      </c>
      <c r="AY78" s="218">
        <f t="shared" si="144"/>
        <v>2.7216666666666663E-2</v>
      </c>
      <c r="AZ78" s="217">
        <f t="shared" si="108"/>
        <v>0</v>
      </c>
      <c r="BA78" s="213">
        <f t="shared" si="109"/>
        <v>0</v>
      </c>
      <c r="BB78" s="213">
        <f t="shared" si="145"/>
        <v>0</v>
      </c>
      <c r="BC78" s="61">
        <f t="shared" si="129"/>
        <v>0</v>
      </c>
      <c r="BD78" s="58">
        <v>0</v>
      </c>
      <c r="BE78" s="49">
        <f t="shared" si="130"/>
        <v>0</v>
      </c>
      <c r="BF78" s="61">
        <f t="shared" si="146"/>
        <v>0</v>
      </c>
      <c r="BG78" s="58">
        <f t="shared" si="131"/>
        <v>0</v>
      </c>
      <c r="BH78" s="49">
        <f t="shared" si="132"/>
        <v>0</v>
      </c>
      <c r="BI78" s="61">
        <f t="shared" si="133"/>
        <v>0</v>
      </c>
      <c r="BK78" s="217">
        <f t="shared" si="110"/>
        <v>0</v>
      </c>
      <c r="BL78" s="213">
        <f t="shared" si="111"/>
        <v>0</v>
      </c>
      <c r="BM78" s="213">
        <f t="shared" si="112"/>
        <v>0</v>
      </c>
      <c r="BN78" s="61">
        <f t="shared" si="134"/>
        <v>0</v>
      </c>
      <c r="BO78" s="58">
        <v>0</v>
      </c>
      <c r="BP78" s="49">
        <f t="shared" si="135"/>
        <v>0</v>
      </c>
      <c r="BQ78" s="61">
        <f t="shared" si="147"/>
        <v>0</v>
      </c>
      <c r="BR78" s="58">
        <f t="shared" si="136"/>
        <v>0</v>
      </c>
      <c r="BS78" s="49">
        <f t="shared" si="137"/>
        <v>0</v>
      </c>
      <c r="BT78" s="61">
        <f t="shared" si="148"/>
        <v>0</v>
      </c>
      <c r="BU78" s="58">
        <f t="shared" si="113"/>
        <v>2.7136919411185813E-2</v>
      </c>
      <c r="BV78" s="49">
        <f t="shared" si="114"/>
        <v>1.0800000000000002E-3</v>
      </c>
      <c r="BW78" s="61">
        <f t="shared" si="115"/>
        <v>6.7499999999999999E-3</v>
      </c>
      <c r="BX78" s="49">
        <f t="shared" si="138"/>
        <v>8.5118643307159214</v>
      </c>
      <c r="BY78" s="49">
        <f t="shared" si="139"/>
        <v>10.925998039290782</v>
      </c>
      <c r="BZ78" s="49">
        <f t="shared" si="140"/>
        <v>76.465776718372311</v>
      </c>
    </row>
    <row r="79" spans="17:78" x14ac:dyDescent="0.4">
      <c r="Q79" s="49">
        <v>72</v>
      </c>
      <c r="R79" s="217">
        <f t="shared" si="93"/>
        <v>36</v>
      </c>
      <c r="S79" s="213">
        <f t="shared" si="94"/>
        <v>15</v>
      </c>
      <c r="T79" s="218">
        <f t="shared" si="95"/>
        <v>2.4</v>
      </c>
      <c r="U79" s="217">
        <f t="shared" si="96"/>
        <v>2</v>
      </c>
      <c r="V79" s="213">
        <f t="shared" si="97"/>
        <v>0.92592592592592593</v>
      </c>
      <c r="W79" s="213">
        <f t="shared" si="98"/>
        <v>7.407407407407407E-2</v>
      </c>
      <c r="X79" s="213">
        <f t="shared" si="116"/>
        <v>0</v>
      </c>
      <c r="Y79" s="217">
        <f t="shared" si="117"/>
        <v>2.5920000000000001</v>
      </c>
      <c r="Z79" s="213">
        <f t="shared" si="99"/>
        <v>3.0864197530864197</v>
      </c>
      <c r="AA79" s="213">
        <f t="shared" si="118"/>
        <v>4.1352098765432102</v>
      </c>
      <c r="AB79" s="218">
        <f t="shared" si="100"/>
        <v>2.6373907281243811</v>
      </c>
      <c r="AC79" s="217">
        <v>0</v>
      </c>
      <c r="AD79" s="213">
        <f t="shared" si="101"/>
        <v>7.9992043307159229</v>
      </c>
      <c r="AE79" s="218">
        <f t="shared" si="119"/>
        <v>7.9992043307159229</v>
      </c>
      <c r="AF79" s="58">
        <f t="shared" si="102"/>
        <v>0.72</v>
      </c>
      <c r="AG79" s="61">
        <f t="shared" si="103"/>
        <v>0.72</v>
      </c>
      <c r="AH79" s="58">
        <f t="shared" si="104"/>
        <v>1.6346200154071666</v>
      </c>
      <c r="AI79" s="49">
        <f t="shared" si="105"/>
        <v>3.299131986575448E-2</v>
      </c>
      <c r="AJ79" s="61">
        <f t="shared" si="120"/>
        <v>1.6676113352729212</v>
      </c>
      <c r="AK79" s="217">
        <f t="shared" si="106"/>
        <v>36</v>
      </c>
      <c r="AL79" s="213">
        <f t="shared" si="107"/>
        <v>1500</v>
      </c>
      <c r="AM79" s="218">
        <f t="shared" si="121"/>
        <v>2.4E-2</v>
      </c>
      <c r="AN79" s="217">
        <f t="shared" si="122"/>
        <v>2</v>
      </c>
      <c r="AO79" s="213">
        <f t="shared" si="123"/>
        <v>7.407407407407407E-2</v>
      </c>
      <c r="AP79" s="213">
        <f t="shared" si="124"/>
        <v>0.32400000000000001</v>
      </c>
      <c r="AQ79" s="213">
        <f t="shared" si="125"/>
        <v>0.38580246913580241</v>
      </c>
      <c r="AR79" s="213">
        <f t="shared" si="141"/>
        <v>0.51690123456790116</v>
      </c>
      <c r="AS79" s="218">
        <f t="shared" si="142"/>
        <v>9.3245843424763789E-2</v>
      </c>
      <c r="AT79" s="217"/>
      <c r="AU79" s="213">
        <f t="shared" si="126"/>
        <v>1.5552E-2</v>
      </c>
      <c r="AV79" s="218">
        <f t="shared" si="143"/>
        <v>1.5552E-2</v>
      </c>
      <c r="AW79" s="217">
        <f t="shared" si="127"/>
        <v>0</v>
      </c>
      <c r="AX79" s="213">
        <f t="shared" si="128"/>
        <v>2.76E-2</v>
      </c>
      <c r="AY79" s="218">
        <f t="shared" si="144"/>
        <v>2.76E-2</v>
      </c>
      <c r="AZ79" s="217">
        <f t="shared" si="108"/>
        <v>0</v>
      </c>
      <c r="BA79" s="213">
        <f t="shared" si="109"/>
        <v>0</v>
      </c>
      <c r="BB79" s="213">
        <f t="shared" si="145"/>
        <v>0</v>
      </c>
      <c r="BC79" s="61">
        <f t="shared" si="129"/>
        <v>0</v>
      </c>
      <c r="BD79" s="58">
        <v>0</v>
      </c>
      <c r="BE79" s="49">
        <f t="shared" si="130"/>
        <v>0</v>
      </c>
      <c r="BF79" s="61">
        <f t="shared" si="146"/>
        <v>0</v>
      </c>
      <c r="BG79" s="58">
        <f t="shared" si="131"/>
        <v>0</v>
      </c>
      <c r="BH79" s="49">
        <f t="shared" si="132"/>
        <v>0</v>
      </c>
      <c r="BI79" s="61">
        <f t="shared" si="133"/>
        <v>0</v>
      </c>
      <c r="BK79" s="217">
        <f t="shared" si="110"/>
        <v>0</v>
      </c>
      <c r="BL79" s="213">
        <f t="shared" si="111"/>
        <v>0</v>
      </c>
      <c r="BM79" s="213">
        <f t="shared" si="112"/>
        <v>0</v>
      </c>
      <c r="BN79" s="61">
        <f t="shared" si="134"/>
        <v>0</v>
      </c>
      <c r="BO79" s="58">
        <v>0</v>
      </c>
      <c r="BP79" s="49">
        <f t="shared" si="135"/>
        <v>0</v>
      </c>
      <c r="BQ79" s="61">
        <f t="shared" si="147"/>
        <v>0</v>
      </c>
      <c r="BR79" s="58">
        <f t="shared" si="136"/>
        <v>0</v>
      </c>
      <c r="BS79" s="49">
        <f t="shared" si="137"/>
        <v>0</v>
      </c>
      <c r="BT79" s="61">
        <f t="shared" si="148"/>
        <v>0</v>
      </c>
      <c r="BU79" s="58">
        <f t="shared" si="113"/>
        <v>2.7823319411185814E-2</v>
      </c>
      <c r="BV79" s="49">
        <f t="shared" si="114"/>
        <v>1.0800000000000002E-3</v>
      </c>
      <c r="BW79" s="61">
        <f t="shared" si="115"/>
        <v>6.7499999999999999E-3</v>
      </c>
      <c r="BX79" s="49">
        <f t="shared" si="138"/>
        <v>8.7192043307159235</v>
      </c>
      <c r="BY79" s="49">
        <f t="shared" si="139"/>
        <v>11.18562098540003</v>
      </c>
      <c r="BZ79" s="49">
        <f t="shared" si="140"/>
        <v>76.294428786131618</v>
      </c>
    </row>
    <row r="80" spans="17:78" x14ac:dyDescent="0.4">
      <c r="Q80" s="49">
        <v>73</v>
      </c>
      <c r="R80" s="217">
        <f t="shared" si="93"/>
        <v>36.5</v>
      </c>
      <c r="S80" s="213">
        <f t="shared" si="94"/>
        <v>15</v>
      </c>
      <c r="T80" s="218">
        <f t="shared" si="95"/>
        <v>2.4333333333333331</v>
      </c>
      <c r="U80" s="217">
        <f t="shared" si="96"/>
        <v>2</v>
      </c>
      <c r="V80" s="213">
        <f t="shared" si="97"/>
        <v>0.92592592592592593</v>
      </c>
      <c r="W80" s="213">
        <f t="shared" si="98"/>
        <v>7.407407407407407E-2</v>
      </c>
      <c r="X80" s="213">
        <f t="shared" si="116"/>
        <v>0</v>
      </c>
      <c r="Y80" s="217">
        <f t="shared" si="117"/>
        <v>2.6280000000000001</v>
      </c>
      <c r="Z80" s="213">
        <f t="shared" si="99"/>
        <v>3.0864197530864197</v>
      </c>
      <c r="AA80" s="213">
        <f t="shared" si="118"/>
        <v>4.1712098765432097</v>
      </c>
      <c r="AB80" s="218">
        <f t="shared" si="100"/>
        <v>2.6701741240594123</v>
      </c>
      <c r="AC80" s="217">
        <v>0</v>
      </c>
      <c r="AD80" s="213">
        <f t="shared" si="101"/>
        <v>8.1993043307159184</v>
      </c>
      <c r="AE80" s="218">
        <f t="shared" si="119"/>
        <v>8.1993043307159184</v>
      </c>
      <c r="AF80" s="58">
        <f t="shared" si="102"/>
        <v>0.73</v>
      </c>
      <c r="AG80" s="61">
        <f t="shared" si="103"/>
        <v>0.73</v>
      </c>
      <c r="AH80" s="58">
        <f t="shared" si="104"/>
        <v>1.6755100154071658</v>
      </c>
      <c r="AI80" s="49">
        <f t="shared" si="105"/>
        <v>3.3449532641667744E-2</v>
      </c>
      <c r="AJ80" s="61">
        <f t="shared" si="120"/>
        <v>1.7089595480488335</v>
      </c>
      <c r="AK80" s="217">
        <f t="shared" si="106"/>
        <v>36.5</v>
      </c>
      <c r="AL80" s="213">
        <f t="shared" si="107"/>
        <v>1500</v>
      </c>
      <c r="AM80" s="218">
        <f t="shared" si="121"/>
        <v>2.4333333333333332E-2</v>
      </c>
      <c r="AN80" s="217">
        <f t="shared" si="122"/>
        <v>2</v>
      </c>
      <c r="AO80" s="213">
        <f t="shared" si="123"/>
        <v>7.407407407407407E-2</v>
      </c>
      <c r="AP80" s="213">
        <f t="shared" si="124"/>
        <v>0.32850000000000001</v>
      </c>
      <c r="AQ80" s="213">
        <f t="shared" si="125"/>
        <v>0.38580246913580241</v>
      </c>
      <c r="AR80" s="213">
        <f t="shared" si="141"/>
        <v>0.52140123456790122</v>
      </c>
      <c r="AS80" s="218">
        <f t="shared" si="142"/>
        <v>9.4404911503563019E-2</v>
      </c>
      <c r="AT80" s="217"/>
      <c r="AU80" s="213">
        <f t="shared" si="126"/>
        <v>1.5986999999999998E-2</v>
      </c>
      <c r="AV80" s="218">
        <f t="shared" si="143"/>
        <v>1.5986999999999998E-2</v>
      </c>
      <c r="AW80" s="217">
        <f t="shared" si="127"/>
        <v>0</v>
      </c>
      <c r="AX80" s="213">
        <f t="shared" si="128"/>
        <v>2.7983333333333329E-2</v>
      </c>
      <c r="AY80" s="218">
        <f t="shared" si="144"/>
        <v>2.7983333333333329E-2</v>
      </c>
      <c r="AZ80" s="217">
        <f t="shared" si="108"/>
        <v>0</v>
      </c>
      <c r="BA80" s="213">
        <f t="shared" si="109"/>
        <v>0</v>
      </c>
      <c r="BB80" s="213">
        <f t="shared" si="145"/>
        <v>0</v>
      </c>
      <c r="BC80" s="61">
        <f t="shared" si="129"/>
        <v>0</v>
      </c>
      <c r="BD80" s="58">
        <v>0</v>
      </c>
      <c r="BE80" s="49">
        <f t="shared" si="130"/>
        <v>0</v>
      </c>
      <c r="BF80" s="61">
        <f t="shared" si="146"/>
        <v>0</v>
      </c>
      <c r="BG80" s="58">
        <f t="shared" si="131"/>
        <v>0</v>
      </c>
      <c r="BH80" s="49">
        <f t="shared" si="132"/>
        <v>0</v>
      </c>
      <c r="BI80" s="61">
        <f t="shared" si="133"/>
        <v>0</v>
      </c>
      <c r="BK80" s="217">
        <f t="shared" si="110"/>
        <v>0</v>
      </c>
      <c r="BL80" s="213">
        <f t="shared" si="111"/>
        <v>0</v>
      </c>
      <c r="BM80" s="213">
        <f t="shared" si="112"/>
        <v>0</v>
      </c>
      <c r="BN80" s="61">
        <f t="shared" ref="BN80:BN111" si="149">IF(EN_OUT_3=1,BK80/BL80,0)</f>
        <v>0</v>
      </c>
      <c r="BO80" s="58">
        <v>0</v>
      </c>
      <c r="BP80" s="49">
        <f t="shared" si="135"/>
        <v>0</v>
      </c>
      <c r="BQ80" s="61">
        <f t="shared" si="147"/>
        <v>0</v>
      </c>
      <c r="BR80" s="58">
        <f t="shared" si="136"/>
        <v>0</v>
      </c>
      <c r="BS80" s="49">
        <f t="shared" si="137"/>
        <v>0</v>
      </c>
      <c r="BT80" s="61">
        <f t="shared" si="148"/>
        <v>0</v>
      </c>
      <c r="BU80" s="58">
        <f t="shared" si="113"/>
        <v>2.8519319411185802E-2</v>
      </c>
      <c r="BV80" s="49">
        <f t="shared" si="114"/>
        <v>1.0800000000000002E-3</v>
      </c>
      <c r="BW80" s="61">
        <f t="shared" si="115"/>
        <v>6.7499999999999999E-3</v>
      </c>
      <c r="BX80" s="49">
        <f t="shared" si="138"/>
        <v>8.9293043307159188</v>
      </c>
      <c r="BY80" s="49">
        <f t="shared" si="139"/>
        <v>11.448583531509271</v>
      </c>
      <c r="BZ80" s="49">
        <f t="shared" si="140"/>
        <v>76.123208052671941</v>
      </c>
    </row>
    <row r="81" spans="17:78" x14ac:dyDescent="0.4">
      <c r="Q81" s="49">
        <v>74</v>
      </c>
      <c r="R81" s="217">
        <f t="shared" si="93"/>
        <v>37</v>
      </c>
      <c r="S81" s="213">
        <f t="shared" si="94"/>
        <v>15</v>
      </c>
      <c r="T81" s="218">
        <f t="shared" si="95"/>
        <v>2.4666666666666668</v>
      </c>
      <c r="U81" s="217">
        <f t="shared" si="96"/>
        <v>2</v>
      </c>
      <c r="V81" s="213">
        <f t="shared" si="97"/>
        <v>0.92592592592592593</v>
      </c>
      <c r="W81" s="213">
        <f t="shared" si="98"/>
        <v>7.407407407407407E-2</v>
      </c>
      <c r="X81" s="213">
        <f t="shared" si="116"/>
        <v>0</v>
      </c>
      <c r="Y81" s="217">
        <f t="shared" si="117"/>
        <v>2.6640000000000001</v>
      </c>
      <c r="Z81" s="213">
        <f t="shared" si="99"/>
        <v>3.0864197530864197</v>
      </c>
      <c r="AA81" s="213">
        <f t="shared" si="118"/>
        <v>4.2072098765432102</v>
      </c>
      <c r="AB81" s="218">
        <f t="shared" si="100"/>
        <v>2.7030038573402844</v>
      </c>
      <c r="AC81" s="217">
        <v>0</v>
      </c>
      <c r="AD81" s="213">
        <f t="shared" si="101"/>
        <v>8.4021643307159266</v>
      </c>
      <c r="AE81" s="218">
        <f t="shared" si="119"/>
        <v>8.4021643307159266</v>
      </c>
      <c r="AF81" s="58">
        <f t="shared" si="102"/>
        <v>0.74</v>
      </c>
      <c r="AG81" s="61">
        <f t="shared" si="103"/>
        <v>0.74</v>
      </c>
      <c r="AH81" s="58">
        <f t="shared" si="104"/>
        <v>1.7169640154071675</v>
      </c>
      <c r="AI81" s="49">
        <f t="shared" si="105"/>
        <v>3.3907745417580994E-2</v>
      </c>
      <c r="AJ81" s="61">
        <f t="shared" si="120"/>
        <v>1.7508717608247484</v>
      </c>
      <c r="AK81" s="217">
        <f t="shared" si="106"/>
        <v>37</v>
      </c>
      <c r="AL81" s="213">
        <f t="shared" si="107"/>
        <v>1500</v>
      </c>
      <c r="AM81" s="218">
        <f t="shared" si="121"/>
        <v>2.4666666666666667E-2</v>
      </c>
      <c r="AN81" s="217">
        <f t="shared" si="122"/>
        <v>2</v>
      </c>
      <c r="AO81" s="213">
        <f t="shared" si="123"/>
        <v>7.407407407407407E-2</v>
      </c>
      <c r="AP81" s="213">
        <f t="shared" si="124"/>
        <v>0.33300000000000002</v>
      </c>
      <c r="AQ81" s="213">
        <f t="shared" si="125"/>
        <v>0.38580246913580241</v>
      </c>
      <c r="AR81" s="213">
        <f t="shared" si="141"/>
        <v>0.52590123456790128</v>
      </c>
      <c r="AS81" s="218">
        <f t="shared" si="142"/>
        <v>9.5565617854935503E-2</v>
      </c>
      <c r="AT81" s="217"/>
      <c r="AU81" s="213">
        <f t="shared" si="126"/>
        <v>1.6427999999999998E-2</v>
      </c>
      <c r="AV81" s="218">
        <f t="shared" si="143"/>
        <v>1.6427999999999998E-2</v>
      </c>
      <c r="AW81" s="217">
        <f t="shared" si="127"/>
        <v>0</v>
      </c>
      <c r="AX81" s="213">
        <f t="shared" si="128"/>
        <v>2.8366666666666665E-2</v>
      </c>
      <c r="AY81" s="218">
        <f t="shared" si="144"/>
        <v>2.8366666666666665E-2</v>
      </c>
      <c r="AZ81" s="217">
        <f t="shared" si="108"/>
        <v>0</v>
      </c>
      <c r="BA81" s="213">
        <f t="shared" si="109"/>
        <v>0</v>
      </c>
      <c r="BB81" s="213">
        <f t="shared" si="145"/>
        <v>0</v>
      </c>
      <c r="BC81" s="61">
        <f t="shared" si="129"/>
        <v>0</v>
      </c>
      <c r="BD81" s="58">
        <v>0</v>
      </c>
      <c r="BE81" s="49">
        <f t="shared" si="130"/>
        <v>0</v>
      </c>
      <c r="BF81" s="61">
        <f t="shared" si="146"/>
        <v>0</v>
      </c>
      <c r="BG81" s="58">
        <f t="shared" si="131"/>
        <v>0</v>
      </c>
      <c r="BH81" s="49">
        <f t="shared" si="132"/>
        <v>0</v>
      </c>
      <c r="BI81" s="61">
        <f t="shared" si="133"/>
        <v>0</v>
      </c>
      <c r="BK81" s="217">
        <f t="shared" si="110"/>
        <v>0</v>
      </c>
      <c r="BL81" s="213">
        <f t="shared" si="111"/>
        <v>0</v>
      </c>
      <c r="BM81" s="213">
        <f t="shared" si="112"/>
        <v>0</v>
      </c>
      <c r="BN81" s="61">
        <f t="shared" si="149"/>
        <v>0</v>
      </c>
      <c r="BO81" s="58">
        <v>0</v>
      </c>
      <c r="BP81" s="49">
        <f t="shared" si="135"/>
        <v>0</v>
      </c>
      <c r="BQ81" s="61">
        <f t="shared" si="147"/>
        <v>0</v>
      </c>
      <c r="BR81" s="58">
        <f t="shared" si="136"/>
        <v>0</v>
      </c>
      <c r="BS81" s="49">
        <f t="shared" si="137"/>
        <v>0</v>
      </c>
      <c r="BT81" s="61">
        <f t="shared" si="148"/>
        <v>0</v>
      </c>
      <c r="BU81" s="58">
        <f t="shared" si="113"/>
        <v>2.9224919411185827E-2</v>
      </c>
      <c r="BV81" s="49">
        <f t="shared" si="114"/>
        <v>1.0800000000000002E-3</v>
      </c>
      <c r="BW81" s="61">
        <f t="shared" si="115"/>
        <v>6.7499999999999999E-3</v>
      </c>
      <c r="BX81" s="49">
        <f t="shared" si="138"/>
        <v>9.1421643307159268</v>
      </c>
      <c r="BY81" s="49">
        <f t="shared" si="139"/>
        <v>11.714885677618527</v>
      </c>
      <c r="BZ81" s="49">
        <f t="shared" si="140"/>
        <v>75.952143755105254</v>
      </c>
    </row>
    <row r="82" spans="17:78" x14ac:dyDescent="0.4">
      <c r="Q82" s="49">
        <v>75</v>
      </c>
      <c r="R82" s="217">
        <f t="shared" si="93"/>
        <v>37.5</v>
      </c>
      <c r="S82" s="213">
        <f t="shared" si="94"/>
        <v>15</v>
      </c>
      <c r="T82" s="218">
        <f t="shared" si="95"/>
        <v>2.5</v>
      </c>
      <c r="U82" s="217">
        <f t="shared" si="96"/>
        <v>2</v>
      </c>
      <c r="V82" s="213">
        <f t="shared" si="97"/>
        <v>0.92592592592592593</v>
      </c>
      <c r="W82" s="213">
        <f t="shared" si="98"/>
        <v>7.407407407407407E-2</v>
      </c>
      <c r="X82" s="213">
        <f t="shared" si="116"/>
        <v>0</v>
      </c>
      <c r="Y82" s="217">
        <f t="shared" si="117"/>
        <v>2.6999999999999997</v>
      </c>
      <c r="Z82" s="213">
        <f t="shared" si="99"/>
        <v>3.0864197530864197</v>
      </c>
      <c r="AA82" s="213">
        <f t="shared" si="118"/>
        <v>4.2432098765432098</v>
      </c>
      <c r="AB82" s="218">
        <f t="shared" si="100"/>
        <v>2.735878259863997</v>
      </c>
      <c r="AC82" s="217">
        <v>0</v>
      </c>
      <c r="AD82" s="213">
        <f t="shared" si="101"/>
        <v>8.607784330715921</v>
      </c>
      <c r="AE82" s="218">
        <f t="shared" si="119"/>
        <v>8.607784330715921</v>
      </c>
      <c r="AF82" s="58">
        <f t="shared" si="102"/>
        <v>0.75</v>
      </c>
      <c r="AG82" s="61">
        <f t="shared" si="103"/>
        <v>0.75</v>
      </c>
      <c r="AH82" s="58">
        <f t="shared" si="104"/>
        <v>1.7589820154071663</v>
      </c>
      <c r="AI82" s="49">
        <f t="shared" si="105"/>
        <v>3.436595819349425E-2</v>
      </c>
      <c r="AJ82" s="61">
        <f t="shared" si="120"/>
        <v>1.7933479736006606</v>
      </c>
      <c r="AK82" s="217">
        <f t="shared" si="106"/>
        <v>37.5</v>
      </c>
      <c r="AL82" s="213">
        <f t="shared" si="107"/>
        <v>1500</v>
      </c>
      <c r="AM82" s="218">
        <f t="shared" si="121"/>
        <v>2.5000000000000001E-2</v>
      </c>
      <c r="AN82" s="217">
        <f t="shared" si="122"/>
        <v>2</v>
      </c>
      <c r="AO82" s="213">
        <f t="shared" si="123"/>
        <v>7.4074074074074084E-2</v>
      </c>
      <c r="AP82" s="213">
        <f t="shared" si="124"/>
        <v>0.33749999999999997</v>
      </c>
      <c r="AQ82" s="213">
        <f t="shared" si="125"/>
        <v>0.38580246913580252</v>
      </c>
      <c r="AR82" s="213">
        <f t="shared" si="141"/>
        <v>0.53040123456790123</v>
      </c>
      <c r="AS82" s="218">
        <f t="shared" si="142"/>
        <v>9.6727903502534199E-2</v>
      </c>
      <c r="AT82" s="217"/>
      <c r="AU82" s="213">
        <f t="shared" si="126"/>
        <v>1.6875000000000005E-2</v>
      </c>
      <c r="AV82" s="218">
        <f t="shared" si="143"/>
        <v>1.6875000000000005E-2</v>
      </c>
      <c r="AW82" s="217">
        <f t="shared" si="127"/>
        <v>0</v>
      </c>
      <c r="AX82" s="213">
        <f t="shared" si="128"/>
        <v>2.8749999999999998E-2</v>
      </c>
      <c r="AY82" s="218">
        <f t="shared" si="144"/>
        <v>2.8749999999999998E-2</v>
      </c>
      <c r="AZ82" s="217">
        <f t="shared" si="108"/>
        <v>0</v>
      </c>
      <c r="BA82" s="213">
        <f t="shared" si="109"/>
        <v>0</v>
      </c>
      <c r="BB82" s="213">
        <f t="shared" si="145"/>
        <v>0</v>
      </c>
      <c r="BC82" s="61">
        <f t="shared" si="129"/>
        <v>0</v>
      </c>
      <c r="BD82" s="58">
        <v>0</v>
      </c>
      <c r="BE82" s="49">
        <f t="shared" si="130"/>
        <v>0</v>
      </c>
      <c r="BF82" s="61">
        <f t="shared" si="146"/>
        <v>0</v>
      </c>
      <c r="BG82" s="58">
        <f t="shared" si="131"/>
        <v>0</v>
      </c>
      <c r="BH82" s="49">
        <f t="shared" si="132"/>
        <v>0</v>
      </c>
      <c r="BI82" s="61">
        <f t="shared" si="133"/>
        <v>0</v>
      </c>
      <c r="BK82" s="217">
        <f t="shared" si="110"/>
        <v>0</v>
      </c>
      <c r="BL82" s="213">
        <f t="shared" si="111"/>
        <v>0</v>
      </c>
      <c r="BM82" s="213">
        <f t="shared" si="112"/>
        <v>0</v>
      </c>
      <c r="BN82" s="61">
        <f t="shared" si="149"/>
        <v>0</v>
      </c>
      <c r="BO82" s="58">
        <v>0</v>
      </c>
      <c r="BP82" s="49">
        <f t="shared" si="135"/>
        <v>0</v>
      </c>
      <c r="BQ82" s="61">
        <f t="shared" si="147"/>
        <v>0</v>
      </c>
      <c r="BR82" s="58">
        <f t="shared" si="136"/>
        <v>0</v>
      </c>
      <c r="BS82" s="49">
        <f t="shared" si="137"/>
        <v>0</v>
      </c>
      <c r="BT82" s="61">
        <f t="shared" si="148"/>
        <v>0</v>
      </c>
      <c r="BU82" s="58">
        <f t="shared" si="113"/>
        <v>2.9940119411185809E-2</v>
      </c>
      <c r="BV82" s="49">
        <f t="shared" si="114"/>
        <v>1.0800000000000002E-3</v>
      </c>
      <c r="BW82" s="61">
        <f t="shared" si="115"/>
        <v>6.7499999999999999E-3</v>
      </c>
      <c r="BX82" s="49">
        <f t="shared" si="138"/>
        <v>9.357784330715921</v>
      </c>
      <c r="BY82" s="49">
        <f t="shared" si="139"/>
        <v>11.984527423727767</v>
      </c>
      <c r="BZ82" s="49">
        <f t="shared" si="140"/>
        <v>75.781263260117143</v>
      </c>
    </row>
    <row r="83" spans="17:78" x14ac:dyDescent="0.4">
      <c r="Q83" s="49">
        <v>76</v>
      </c>
      <c r="R83" s="217">
        <f t="shared" si="93"/>
        <v>38</v>
      </c>
      <c r="S83" s="213">
        <f t="shared" si="94"/>
        <v>15</v>
      </c>
      <c r="T83" s="218">
        <f t="shared" si="95"/>
        <v>2.5333333333333332</v>
      </c>
      <c r="U83" s="217">
        <f t="shared" si="96"/>
        <v>2</v>
      </c>
      <c r="V83" s="213">
        <f t="shared" si="97"/>
        <v>0.92592592592592593</v>
      </c>
      <c r="W83" s="213">
        <f t="shared" si="98"/>
        <v>7.407407407407407E-2</v>
      </c>
      <c r="X83" s="213">
        <f t="shared" si="116"/>
        <v>0</v>
      </c>
      <c r="Y83" s="217">
        <f t="shared" si="117"/>
        <v>2.7359999999999998</v>
      </c>
      <c r="Z83" s="213">
        <f t="shared" si="99"/>
        <v>3.0864197530864197</v>
      </c>
      <c r="AA83" s="213">
        <f t="shared" si="118"/>
        <v>4.2792098765432094</v>
      </c>
      <c r="AB83" s="218">
        <f t="shared" si="100"/>
        <v>2.7687957405334993</v>
      </c>
      <c r="AC83" s="217">
        <v>0</v>
      </c>
      <c r="AD83" s="213">
        <f t="shared" si="101"/>
        <v>8.8161643307159174</v>
      </c>
      <c r="AE83" s="218">
        <f t="shared" si="119"/>
        <v>8.8161643307159174</v>
      </c>
      <c r="AF83" s="58">
        <f t="shared" si="102"/>
        <v>0.76</v>
      </c>
      <c r="AG83" s="61">
        <f t="shared" si="103"/>
        <v>0.76</v>
      </c>
      <c r="AH83" s="58">
        <f t="shared" si="104"/>
        <v>1.8015640154071657</v>
      </c>
      <c r="AI83" s="49">
        <f t="shared" si="105"/>
        <v>3.4824170969407507E-2</v>
      </c>
      <c r="AJ83" s="61">
        <f t="shared" si="120"/>
        <v>1.8363881863765732</v>
      </c>
      <c r="AK83" s="217">
        <f t="shared" si="106"/>
        <v>38</v>
      </c>
      <c r="AL83" s="213">
        <f t="shared" si="107"/>
        <v>1500</v>
      </c>
      <c r="AM83" s="218">
        <f t="shared" si="121"/>
        <v>2.5333333333333333E-2</v>
      </c>
      <c r="AN83" s="217">
        <f t="shared" si="122"/>
        <v>2</v>
      </c>
      <c r="AO83" s="213">
        <f t="shared" si="123"/>
        <v>7.4074074074074084E-2</v>
      </c>
      <c r="AP83" s="213">
        <f t="shared" si="124"/>
        <v>0.34199999999999997</v>
      </c>
      <c r="AQ83" s="213">
        <f t="shared" si="125"/>
        <v>0.38580246913580252</v>
      </c>
      <c r="AR83" s="213">
        <f t="shared" si="141"/>
        <v>0.53490123456790117</v>
      </c>
      <c r="AS83" s="218">
        <f t="shared" si="142"/>
        <v>9.7891712192583302E-2</v>
      </c>
      <c r="AT83" s="217"/>
      <c r="AU83" s="213">
        <f t="shared" si="126"/>
        <v>1.7328E-2</v>
      </c>
      <c r="AV83" s="218">
        <f t="shared" si="143"/>
        <v>1.7328E-2</v>
      </c>
      <c r="AW83" s="217">
        <f t="shared" si="127"/>
        <v>0</v>
      </c>
      <c r="AX83" s="213">
        <f t="shared" si="128"/>
        <v>2.9133333333333331E-2</v>
      </c>
      <c r="AY83" s="218">
        <f t="shared" si="144"/>
        <v>2.9133333333333331E-2</v>
      </c>
      <c r="AZ83" s="217">
        <f t="shared" si="108"/>
        <v>0</v>
      </c>
      <c r="BA83" s="213">
        <f t="shared" si="109"/>
        <v>0</v>
      </c>
      <c r="BB83" s="213">
        <f t="shared" si="145"/>
        <v>0</v>
      </c>
      <c r="BC83" s="61">
        <f t="shared" si="129"/>
        <v>0</v>
      </c>
      <c r="BD83" s="58">
        <v>0</v>
      </c>
      <c r="BE83" s="49">
        <f t="shared" si="130"/>
        <v>0</v>
      </c>
      <c r="BF83" s="61">
        <f t="shared" si="146"/>
        <v>0</v>
      </c>
      <c r="BG83" s="58">
        <f t="shared" si="131"/>
        <v>0</v>
      </c>
      <c r="BH83" s="49">
        <f t="shared" si="132"/>
        <v>0</v>
      </c>
      <c r="BI83" s="61">
        <f t="shared" si="133"/>
        <v>0</v>
      </c>
      <c r="BK83" s="217">
        <f t="shared" si="110"/>
        <v>0</v>
      </c>
      <c r="BL83" s="213">
        <f t="shared" si="111"/>
        <v>0</v>
      </c>
      <c r="BM83" s="213">
        <f t="shared" si="112"/>
        <v>0</v>
      </c>
      <c r="BN83" s="61">
        <f t="shared" si="149"/>
        <v>0</v>
      </c>
      <c r="BO83" s="58">
        <v>0</v>
      </c>
      <c r="BP83" s="49">
        <f t="shared" si="135"/>
        <v>0</v>
      </c>
      <c r="BQ83" s="61">
        <f t="shared" si="147"/>
        <v>0</v>
      </c>
      <c r="BR83" s="58">
        <f t="shared" si="136"/>
        <v>0</v>
      </c>
      <c r="BS83" s="49">
        <f t="shared" si="137"/>
        <v>0</v>
      </c>
      <c r="BT83" s="61">
        <f t="shared" si="148"/>
        <v>0</v>
      </c>
      <c r="BU83" s="58">
        <f t="shared" si="113"/>
        <v>3.0664919411185796E-2</v>
      </c>
      <c r="BV83" s="49">
        <f t="shared" si="114"/>
        <v>1.0800000000000002E-3</v>
      </c>
      <c r="BW83" s="61">
        <f t="shared" si="115"/>
        <v>6.7499999999999999E-3</v>
      </c>
      <c r="BX83" s="49">
        <f t="shared" si="138"/>
        <v>9.5761643307159172</v>
      </c>
      <c r="BY83" s="49">
        <f t="shared" si="139"/>
        <v>12.25750876983701</v>
      </c>
      <c r="BZ83" s="49">
        <f t="shared" si="140"/>
        <v>75.610592188378462</v>
      </c>
    </row>
    <row r="84" spans="17:78" x14ac:dyDescent="0.4">
      <c r="Q84" s="49">
        <v>77</v>
      </c>
      <c r="R84" s="217">
        <f t="shared" si="93"/>
        <v>38.5</v>
      </c>
      <c r="S84" s="213">
        <f t="shared" si="94"/>
        <v>15</v>
      </c>
      <c r="T84" s="218">
        <f t="shared" si="95"/>
        <v>2.5666666666666669</v>
      </c>
      <c r="U84" s="217">
        <f t="shared" si="96"/>
        <v>2</v>
      </c>
      <c r="V84" s="213">
        <f t="shared" si="97"/>
        <v>0.92592592592592593</v>
      </c>
      <c r="W84" s="213">
        <f t="shared" si="98"/>
        <v>7.407407407407407E-2</v>
      </c>
      <c r="X84" s="213">
        <f t="shared" si="116"/>
        <v>0</v>
      </c>
      <c r="Y84" s="217">
        <f t="shared" si="117"/>
        <v>2.7719999999999998</v>
      </c>
      <c r="Z84" s="213">
        <f t="shared" si="99"/>
        <v>3.0864197530864197</v>
      </c>
      <c r="AA84" s="213">
        <f t="shared" si="118"/>
        <v>4.3152098765432099</v>
      </c>
      <c r="AB84" s="218">
        <f t="shared" si="100"/>
        <v>2.80175478098931</v>
      </c>
      <c r="AC84" s="217">
        <v>0</v>
      </c>
      <c r="AD84" s="213">
        <f t="shared" si="101"/>
        <v>9.0273043307159266</v>
      </c>
      <c r="AE84" s="218">
        <f t="shared" si="119"/>
        <v>9.0273043307159266</v>
      </c>
      <c r="AF84" s="58">
        <f t="shared" si="102"/>
        <v>0.77</v>
      </c>
      <c r="AG84" s="61">
        <f t="shared" si="103"/>
        <v>0.77</v>
      </c>
      <c r="AH84" s="58">
        <f t="shared" si="104"/>
        <v>1.8447100154071674</v>
      </c>
      <c r="AI84" s="49">
        <f t="shared" si="105"/>
        <v>3.5282383745320764E-2</v>
      </c>
      <c r="AJ84" s="61">
        <f t="shared" si="120"/>
        <v>1.8799923991524881</v>
      </c>
      <c r="AK84" s="217">
        <f t="shared" si="106"/>
        <v>38.5</v>
      </c>
      <c r="AL84" s="213">
        <f t="shared" si="107"/>
        <v>1500</v>
      </c>
      <c r="AM84" s="218">
        <f t="shared" si="121"/>
        <v>2.5666666666666667E-2</v>
      </c>
      <c r="AN84" s="217">
        <f t="shared" si="122"/>
        <v>2</v>
      </c>
      <c r="AO84" s="213">
        <f t="shared" si="123"/>
        <v>7.4074074074074084E-2</v>
      </c>
      <c r="AP84" s="213">
        <f t="shared" si="124"/>
        <v>0.34649999999999997</v>
      </c>
      <c r="AQ84" s="213">
        <f t="shared" si="125"/>
        <v>0.38580246913580252</v>
      </c>
      <c r="AR84" s="213">
        <f t="shared" si="141"/>
        <v>0.53940123456790123</v>
      </c>
      <c r="AS84" s="218">
        <f t="shared" si="142"/>
        <v>9.9056990242968546E-2</v>
      </c>
      <c r="AT84" s="217"/>
      <c r="AU84" s="213">
        <f t="shared" si="126"/>
        <v>1.7787000000000001E-2</v>
      </c>
      <c r="AV84" s="218">
        <f t="shared" si="143"/>
        <v>1.7787000000000001E-2</v>
      </c>
      <c r="AW84" s="217">
        <f t="shared" si="127"/>
        <v>0</v>
      </c>
      <c r="AX84" s="213">
        <f t="shared" si="128"/>
        <v>2.9516666666666667E-2</v>
      </c>
      <c r="AY84" s="218">
        <f t="shared" si="144"/>
        <v>2.9516666666666667E-2</v>
      </c>
      <c r="AZ84" s="217">
        <f t="shared" si="108"/>
        <v>0</v>
      </c>
      <c r="BA84" s="213">
        <f t="shared" si="109"/>
        <v>0</v>
      </c>
      <c r="BB84" s="213">
        <f t="shared" si="145"/>
        <v>0</v>
      </c>
      <c r="BC84" s="61">
        <f t="shared" si="129"/>
        <v>0</v>
      </c>
      <c r="BD84" s="58">
        <v>0</v>
      </c>
      <c r="BE84" s="49">
        <f t="shared" si="130"/>
        <v>0</v>
      </c>
      <c r="BF84" s="61">
        <f t="shared" si="146"/>
        <v>0</v>
      </c>
      <c r="BG84" s="58">
        <f t="shared" si="131"/>
        <v>0</v>
      </c>
      <c r="BH84" s="49">
        <f t="shared" si="132"/>
        <v>0</v>
      </c>
      <c r="BI84" s="61">
        <f t="shared" si="133"/>
        <v>0</v>
      </c>
      <c r="BK84" s="217">
        <f t="shared" si="110"/>
        <v>0</v>
      </c>
      <c r="BL84" s="213">
        <f t="shared" si="111"/>
        <v>0</v>
      </c>
      <c r="BM84" s="213">
        <f t="shared" si="112"/>
        <v>0</v>
      </c>
      <c r="BN84" s="61">
        <f t="shared" si="149"/>
        <v>0</v>
      </c>
      <c r="BO84" s="58">
        <v>0</v>
      </c>
      <c r="BP84" s="49">
        <f t="shared" si="135"/>
        <v>0</v>
      </c>
      <c r="BQ84" s="61">
        <f t="shared" si="147"/>
        <v>0</v>
      </c>
      <c r="BR84" s="58">
        <f t="shared" si="136"/>
        <v>0</v>
      </c>
      <c r="BS84" s="49">
        <f t="shared" si="137"/>
        <v>0</v>
      </c>
      <c r="BT84" s="61">
        <f t="shared" si="148"/>
        <v>0</v>
      </c>
      <c r="BU84" s="58">
        <f t="shared" si="113"/>
        <v>3.1399319411185823E-2</v>
      </c>
      <c r="BV84" s="49">
        <f t="shared" si="114"/>
        <v>1.0800000000000002E-3</v>
      </c>
      <c r="BW84" s="61">
        <f t="shared" si="115"/>
        <v>6.7499999999999999E-3</v>
      </c>
      <c r="BX84" s="49">
        <f t="shared" si="138"/>
        <v>9.7973043307159262</v>
      </c>
      <c r="BY84" s="49">
        <f t="shared" si="139"/>
        <v>12.533829715946267</v>
      </c>
      <c r="BZ84" s="49">
        <f t="shared" si="140"/>
        <v>75.440154529437777</v>
      </c>
    </row>
    <row r="85" spans="17:78" x14ac:dyDescent="0.4">
      <c r="Q85" s="49">
        <v>78</v>
      </c>
      <c r="R85" s="217">
        <f t="shared" si="93"/>
        <v>39</v>
      </c>
      <c r="S85" s="213">
        <f t="shared" si="94"/>
        <v>15</v>
      </c>
      <c r="T85" s="218">
        <f t="shared" si="95"/>
        <v>2.6</v>
      </c>
      <c r="U85" s="217">
        <f t="shared" si="96"/>
        <v>2</v>
      </c>
      <c r="V85" s="213">
        <f t="shared" si="97"/>
        <v>0.92592592592592593</v>
      </c>
      <c r="W85" s="213">
        <f t="shared" si="98"/>
        <v>7.407407407407407E-2</v>
      </c>
      <c r="X85" s="213">
        <f t="shared" si="116"/>
        <v>0</v>
      </c>
      <c r="Y85" s="217">
        <f t="shared" si="117"/>
        <v>2.8079999999999998</v>
      </c>
      <c r="Z85" s="213">
        <f t="shared" si="99"/>
        <v>3.0864197530864197</v>
      </c>
      <c r="AA85" s="213">
        <f t="shared" si="118"/>
        <v>4.3512098765432095</v>
      </c>
      <c r="AB85" s="218">
        <f t="shared" si="100"/>
        <v>2.834753931613192</v>
      </c>
      <c r="AC85" s="217">
        <v>0</v>
      </c>
      <c r="AD85" s="213">
        <f t="shared" si="101"/>
        <v>9.2412043307159184</v>
      </c>
      <c r="AE85" s="218">
        <f t="shared" si="119"/>
        <v>9.2412043307159184</v>
      </c>
      <c r="AF85" s="58">
        <f t="shared" si="102"/>
        <v>0.78</v>
      </c>
      <c r="AG85" s="61">
        <f t="shared" si="103"/>
        <v>0.78</v>
      </c>
      <c r="AH85" s="58">
        <f t="shared" si="104"/>
        <v>1.888420015407166</v>
      </c>
      <c r="AI85" s="49">
        <f t="shared" si="105"/>
        <v>3.5740596521234021E-2</v>
      </c>
      <c r="AJ85" s="61">
        <f t="shared" si="120"/>
        <v>1.9241606119284</v>
      </c>
      <c r="AK85" s="217">
        <f t="shared" si="106"/>
        <v>39</v>
      </c>
      <c r="AL85" s="213">
        <f t="shared" si="107"/>
        <v>1500</v>
      </c>
      <c r="AM85" s="218">
        <f t="shared" si="121"/>
        <v>2.5999999999999999E-2</v>
      </c>
      <c r="AN85" s="217">
        <f t="shared" si="122"/>
        <v>2</v>
      </c>
      <c r="AO85" s="213">
        <f t="shared" si="123"/>
        <v>7.407407407407407E-2</v>
      </c>
      <c r="AP85" s="213">
        <f t="shared" si="124"/>
        <v>0.35099999999999998</v>
      </c>
      <c r="AQ85" s="213">
        <f t="shared" si="125"/>
        <v>0.38580246913580241</v>
      </c>
      <c r="AR85" s="213">
        <f t="shared" si="141"/>
        <v>0.54390123456790118</v>
      </c>
      <c r="AS85" s="218">
        <f t="shared" si="142"/>
        <v>0.10022368640194575</v>
      </c>
      <c r="AT85" s="217"/>
      <c r="AU85" s="213">
        <f t="shared" si="126"/>
        <v>1.8251999999999997E-2</v>
      </c>
      <c r="AV85" s="218">
        <f t="shared" si="143"/>
        <v>1.8251999999999997E-2</v>
      </c>
      <c r="AW85" s="217">
        <f t="shared" si="127"/>
        <v>0</v>
      </c>
      <c r="AX85" s="213">
        <f t="shared" si="128"/>
        <v>2.9899999999999996E-2</v>
      </c>
      <c r="AY85" s="218">
        <f t="shared" si="144"/>
        <v>2.9899999999999996E-2</v>
      </c>
      <c r="AZ85" s="217">
        <f t="shared" si="108"/>
        <v>0</v>
      </c>
      <c r="BA85" s="213">
        <f t="shared" si="109"/>
        <v>0</v>
      </c>
      <c r="BB85" s="213">
        <f t="shared" si="145"/>
        <v>0</v>
      </c>
      <c r="BC85" s="61">
        <f t="shared" si="129"/>
        <v>0</v>
      </c>
      <c r="BD85" s="58">
        <v>0</v>
      </c>
      <c r="BE85" s="49">
        <f t="shared" si="130"/>
        <v>0</v>
      </c>
      <c r="BF85" s="61">
        <f t="shared" si="146"/>
        <v>0</v>
      </c>
      <c r="BG85" s="58">
        <f t="shared" si="131"/>
        <v>0</v>
      </c>
      <c r="BH85" s="49">
        <f t="shared" si="132"/>
        <v>0</v>
      </c>
      <c r="BI85" s="61">
        <f t="shared" si="133"/>
        <v>0</v>
      </c>
      <c r="BK85" s="217">
        <f t="shared" si="110"/>
        <v>0</v>
      </c>
      <c r="BL85" s="213">
        <f t="shared" si="111"/>
        <v>0</v>
      </c>
      <c r="BM85" s="213">
        <f t="shared" si="112"/>
        <v>0</v>
      </c>
      <c r="BN85" s="61">
        <f t="shared" si="149"/>
        <v>0</v>
      </c>
      <c r="BO85" s="58">
        <v>0</v>
      </c>
      <c r="BP85" s="49">
        <f t="shared" si="135"/>
        <v>0</v>
      </c>
      <c r="BQ85" s="61">
        <f t="shared" si="147"/>
        <v>0</v>
      </c>
      <c r="BR85" s="58">
        <f t="shared" si="136"/>
        <v>0</v>
      </c>
      <c r="BS85" s="49">
        <f t="shared" si="137"/>
        <v>0</v>
      </c>
      <c r="BT85" s="61">
        <f t="shared" si="148"/>
        <v>0</v>
      </c>
      <c r="BU85" s="58">
        <f t="shared" si="113"/>
        <v>3.2143319411185797E-2</v>
      </c>
      <c r="BV85" s="49">
        <f t="shared" si="114"/>
        <v>1.0800000000000002E-3</v>
      </c>
      <c r="BW85" s="61">
        <f t="shared" si="115"/>
        <v>6.7499999999999999E-3</v>
      </c>
      <c r="BX85" s="49">
        <f t="shared" si="138"/>
        <v>10.021204330715918</v>
      </c>
      <c r="BY85" s="49">
        <f t="shared" si="139"/>
        <v>12.813490262055504</v>
      </c>
      <c r="BZ85" s="49">
        <f t="shared" si="140"/>
        <v>75.269972747928961</v>
      </c>
    </row>
    <row r="86" spans="17:78" x14ac:dyDescent="0.4">
      <c r="Q86" s="49">
        <v>79</v>
      </c>
      <c r="R86" s="217">
        <f t="shared" si="93"/>
        <v>39.5</v>
      </c>
      <c r="S86" s="213">
        <f t="shared" si="94"/>
        <v>15</v>
      </c>
      <c r="T86" s="218">
        <f t="shared" si="95"/>
        <v>2.6333333333333333</v>
      </c>
      <c r="U86" s="217">
        <f t="shared" si="96"/>
        <v>2</v>
      </c>
      <c r="V86" s="213">
        <f t="shared" si="97"/>
        <v>0.92592592592592593</v>
      </c>
      <c r="W86" s="213">
        <f t="shared" si="98"/>
        <v>7.407407407407407E-2</v>
      </c>
      <c r="X86" s="213">
        <f t="shared" si="116"/>
        <v>0</v>
      </c>
      <c r="Y86" s="217">
        <f t="shared" si="117"/>
        <v>2.8439999999999999</v>
      </c>
      <c r="Z86" s="213">
        <f t="shared" si="99"/>
        <v>3.0864197530864197</v>
      </c>
      <c r="AA86" s="213">
        <f t="shared" si="118"/>
        <v>4.3872098765432099</v>
      </c>
      <c r="AB86" s="218">
        <f t="shared" si="100"/>
        <v>2.8677918077845987</v>
      </c>
      <c r="AC86" s="217">
        <v>0</v>
      </c>
      <c r="AD86" s="213">
        <f t="shared" si="101"/>
        <v>9.4578643307159265</v>
      </c>
      <c r="AE86" s="218">
        <f t="shared" si="119"/>
        <v>9.4578643307159265</v>
      </c>
      <c r="AF86" s="58">
        <f t="shared" si="102"/>
        <v>0.79</v>
      </c>
      <c r="AG86" s="61">
        <f t="shared" si="103"/>
        <v>0.79</v>
      </c>
      <c r="AH86" s="58">
        <f t="shared" si="104"/>
        <v>1.9326940154071675</v>
      </c>
      <c r="AI86" s="49">
        <f t="shared" si="105"/>
        <v>3.6198809297147277E-2</v>
      </c>
      <c r="AJ86" s="61">
        <f t="shared" si="120"/>
        <v>1.9688928247043147</v>
      </c>
      <c r="AK86" s="217">
        <f t="shared" si="106"/>
        <v>39.5</v>
      </c>
      <c r="AL86" s="213">
        <f t="shared" si="107"/>
        <v>1500</v>
      </c>
      <c r="AM86" s="218">
        <f t="shared" si="121"/>
        <v>2.6333333333333334E-2</v>
      </c>
      <c r="AN86" s="217">
        <f t="shared" si="122"/>
        <v>2</v>
      </c>
      <c r="AO86" s="213">
        <f t="shared" si="123"/>
        <v>7.4074074074074084E-2</v>
      </c>
      <c r="AP86" s="213">
        <f t="shared" si="124"/>
        <v>0.35549999999999998</v>
      </c>
      <c r="AQ86" s="213">
        <f t="shared" si="125"/>
        <v>0.38580246913580252</v>
      </c>
      <c r="AR86" s="213">
        <f t="shared" si="141"/>
        <v>0.54840123456790124</v>
      </c>
      <c r="AS86" s="218">
        <f t="shared" si="142"/>
        <v>0.10139175171578588</v>
      </c>
      <c r="AT86" s="217"/>
      <c r="AU86" s="213">
        <f t="shared" si="126"/>
        <v>1.8723E-2</v>
      </c>
      <c r="AV86" s="218">
        <f t="shared" si="143"/>
        <v>1.8723E-2</v>
      </c>
      <c r="AW86" s="217">
        <f t="shared" si="127"/>
        <v>0</v>
      </c>
      <c r="AX86" s="213">
        <f t="shared" si="128"/>
        <v>3.0283333333333332E-2</v>
      </c>
      <c r="AY86" s="218">
        <f t="shared" si="144"/>
        <v>3.0283333333333332E-2</v>
      </c>
      <c r="AZ86" s="217">
        <f t="shared" si="108"/>
        <v>0</v>
      </c>
      <c r="BA86" s="213">
        <f t="shared" si="109"/>
        <v>0</v>
      </c>
      <c r="BB86" s="213">
        <f t="shared" si="145"/>
        <v>0</v>
      </c>
      <c r="BC86" s="61">
        <f t="shared" si="129"/>
        <v>0</v>
      </c>
      <c r="BD86" s="58">
        <v>0</v>
      </c>
      <c r="BE86" s="49">
        <f t="shared" si="130"/>
        <v>0</v>
      </c>
      <c r="BF86" s="61">
        <f t="shared" si="146"/>
        <v>0</v>
      </c>
      <c r="BG86" s="58">
        <f t="shared" si="131"/>
        <v>0</v>
      </c>
      <c r="BH86" s="49">
        <f t="shared" si="132"/>
        <v>0</v>
      </c>
      <c r="BI86" s="61">
        <f t="shared" si="133"/>
        <v>0</v>
      </c>
      <c r="BK86" s="217">
        <f t="shared" si="110"/>
        <v>0</v>
      </c>
      <c r="BL86" s="213">
        <f t="shared" si="111"/>
        <v>0</v>
      </c>
      <c r="BM86" s="213">
        <f t="shared" si="112"/>
        <v>0</v>
      </c>
      <c r="BN86" s="61">
        <f t="shared" si="149"/>
        <v>0</v>
      </c>
      <c r="BO86" s="58">
        <v>0</v>
      </c>
      <c r="BP86" s="49">
        <f t="shared" si="135"/>
        <v>0</v>
      </c>
      <c r="BQ86" s="61">
        <f t="shared" si="147"/>
        <v>0</v>
      </c>
      <c r="BR86" s="58">
        <f t="shared" si="136"/>
        <v>0</v>
      </c>
      <c r="BS86" s="49">
        <f t="shared" si="137"/>
        <v>0</v>
      </c>
      <c r="BT86" s="61">
        <f t="shared" si="148"/>
        <v>0</v>
      </c>
      <c r="BU86" s="58">
        <f t="shared" si="113"/>
        <v>3.2896919411185825E-2</v>
      </c>
      <c r="BV86" s="49">
        <f t="shared" si="114"/>
        <v>1.0800000000000002E-3</v>
      </c>
      <c r="BW86" s="61">
        <f t="shared" si="115"/>
        <v>6.7499999999999999E-3</v>
      </c>
      <c r="BX86" s="49">
        <f t="shared" si="138"/>
        <v>10.247864330715927</v>
      </c>
      <c r="BY86" s="49">
        <f t="shared" si="139"/>
        <v>13.096490408164762</v>
      </c>
      <c r="BZ86" s="49">
        <f t="shared" si="140"/>
        <v>75.10006788184532</v>
      </c>
    </row>
    <row r="87" spans="17:78" x14ac:dyDescent="0.4">
      <c r="Q87" s="49">
        <v>80</v>
      </c>
      <c r="R87" s="217">
        <f t="shared" si="93"/>
        <v>40</v>
      </c>
      <c r="S87" s="213">
        <f t="shared" si="94"/>
        <v>15</v>
      </c>
      <c r="T87" s="218">
        <f t="shared" si="95"/>
        <v>2.6666666666666665</v>
      </c>
      <c r="U87" s="217">
        <f t="shared" si="96"/>
        <v>2</v>
      </c>
      <c r="V87" s="213">
        <f t="shared" si="97"/>
        <v>0.92592592592592593</v>
      </c>
      <c r="W87" s="213">
        <f t="shared" si="98"/>
        <v>7.407407407407407E-2</v>
      </c>
      <c r="X87" s="213">
        <f t="shared" si="116"/>
        <v>0</v>
      </c>
      <c r="Y87" s="217">
        <f t="shared" si="117"/>
        <v>2.88</v>
      </c>
      <c r="Z87" s="213">
        <f t="shared" si="99"/>
        <v>3.0864197530864197</v>
      </c>
      <c r="AA87" s="213">
        <f t="shared" si="118"/>
        <v>4.4232098765432095</v>
      </c>
      <c r="AB87" s="218">
        <f t="shared" si="100"/>
        <v>2.900867086372013</v>
      </c>
      <c r="AC87" s="217">
        <v>0</v>
      </c>
      <c r="AD87" s="213">
        <f t="shared" si="101"/>
        <v>9.6772843307159189</v>
      </c>
      <c r="AE87" s="218">
        <f t="shared" si="119"/>
        <v>9.6772843307159189</v>
      </c>
      <c r="AF87" s="58">
        <f t="shared" si="102"/>
        <v>0.8</v>
      </c>
      <c r="AG87" s="61">
        <f t="shared" si="103"/>
        <v>0.8</v>
      </c>
      <c r="AH87" s="58">
        <f t="shared" si="104"/>
        <v>1.9775320154071661</v>
      </c>
      <c r="AI87" s="49">
        <f t="shared" si="105"/>
        <v>3.6657022073060534E-2</v>
      </c>
      <c r="AJ87" s="61">
        <f t="shared" si="120"/>
        <v>2.0141890374802265</v>
      </c>
      <c r="AK87" s="217">
        <f t="shared" si="106"/>
        <v>40</v>
      </c>
      <c r="AL87" s="213">
        <f t="shared" si="107"/>
        <v>1500</v>
      </c>
      <c r="AM87" s="218">
        <f t="shared" si="121"/>
        <v>2.6666666666666668E-2</v>
      </c>
      <c r="AN87" s="217">
        <f t="shared" si="122"/>
        <v>2</v>
      </c>
      <c r="AO87" s="213">
        <f t="shared" si="123"/>
        <v>7.4074074074074084E-2</v>
      </c>
      <c r="AP87" s="213">
        <f t="shared" si="124"/>
        <v>0.36</v>
      </c>
      <c r="AQ87" s="213">
        <f t="shared" si="125"/>
        <v>0.38580246913580252</v>
      </c>
      <c r="AR87" s="213">
        <f t="shared" si="141"/>
        <v>0.55290123456790119</v>
      </c>
      <c r="AS87" s="218">
        <f t="shared" si="142"/>
        <v>0.10256113940472562</v>
      </c>
      <c r="AT87" s="217"/>
      <c r="AU87" s="213">
        <f t="shared" si="126"/>
        <v>1.9200000000000005E-2</v>
      </c>
      <c r="AV87" s="218">
        <f t="shared" si="143"/>
        <v>1.9200000000000005E-2</v>
      </c>
      <c r="AW87" s="217">
        <f t="shared" si="127"/>
        <v>0</v>
      </c>
      <c r="AX87" s="213">
        <f t="shared" si="128"/>
        <v>3.0666666666666665E-2</v>
      </c>
      <c r="AY87" s="218">
        <f t="shared" si="144"/>
        <v>3.0666666666666665E-2</v>
      </c>
      <c r="AZ87" s="217">
        <f t="shared" si="108"/>
        <v>0</v>
      </c>
      <c r="BA87" s="213">
        <f t="shared" si="109"/>
        <v>0</v>
      </c>
      <c r="BB87" s="213">
        <f t="shared" si="145"/>
        <v>0</v>
      </c>
      <c r="BC87" s="61">
        <f t="shared" si="129"/>
        <v>0</v>
      </c>
      <c r="BD87" s="58">
        <v>0</v>
      </c>
      <c r="BE87" s="49">
        <f t="shared" si="130"/>
        <v>0</v>
      </c>
      <c r="BF87" s="61">
        <f t="shared" si="146"/>
        <v>0</v>
      </c>
      <c r="BG87" s="58">
        <f t="shared" si="131"/>
        <v>0</v>
      </c>
      <c r="BH87" s="49">
        <f t="shared" si="132"/>
        <v>0</v>
      </c>
      <c r="BI87" s="61">
        <f t="shared" si="133"/>
        <v>0</v>
      </c>
      <c r="BK87" s="217">
        <f t="shared" si="110"/>
        <v>0</v>
      </c>
      <c r="BL87" s="213">
        <f t="shared" si="111"/>
        <v>0</v>
      </c>
      <c r="BM87" s="213">
        <f t="shared" si="112"/>
        <v>0</v>
      </c>
      <c r="BN87" s="61">
        <f t="shared" si="149"/>
        <v>0</v>
      </c>
      <c r="BO87" s="58">
        <v>0</v>
      </c>
      <c r="BP87" s="49">
        <f t="shared" si="135"/>
        <v>0</v>
      </c>
      <c r="BQ87" s="61">
        <f t="shared" si="147"/>
        <v>0</v>
      </c>
      <c r="BR87" s="58">
        <f t="shared" si="136"/>
        <v>0</v>
      </c>
      <c r="BS87" s="49">
        <f t="shared" si="137"/>
        <v>0</v>
      </c>
      <c r="BT87" s="61">
        <f t="shared" si="148"/>
        <v>0</v>
      </c>
      <c r="BU87" s="58">
        <f t="shared" si="113"/>
        <v>3.3660119411185803E-2</v>
      </c>
      <c r="BV87" s="49">
        <f t="shared" si="114"/>
        <v>1.0800000000000002E-3</v>
      </c>
      <c r="BW87" s="61">
        <f t="shared" si="115"/>
        <v>6.7499999999999999E-3</v>
      </c>
      <c r="BX87" s="49">
        <f t="shared" si="138"/>
        <v>10.47728433071592</v>
      </c>
      <c r="BY87" s="49">
        <f t="shared" si="139"/>
        <v>13.382830154273998</v>
      </c>
      <c r="BZ87" s="49">
        <f t="shared" si="140"/>
        <v>74.930459633559678</v>
      </c>
    </row>
    <row r="88" spans="17:78" x14ac:dyDescent="0.4">
      <c r="Q88" s="49">
        <v>81</v>
      </c>
      <c r="R88" s="217">
        <f t="shared" si="93"/>
        <v>40.5</v>
      </c>
      <c r="S88" s="213">
        <f t="shared" si="94"/>
        <v>15</v>
      </c>
      <c r="T88" s="218">
        <f t="shared" si="95"/>
        <v>2.7</v>
      </c>
      <c r="U88" s="217">
        <f t="shared" si="96"/>
        <v>2</v>
      </c>
      <c r="V88" s="213">
        <f t="shared" si="97"/>
        <v>0.92592592592592593</v>
      </c>
      <c r="W88" s="213">
        <f t="shared" si="98"/>
        <v>7.407407407407407E-2</v>
      </c>
      <c r="X88" s="213">
        <f t="shared" si="116"/>
        <v>0</v>
      </c>
      <c r="Y88" s="217">
        <f t="shared" si="117"/>
        <v>2.9159999999999999</v>
      </c>
      <c r="Z88" s="213">
        <f t="shared" si="99"/>
        <v>3.0864197530864197</v>
      </c>
      <c r="AA88" s="213">
        <f t="shared" si="118"/>
        <v>4.45920987654321</v>
      </c>
      <c r="AB88" s="218">
        <f t="shared" si="100"/>
        <v>2.9339785024427925</v>
      </c>
      <c r="AC88" s="217">
        <v>0</v>
      </c>
      <c r="AD88" s="213">
        <f t="shared" si="101"/>
        <v>9.8994643307159205</v>
      </c>
      <c r="AE88" s="218">
        <f t="shared" si="119"/>
        <v>9.8994643307159205</v>
      </c>
      <c r="AF88" s="58">
        <f t="shared" si="102"/>
        <v>0.81</v>
      </c>
      <c r="AG88" s="61">
        <f t="shared" si="103"/>
        <v>0.81</v>
      </c>
      <c r="AH88" s="58">
        <f t="shared" si="104"/>
        <v>2.0229340154071664</v>
      </c>
      <c r="AI88" s="49">
        <f t="shared" si="105"/>
        <v>3.7115234848973791E-2</v>
      </c>
      <c r="AJ88" s="61">
        <f t="shared" si="120"/>
        <v>2.0600492502561401</v>
      </c>
      <c r="AK88" s="217">
        <f t="shared" si="106"/>
        <v>40.5</v>
      </c>
      <c r="AL88" s="213">
        <f t="shared" si="107"/>
        <v>1500</v>
      </c>
      <c r="AM88" s="218">
        <f t="shared" si="121"/>
        <v>2.7E-2</v>
      </c>
      <c r="AN88" s="217">
        <f t="shared" si="122"/>
        <v>2</v>
      </c>
      <c r="AO88" s="213">
        <f t="shared" si="123"/>
        <v>7.407407407407407E-2</v>
      </c>
      <c r="AP88" s="213">
        <f t="shared" si="124"/>
        <v>0.36449999999999999</v>
      </c>
      <c r="AQ88" s="213">
        <f t="shared" si="125"/>
        <v>0.38580246913580241</v>
      </c>
      <c r="AR88" s="213">
        <f t="shared" si="141"/>
        <v>0.55740123456790114</v>
      </c>
      <c r="AS88" s="218">
        <f t="shared" si="142"/>
        <v>0.10373180474664248</v>
      </c>
      <c r="AT88" s="217"/>
      <c r="AU88" s="213">
        <f t="shared" si="126"/>
        <v>1.9682999999999999E-2</v>
      </c>
      <c r="AV88" s="218">
        <f t="shared" si="143"/>
        <v>1.9682999999999999E-2</v>
      </c>
      <c r="AW88" s="217">
        <f t="shared" si="127"/>
        <v>0</v>
      </c>
      <c r="AX88" s="213">
        <f t="shared" si="128"/>
        <v>3.1049999999999998E-2</v>
      </c>
      <c r="AY88" s="218">
        <f t="shared" si="144"/>
        <v>3.1049999999999998E-2</v>
      </c>
      <c r="AZ88" s="217">
        <f t="shared" si="108"/>
        <v>0</v>
      </c>
      <c r="BA88" s="213">
        <f t="shared" si="109"/>
        <v>0</v>
      </c>
      <c r="BB88" s="213">
        <f t="shared" si="145"/>
        <v>0</v>
      </c>
      <c r="BC88" s="61">
        <f t="shared" si="129"/>
        <v>0</v>
      </c>
      <c r="BD88" s="58">
        <v>0</v>
      </c>
      <c r="BE88" s="49">
        <f t="shared" si="130"/>
        <v>0</v>
      </c>
      <c r="BF88" s="61">
        <f t="shared" si="146"/>
        <v>0</v>
      </c>
      <c r="BG88" s="58">
        <f t="shared" si="131"/>
        <v>0</v>
      </c>
      <c r="BH88" s="49">
        <f t="shared" si="132"/>
        <v>0</v>
      </c>
      <c r="BI88" s="61">
        <f t="shared" si="133"/>
        <v>0</v>
      </c>
      <c r="BK88" s="217">
        <f t="shared" si="110"/>
        <v>0</v>
      </c>
      <c r="BL88" s="213">
        <f t="shared" si="111"/>
        <v>0</v>
      </c>
      <c r="BM88" s="213">
        <f t="shared" si="112"/>
        <v>0</v>
      </c>
      <c r="BN88" s="61">
        <f t="shared" si="149"/>
        <v>0</v>
      </c>
      <c r="BO88" s="58">
        <v>0</v>
      </c>
      <c r="BP88" s="49">
        <f t="shared" si="135"/>
        <v>0</v>
      </c>
      <c r="BQ88" s="61">
        <f t="shared" si="147"/>
        <v>0</v>
      </c>
      <c r="BR88" s="58">
        <f t="shared" si="136"/>
        <v>0</v>
      </c>
      <c r="BS88" s="49">
        <f t="shared" si="137"/>
        <v>0</v>
      </c>
      <c r="BT88" s="61">
        <f t="shared" si="148"/>
        <v>0</v>
      </c>
      <c r="BU88" s="58">
        <f t="shared" si="113"/>
        <v>3.4432919411185807E-2</v>
      </c>
      <c r="BV88" s="49">
        <f t="shared" si="114"/>
        <v>1.0800000000000002E-3</v>
      </c>
      <c r="BW88" s="61">
        <f t="shared" si="115"/>
        <v>6.7499999999999999E-3</v>
      </c>
      <c r="BX88" s="49">
        <f t="shared" si="138"/>
        <v>10.709464330715921</v>
      </c>
      <c r="BY88" s="49">
        <f t="shared" si="139"/>
        <v>13.672509500383248</v>
      </c>
      <c r="BZ88" s="49">
        <f t="shared" si="140"/>
        <v>74.761166454202154</v>
      </c>
    </row>
    <row r="89" spans="17:78" x14ac:dyDescent="0.4">
      <c r="Q89" s="49">
        <v>82</v>
      </c>
      <c r="R89" s="217">
        <f t="shared" si="93"/>
        <v>41</v>
      </c>
      <c r="S89" s="213">
        <f t="shared" si="94"/>
        <v>15</v>
      </c>
      <c r="T89" s="218">
        <f t="shared" si="95"/>
        <v>2.7333333333333334</v>
      </c>
      <c r="U89" s="217">
        <f t="shared" si="96"/>
        <v>2</v>
      </c>
      <c r="V89" s="213">
        <f t="shared" si="97"/>
        <v>0.92592592592592593</v>
      </c>
      <c r="W89" s="213">
        <f t="shared" si="98"/>
        <v>7.407407407407407E-2</v>
      </c>
      <c r="X89" s="213">
        <f t="shared" si="116"/>
        <v>0</v>
      </c>
      <c r="Y89" s="217">
        <f t="shared" si="117"/>
        <v>2.952</v>
      </c>
      <c r="Z89" s="213">
        <f t="shared" si="99"/>
        <v>3.0864197530864197</v>
      </c>
      <c r="AA89" s="213">
        <f t="shared" si="118"/>
        <v>4.4952098765432096</v>
      </c>
      <c r="AB89" s="218">
        <f t="shared" si="100"/>
        <v>2.9671248461762527</v>
      </c>
      <c r="AC89" s="217">
        <v>0</v>
      </c>
      <c r="AD89" s="213">
        <f t="shared" si="101"/>
        <v>10.124404330715919</v>
      </c>
      <c r="AE89" s="218">
        <f t="shared" si="119"/>
        <v>10.124404330715919</v>
      </c>
      <c r="AF89" s="58">
        <f t="shared" si="102"/>
        <v>0.82000000000000006</v>
      </c>
      <c r="AG89" s="61">
        <f t="shared" si="103"/>
        <v>0.82000000000000006</v>
      </c>
      <c r="AH89" s="58">
        <f t="shared" si="104"/>
        <v>2.0689000154071659</v>
      </c>
      <c r="AI89" s="49">
        <f t="shared" si="105"/>
        <v>3.7573447624887048E-2</v>
      </c>
      <c r="AJ89" s="61">
        <f t="shared" si="120"/>
        <v>2.106473463032053</v>
      </c>
      <c r="AK89" s="217">
        <f t="shared" si="106"/>
        <v>41</v>
      </c>
      <c r="AL89" s="213">
        <f t="shared" si="107"/>
        <v>1500</v>
      </c>
      <c r="AM89" s="218">
        <f t="shared" si="121"/>
        <v>2.7333333333333334E-2</v>
      </c>
      <c r="AN89" s="217">
        <f t="shared" si="122"/>
        <v>2</v>
      </c>
      <c r="AO89" s="213">
        <f t="shared" si="123"/>
        <v>7.4074074074074084E-2</v>
      </c>
      <c r="AP89" s="213">
        <f t="shared" si="124"/>
        <v>0.36899999999999999</v>
      </c>
      <c r="AQ89" s="213">
        <f t="shared" si="125"/>
        <v>0.38580246913580252</v>
      </c>
      <c r="AR89" s="213">
        <f t="shared" si="141"/>
        <v>0.56190123456790131</v>
      </c>
      <c r="AS89" s="218">
        <f t="shared" si="142"/>
        <v>0.10490370496791603</v>
      </c>
      <c r="AT89" s="217"/>
      <c r="AU89" s="213">
        <f t="shared" si="126"/>
        <v>2.0172000000000002E-2</v>
      </c>
      <c r="AV89" s="218">
        <f t="shared" si="143"/>
        <v>2.0172000000000002E-2</v>
      </c>
      <c r="AW89" s="217">
        <f t="shared" si="127"/>
        <v>0</v>
      </c>
      <c r="AX89" s="213">
        <f t="shared" si="128"/>
        <v>3.1433333333333334E-2</v>
      </c>
      <c r="AY89" s="218">
        <f t="shared" si="144"/>
        <v>3.1433333333333334E-2</v>
      </c>
      <c r="AZ89" s="217">
        <f t="shared" si="108"/>
        <v>0</v>
      </c>
      <c r="BA89" s="213">
        <f t="shared" si="109"/>
        <v>0</v>
      </c>
      <c r="BB89" s="213">
        <f t="shared" si="145"/>
        <v>0</v>
      </c>
      <c r="BC89" s="61">
        <f t="shared" si="129"/>
        <v>0</v>
      </c>
      <c r="BD89" s="58">
        <v>0</v>
      </c>
      <c r="BE89" s="49">
        <f t="shared" si="130"/>
        <v>0</v>
      </c>
      <c r="BF89" s="61">
        <f t="shared" si="146"/>
        <v>0</v>
      </c>
      <c r="BG89" s="58">
        <f t="shared" si="131"/>
        <v>0</v>
      </c>
      <c r="BH89" s="49">
        <f t="shared" si="132"/>
        <v>0</v>
      </c>
      <c r="BI89" s="61">
        <f t="shared" si="133"/>
        <v>0</v>
      </c>
      <c r="BK89" s="217">
        <f t="shared" si="110"/>
        <v>0</v>
      </c>
      <c r="BL89" s="213">
        <f t="shared" si="111"/>
        <v>0</v>
      </c>
      <c r="BM89" s="213">
        <f t="shared" si="112"/>
        <v>0</v>
      </c>
      <c r="BN89" s="61">
        <f t="shared" si="149"/>
        <v>0</v>
      </c>
      <c r="BO89" s="58">
        <v>0</v>
      </c>
      <c r="BP89" s="49">
        <f t="shared" si="135"/>
        <v>0</v>
      </c>
      <c r="BQ89" s="61">
        <f t="shared" si="147"/>
        <v>0</v>
      </c>
      <c r="BR89" s="58">
        <f t="shared" si="136"/>
        <v>0</v>
      </c>
      <c r="BS89" s="49">
        <f t="shared" si="137"/>
        <v>0</v>
      </c>
      <c r="BT89" s="61">
        <f t="shared" si="148"/>
        <v>0</v>
      </c>
      <c r="BU89" s="58">
        <f t="shared" si="113"/>
        <v>3.5215319411185803E-2</v>
      </c>
      <c r="BV89" s="49">
        <f t="shared" si="114"/>
        <v>1.0800000000000002E-3</v>
      </c>
      <c r="BW89" s="61">
        <f t="shared" si="115"/>
        <v>6.7499999999999999E-3</v>
      </c>
      <c r="BX89" s="49">
        <f t="shared" si="138"/>
        <v>10.944404330715919</v>
      </c>
      <c r="BY89" s="49">
        <f t="shared" si="139"/>
        <v>13.965528446492492</v>
      </c>
      <c r="BZ89" s="49">
        <f t="shared" si="140"/>
        <v>74.592205621951635</v>
      </c>
    </row>
    <row r="90" spans="17:78" x14ac:dyDescent="0.4">
      <c r="Q90" s="49">
        <v>83</v>
      </c>
      <c r="R90" s="217">
        <f t="shared" si="93"/>
        <v>41.5</v>
      </c>
      <c r="S90" s="213">
        <f t="shared" si="94"/>
        <v>15</v>
      </c>
      <c r="T90" s="218">
        <f t="shared" si="95"/>
        <v>2.7666666666666666</v>
      </c>
      <c r="U90" s="217">
        <f t="shared" si="96"/>
        <v>2</v>
      </c>
      <c r="V90" s="213">
        <f t="shared" si="97"/>
        <v>0.92592592592592593</v>
      </c>
      <c r="W90" s="213">
        <f t="shared" si="98"/>
        <v>7.407407407407407E-2</v>
      </c>
      <c r="X90" s="213">
        <f t="shared" si="116"/>
        <v>0</v>
      </c>
      <c r="Y90" s="217">
        <f t="shared" si="117"/>
        <v>2.988</v>
      </c>
      <c r="Z90" s="213">
        <f t="shared" si="99"/>
        <v>3.0864197530864197</v>
      </c>
      <c r="AA90" s="213">
        <f t="shared" si="118"/>
        <v>4.5312098765432101</v>
      </c>
      <c r="AB90" s="218">
        <f t="shared" si="100"/>
        <v>3.0003049599659786</v>
      </c>
      <c r="AC90" s="217">
        <v>0</v>
      </c>
      <c r="AD90" s="213">
        <f t="shared" si="101"/>
        <v>10.352104330715923</v>
      </c>
      <c r="AE90" s="218">
        <f t="shared" si="119"/>
        <v>10.352104330715923</v>
      </c>
      <c r="AF90" s="58">
        <f t="shared" si="102"/>
        <v>0.83000000000000007</v>
      </c>
      <c r="AG90" s="61">
        <f t="shared" si="103"/>
        <v>0.83000000000000007</v>
      </c>
      <c r="AH90" s="58">
        <f t="shared" si="104"/>
        <v>2.1154300154071666</v>
      </c>
      <c r="AI90" s="49">
        <f t="shared" si="105"/>
        <v>3.8031660400800311E-2</v>
      </c>
      <c r="AJ90" s="61">
        <f t="shared" si="120"/>
        <v>2.153461675807967</v>
      </c>
      <c r="AK90" s="217">
        <f t="shared" si="106"/>
        <v>41.5</v>
      </c>
      <c r="AL90" s="213">
        <f t="shared" si="107"/>
        <v>1500</v>
      </c>
      <c r="AM90" s="218">
        <f t="shared" si="121"/>
        <v>2.7666666666666666E-2</v>
      </c>
      <c r="AN90" s="217">
        <f t="shared" si="122"/>
        <v>2</v>
      </c>
      <c r="AO90" s="213">
        <f t="shared" si="123"/>
        <v>7.407407407407407E-2</v>
      </c>
      <c r="AP90" s="213">
        <f t="shared" si="124"/>
        <v>0.3735</v>
      </c>
      <c r="AQ90" s="213">
        <f t="shared" si="125"/>
        <v>0.38580246913580241</v>
      </c>
      <c r="AR90" s="213">
        <f t="shared" si="141"/>
        <v>0.56640123456790126</v>
      </c>
      <c r="AS90" s="218">
        <f t="shared" si="142"/>
        <v>0.10607679914097884</v>
      </c>
      <c r="AT90" s="217"/>
      <c r="AU90" s="213">
        <f t="shared" si="126"/>
        <v>2.0666999999999998E-2</v>
      </c>
      <c r="AV90" s="218">
        <f t="shared" si="143"/>
        <v>2.0666999999999998E-2</v>
      </c>
      <c r="AW90" s="217">
        <f t="shared" si="127"/>
        <v>0</v>
      </c>
      <c r="AX90" s="213">
        <f t="shared" si="128"/>
        <v>3.181666666666666E-2</v>
      </c>
      <c r="AY90" s="218">
        <f t="shared" si="144"/>
        <v>3.181666666666666E-2</v>
      </c>
      <c r="AZ90" s="217">
        <f t="shared" si="108"/>
        <v>0</v>
      </c>
      <c r="BA90" s="213">
        <f t="shared" si="109"/>
        <v>0</v>
      </c>
      <c r="BB90" s="213">
        <f t="shared" si="145"/>
        <v>0</v>
      </c>
      <c r="BC90" s="61">
        <f t="shared" si="129"/>
        <v>0</v>
      </c>
      <c r="BD90" s="58">
        <v>0</v>
      </c>
      <c r="BE90" s="49">
        <f t="shared" si="130"/>
        <v>0</v>
      </c>
      <c r="BF90" s="61">
        <f t="shared" si="146"/>
        <v>0</v>
      </c>
      <c r="BG90" s="58">
        <f t="shared" si="131"/>
        <v>0</v>
      </c>
      <c r="BH90" s="49">
        <f t="shared" si="132"/>
        <v>0</v>
      </c>
      <c r="BI90" s="61">
        <f t="shared" si="133"/>
        <v>0</v>
      </c>
      <c r="BK90" s="217">
        <f t="shared" si="110"/>
        <v>0</v>
      </c>
      <c r="BL90" s="213">
        <f t="shared" si="111"/>
        <v>0</v>
      </c>
      <c r="BM90" s="213">
        <f t="shared" si="112"/>
        <v>0</v>
      </c>
      <c r="BN90" s="61">
        <f t="shared" si="149"/>
        <v>0</v>
      </c>
      <c r="BO90" s="58">
        <v>0</v>
      </c>
      <c r="BP90" s="49">
        <f t="shared" si="135"/>
        <v>0</v>
      </c>
      <c r="BQ90" s="61">
        <f t="shared" si="147"/>
        <v>0</v>
      </c>
      <c r="BR90" s="58">
        <f t="shared" si="136"/>
        <v>0</v>
      </c>
      <c r="BS90" s="49">
        <f t="shared" si="137"/>
        <v>0</v>
      </c>
      <c r="BT90" s="61">
        <f t="shared" si="148"/>
        <v>0</v>
      </c>
      <c r="BU90" s="58">
        <f t="shared" si="113"/>
        <v>3.6007319411185811E-2</v>
      </c>
      <c r="BV90" s="49">
        <f t="shared" si="114"/>
        <v>1.0800000000000002E-3</v>
      </c>
      <c r="BW90" s="61">
        <f t="shared" si="115"/>
        <v>6.7499999999999999E-3</v>
      </c>
      <c r="BX90" s="49">
        <f t="shared" si="138"/>
        <v>11.182104330715923</v>
      </c>
      <c r="BY90" s="49">
        <f t="shared" si="139"/>
        <v>14.261886992601744</v>
      </c>
      <c r="BZ90" s="49">
        <f t="shared" si="140"/>
        <v>74.423593314742106</v>
      </c>
    </row>
    <row r="91" spans="17:78" x14ac:dyDescent="0.4">
      <c r="Q91" s="49">
        <v>84</v>
      </c>
      <c r="R91" s="217">
        <f t="shared" si="93"/>
        <v>42</v>
      </c>
      <c r="S91" s="213">
        <f t="shared" si="94"/>
        <v>15</v>
      </c>
      <c r="T91" s="218">
        <f t="shared" si="95"/>
        <v>2.8</v>
      </c>
      <c r="U91" s="217">
        <f t="shared" si="96"/>
        <v>2</v>
      </c>
      <c r="V91" s="213">
        <f t="shared" si="97"/>
        <v>0.92592592592592593</v>
      </c>
      <c r="W91" s="213">
        <f t="shared" si="98"/>
        <v>7.407407407407407E-2</v>
      </c>
      <c r="X91" s="213">
        <f t="shared" si="116"/>
        <v>0</v>
      </c>
      <c r="Y91" s="217">
        <f t="shared" si="117"/>
        <v>3.024</v>
      </c>
      <c r="Z91" s="213">
        <f t="shared" si="99"/>
        <v>3.0864197530864197</v>
      </c>
      <c r="AA91" s="213">
        <f t="shared" si="118"/>
        <v>4.5672098765432096</v>
      </c>
      <c r="AB91" s="218">
        <f t="shared" si="100"/>
        <v>3.0335177356983514</v>
      </c>
      <c r="AC91" s="217">
        <v>0</v>
      </c>
      <c r="AD91" s="213">
        <f t="shared" si="101"/>
        <v>10.582564330715922</v>
      </c>
      <c r="AE91" s="218">
        <f t="shared" si="119"/>
        <v>10.582564330715922</v>
      </c>
      <c r="AF91" s="58">
        <f t="shared" si="102"/>
        <v>0.84</v>
      </c>
      <c r="AG91" s="61">
        <f t="shared" si="103"/>
        <v>0.84</v>
      </c>
      <c r="AH91" s="58">
        <f t="shared" si="104"/>
        <v>2.1625240154071665</v>
      </c>
      <c r="AI91" s="49">
        <f t="shared" si="105"/>
        <v>3.8489873176713561E-2</v>
      </c>
      <c r="AJ91" s="61">
        <f t="shared" si="120"/>
        <v>2.2010138885838799</v>
      </c>
      <c r="AK91" s="217">
        <f t="shared" si="106"/>
        <v>42</v>
      </c>
      <c r="AL91" s="213">
        <f t="shared" si="107"/>
        <v>1500</v>
      </c>
      <c r="AM91" s="218">
        <f t="shared" si="121"/>
        <v>2.8000000000000001E-2</v>
      </c>
      <c r="AN91" s="217">
        <f t="shared" si="122"/>
        <v>2</v>
      </c>
      <c r="AO91" s="213">
        <f t="shared" si="123"/>
        <v>7.407407407407407E-2</v>
      </c>
      <c r="AP91" s="213">
        <f t="shared" si="124"/>
        <v>0.378</v>
      </c>
      <c r="AQ91" s="213">
        <f t="shared" si="125"/>
        <v>0.38580246913580241</v>
      </c>
      <c r="AR91" s="213">
        <f t="shared" si="141"/>
        <v>0.57090123456790121</v>
      </c>
      <c r="AS91" s="218">
        <f t="shared" si="142"/>
        <v>0.10725104808809827</v>
      </c>
      <c r="AT91" s="217"/>
      <c r="AU91" s="213">
        <f t="shared" si="126"/>
        <v>2.1168000000000003E-2</v>
      </c>
      <c r="AV91" s="218">
        <f t="shared" si="143"/>
        <v>2.1168000000000003E-2</v>
      </c>
      <c r="AW91" s="217">
        <f t="shared" si="127"/>
        <v>0</v>
      </c>
      <c r="AX91" s="213">
        <f t="shared" si="128"/>
        <v>3.2199999999999999E-2</v>
      </c>
      <c r="AY91" s="218">
        <f t="shared" si="144"/>
        <v>3.2199999999999999E-2</v>
      </c>
      <c r="AZ91" s="217">
        <f t="shared" si="108"/>
        <v>0</v>
      </c>
      <c r="BA91" s="213">
        <f t="shared" si="109"/>
        <v>0</v>
      </c>
      <c r="BB91" s="213">
        <f t="shared" si="145"/>
        <v>0</v>
      </c>
      <c r="BC91" s="61">
        <f t="shared" si="129"/>
        <v>0</v>
      </c>
      <c r="BD91" s="58">
        <v>0</v>
      </c>
      <c r="BE91" s="49">
        <f t="shared" si="130"/>
        <v>0</v>
      </c>
      <c r="BF91" s="61">
        <f t="shared" si="146"/>
        <v>0</v>
      </c>
      <c r="BG91" s="58">
        <f t="shared" si="131"/>
        <v>0</v>
      </c>
      <c r="BH91" s="49">
        <f t="shared" si="132"/>
        <v>0</v>
      </c>
      <c r="BI91" s="61">
        <f t="shared" si="133"/>
        <v>0</v>
      </c>
      <c r="BK91" s="217">
        <f t="shared" si="110"/>
        <v>0</v>
      </c>
      <c r="BL91" s="213">
        <f t="shared" si="111"/>
        <v>0</v>
      </c>
      <c r="BM91" s="213">
        <f t="shared" si="112"/>
        <v>0</v>
      </c>
      <c r="BN91" s="61">
        <f t="shared" si="149"/>
        <v>0</v>
      </c>
      <c r="BO91" s="58">
        <v>0</v>
      </c>
      <c r="BP91" s="49">
        <f t="shared" si="135"/>
        <v>0</v>
      </c>
      <c r="BQ91" s="61">
        <f t="shared" si="147"/>
        <v>0</v>
      </c>
      <c r="BR91" s="58">
        <f t="shared" si="136"/>
        <v>0</v>
      </c>
      <c r="BS91" s="49">
        <f t="shared" si="137"/>
        <v>0</v>
      </c>
      <c r="BT91" s="61">
        <f t="shared" si="148"/>
        <v>0</v>
      </c>
      <c r="BU91" s="58">
        <f t="shared" si="113"/>
        <v>3.680891941118581E-2</v>
      </c>
      <c r="BV91" s="49">
        <f t="shared" si="114"/>
        <v>1.0800000000000002E-3</v>
      </c>
      <c r="BW91" s="61">
        <f t="shared" si="115"/>
        <v>6.7499999999999999E-3</v>
      </c>
      <c r="BX91" s="49">
        <f t="shared" si="138"/>
        <v>11.422564330715922</v>
      </c>
      <c r="BY91" s="49">
        <f t="shared" si="139"/>
        <v>14.561585138710987</v>
      </c>
      <c r="BZ91" s="49">
        <f t="shared" si="140"/>
        <v>74.255344677840412</v>
      </c>
    </row>
    <row r="92" spans="17:78" x14ac:dyDescent="0.4">
      <c r="Q92" s="49">
        <v>85</v>
      </c>
      <c r="R92" s="217">
        <f t="shared" si="93"/>
        <v>42.5</v>
      </c>
      <c r="S92" s="213">
        <f t="shared" si="94"/>
        <v>15</v>
      </c>
      <c r="T92" s="218">
        <f t="shared" si="95"/>
        <v>2.8333333333333335</v>
      </c>
      <c r="U92" s="217">
        <f t="shared" si="96"/>
        <v>2</v>
      </c>
      <c r="V92" s="213">
        <f t="shared" si="97"/>
        <v>0.92592592592592593</v>
      </c>
      <c r="W92" s="213">
        <f t="shared" si="98"/>
        <v>7.407407407407407E-2</v>
      </c>
      <c r="X92" s="213">
        <f t="shared" si="116"/>
        <v>0</v>
      </c>
      <c r="Y92" s="217">
        <f t="shared" si="117"/>
        <v>3.06</v>
      </c>
      <c r="Z92" s="213">
        <f t="shared" si="99"/>
        <v>3.0864197530864197</v>
      </c>
      <c r="AA92" s="213">
        <f t="shared" si="118"/>
        <v>4.6032098765432101</v>
      </c>
      <c r="AB92" s="218">
        <f t="shared" si="100"/>
        <v>3.0667621121952795</v>
      </c>
      <c r="AC92" s="217">
        <v>0</v>
      </c>
      <c r="AD92" s="213">
        <f t="shared" si="101"/>
        <v>10.815784330715923</v>
      </c>
      <c r="AE92" s="218">
        <f t="shared" si="119"/>
        <v>10.815784330715923</v>
      </c>
      <c r="AF92" s="58">
        <f t="shared" si="102"/>
        <v>0.85</v>
      </c>
      <c r="AG92" s="61">
        <f t="shared" si="103"/>
        <v>0.85</v>
      </c>
      <c r="AH92" s="58">
        <f t="shared" si="104"/>
        <v>2.2101820154071667</v>
      </c>
      <c r="AI92" s="49">
        <f t="shared" si="105"/>
        <v>3.8948085952626818E-2</v>
      </c>
      <c r="AJ92" s="61">
        <f t="shared" si="120"/>
        <v>2.2491301013597935</v>
      </c>
      <c r="AK92" s="217">
        <f t="shared" si="106"/>
        <v>42.5</v>
      </c>
      <c r="AL92" s="213">
        <f t="shared" si="107"/>
        <v>1500</v>
      </c>
      <c r="AM92" s="218">
        <f t="shared" si="121"/>
        <v>2.8333333333333332E-2</v>
      </c>
      <c r="AN92" s="217">
        <f t="shared" si="122"/>
        <v>2</v>
      </c>
      <c r="AO92" s="213">
        <f t="shared" si="123"/>
        <v>7.407407407407407E-2</v>
      </c>
      <c r="AP92" s="213">
        <f t="shared" si="124"/>
        <v>0.38250000000000001</v>
      </c>
      <c r="AQ92" s="213">
        <f t="shared" si="125"/>
        <v>0.38580246913580241</v>
      </c>
      <c r="AR92" s="213">
        <f t="shared" si="141"/>
        <v>0.57540123456790115</v>
      </c>
      <c r="AS92" s="218">
        <f t="shared" si="142"/>
        <v>0.10842641429096309</v>
      </c>
      <c r="AT92" s="217"/>
      <c r="AU92" s="213">
        <f t="shared" si="126"/>
        <v>2.1674999999999996E-2</v>
      </c>
      <c r="AV92" s="218">
        <f t="shared" si="143"/>
        <v>2.1674999999999996E-2</v>
      </c>
      <c r="AW92" s="217">
        <f t="shared" si="127"/>
        <v>0</v>
      </c>
      <c r="AX92" s="213">
        <f t="shared" si="128"/>
        <v>3.2583333333333332E-2</v>
      </c>
      <c r="AY92" s="218">
        <f t="shared" si="144"/>
        <v>3.2583333333333332E-2</v>
      </c>
      <c r="AZ92" s="217">
        <f t="shared" si="108"/>
        <v>0</v>
      </c>
      <c r="BA92" s="213">
        <f t="shared" si="109"/>
        <v>0</v>
      </c>
      <c r="BB92" s="213">
        <f t="shared" si="145"/>
        <v>0</v>
      </c>
      <c r="BC92" s="61">
        <f t="shared" si="129"/>
        <v>0</v>
      </c>
      <c r="BD92" s="58">
        <v>0</v>
      </c>
      <c r="BE92" s="49">
        <f t="shared" si="130"/>
        <v>0</v>
      </c>
      <c r="BF92" s="61">
        <f t="shared" si="146"/>
        <v>0</v>
      </c>
      <c r="BG92" s="58">
        <f t="shared" si="131"/>
        <v>0</v>
      </c>
      <c r="BH92" s="49">
        <f t="shared" si="132"/>
        <v>0</v>
      </c>
      <c r="BI92" s="61">
        <f t="shared" si="133"/>
        <v>0</v>
      </c>
      <c r="BK92" s="217">
        <f t="shared" si="110"/>
        <v>0</v>
      </c>
      <c r="BL92" s="213">
        <f t="shared" si="111"/>
        <v>0</v>
      </c>
      <c r="BM92" s="213">
        <f t="shared" si="112"/>
        <v>0</v>
      </c>
      <c r="BN92" s="61">
        <f t="shared" si="149"/>
        <v>0</v>
      </c>
      <c r="BO92" s="58">
        <v>0</v>
      </c>
      <c r="BP92" s="49">
        <f t="shared" si="135"/>
        <v>0</v>
      </c>
      <c r="BQ92" s="61">
        <f t="shared" si="147"/>
        <v>0</v>
      </c>
      <c r="BR92" s="58">
        <f t="shared" si="136"/>
        <v>0</v>
      </c>
      <c r="BS92" s="49">
        <f t="shared" si="137"/>
        <v>0</v>
      </c>
      <c r="BT92" s="61">
        <f t="shared" si="148"/>
        <v>0</v>
      </c>
      <c r="BU92" s="58">
        <f t="shared" si="113"/>
        <v>3.7620119411185815E-2</v>
      </c>
      <c r="BV92" s="49">
        <f t="shared" si="114"/>
        <v>1.0800000000000002E-3</v>
      </c>
      <c r="BW92" s="61">
        <f t="shared" si="115"/>
        <v>6.7499999999999999E-3</v>
      </c>
      <c r="BX92" s="49">
        <f t="shared" si="138"/>
        <v>11.665784330715923</v>
      </c>
      <c r="BY92" s="49">
        <f t="shared" si="139"/>
        <v>14.864622884820236</v>
      </c>
      <c r="BZ92" s="49">
        <f t="shared" si="140"/>
        <v>74.087473886708494</v>
      </c>
    </row>
    <row r="93" spans="17:78" x14ac:dyDescent="0.4">
      <c r="Q93" s="49">
        <v>86</v>
      </c>
      <c r="R93" s="217">
        <f t="shared" si="93"/>
        <v>43</v>
      </c>
      <c r="S93" s="213">
        <f t="shared" si="94"/>
        <v>15</v>
      </c>
      <c r="T93" s="218">
        <f t="shared" si="95"/>
        <v>2.8666666666666667</v>
      </c>
      <c r="U93" s="217">
        <f t="shared" si="96"/>
        <v>2</v>
      </c>
      <c r="V93" s="213">
        <f t="shared" si="97"/>
        <v>0.92592592592592593</v>
      </c>
      <c r="W93" s="213">
        <f t="shared" si="98"/>
        <v>7.407407407407407E-2</v>
      </c>
      <c r="X93" s="213">
        <f t="shared" si="116"/>
        <v>0</v>
      </c>
      <c r="Y93" s="217">
        <f t="shared" si="117"/>
        <v>3.0960000000000001</v>
      </c>
      <c r="Z93" s="213">
        <f t="shared" si="99"/>
        <v>3.0864197530864197</v>
      </c>
      <c r="AA93" s="213">
        <f t="shared" si="118"/>
        <v>4.6392098765432097</v>
      </c>
      <c r="AB93" s="218">
        <f t="shared" si="100"/>
        <v>3.10003707281001</v>
      </c>
      <c r="AC93" s="217">
        <v>0</v>
      </c>
      <c r="AD93" s="213">
        <f t="shared" si="101"/>
        <v>11.051764330715924</v>
      </c>
      <c r="AE93" s="218">
        <f t="shared" si="119"/>
        <v>11.051764330715924</v>
      </c>
      <c r="AF93" s="58">
        <f t="shared" si="102"/>
        <v>0.86</v>
      </c>
      <c r="AG93" s="61">
        <f t="shared" si="103"/>
        <v>0.86</v>
      </c>
      <c r="AH93" s="58">
        <f t="shared" si="104"/>
        <v>2.2584040154071667</v>
      </c>
      <c r="AI93" s="49">
        <f t="shared" si="105"/>
        <v>3.9406298728540082E-2</v>
      </c>
      <c r="AJ93" s="61">
        <f t="shared" si="120"/>
        <v>2.2978103141357069</v>
      </c>
      <c r="AK93" s="217">
        <f t="shared" si="106"/>
        <v>43</v>
      </c>
      <c r="AL93" s="213">
        <f t="shared" si="107"/>
        <v>1500</v>
      </c>
      <c r="AM93" s="218">
        <f t="shared" si="121"/>
        <v>2.8666666666666667E-2</v>
      </c>
      <c r="AN93" s="217">
        <f t="shared" si="122"/>
        <v>2</v>
      </c>
      <c r="AO93" s="213">
        <f t="shared" si="123"/>
        <v>7.4074074074074056E-2</v>
      </c>
      <c r="AP93" s="213">
        <f t="shared" si="124"/>
        <v>0.38700000000000007</v>
      </c>
      <c r="AQ93" s="213">
        <f t="shared" si="125"/>
        <v>0.38580246913580241</v>
      </c>
      <c r="AR93" s="213">
        <f t="shared" si="141"/>
        <v>0.57990123456790132</v>
      </c>
      <c r="AS93" s="218">
        <f t="shared" si="142"/>
        <v>0.10960286180568266</v>
      </c>
      <c r="AT93" s="217"/>
      <c r="AU93" s="213">
        <f t="shared" si="126"/>
        <v>2.2188000000000003E-2</v>
      </c>
      <c r="AV93" s="218">
        <f t="shared" si="143"/>
        <v>2.2188000000000003E-2</v>
      </c>
      <c r="AW93" s="217">
        <f t="shared" si="127"/>
        <v>0</v>
      </c>
      <c r="AX93" s="213">
        <f t="shared" si="128"/>
        <v>3.2966666666666665E-2</v>
      </c>
      <c r="AY93" s="218">
        <f t="shared" si="144"/>
        <v>3.2966666666666665E-2</v>
      </c>
      <c r="AZ93" s="217">
        <f t="shared" si="108"/>
        <v>0</v>
      </c>
      <c r="BA93" s="213">
        <f t="shared" si="109"/>
        <v>0</v>
      </c>
      <c r="BB93" s="213">
        <f t="shared" si="145"/>
        <v>0</v>
      </c>
      <c r="BC93" s="61">
        <f t="shared" si="129"/>
        <v>0</v>
      </c>
      <c r="BD93" s="58">
        <v>0</v>
      </c>
      <c r="BE93" s="49">
        <f t="shared" si="130"/>
        <v>0</v>
      </c>
      <c r="BF93" s="61">
        <f t="shared" si="146"/>
        <v>0</v>
      </c>
      <c r="BG93" s="58">
        <f t="shared" si="131"/>
        <v>0</v>
      </c>
      <c r="BH93" s="49">
        <f t="shared" si="132"/>
        <v>0</v>
      </c>
      <c r="BI93" s="61">
        <f t="shared" si="133"/>
        <v>0</v>
      </c>
      <c r="BK93" s="217">
        <f t="shared" si="110"/>
        <v>0</v>
      </c>
      <c r="BL93" s="213">
        <f t="shared" si="111"/>
        <v>0</v>
      </c>
      <c r="BM93" s="213">
        <f t="shared" si="112"/>
        <v>0</v>
      </c>
      <c r="BN93" s="61">
        <f t="shared" si="149"/>
        <v>0</v>
      </c>
      <c r="BO93" s="58">
        <v>0</v>
      </c>
      <c r="BP93" s="49">
        <f t="shared" si="135"/>
        <v>0</v>
      </c>
      <c r="BQ93" s="61">
        <f t="shared" si="147"/>
        <v>0</v>
      </c>
      <c r="BR93" s="58">
        <f t="shared" si="136"/>
        <v>0</v>
      </c>
      <c r="BS93" s="49">
        <f t="shared" si="137"/>
        <v>0</v>
      </c>
      <c r="BT93" s="61">
        <f t="shared" si="148"/>
        <v>0</v>
      </c>
      <c r="BU93" s="58">
        <f t="shared" si="113"/>
        <v>3.8440919411185819E-2</v>
      </c>
      <c r="BV93" s="49">
        <f t="shared" si="114"/>
        <v>1.0800000000000002E-3</v>
      </c>
      <c r="BW93" s="61">
        <f t="shared" si="115"/>
        <v>6.7499999999999999E-3</v>
      </c>
      <c r="BX93" s="49">
        <f t="shared" si="138"/>
        <v>11.911764330715924</v>
      </c>
      <c r="BY93" s="49">
        <f t="shared" si="139"/>
        <v>15.171000230929483</v>
      </c>
      <c r="BZ93" s="49">
        <f t="shared" si="140"/>
        <v>73.919994205526706</v>
      </c>
    </row>
    <row r="94" spans="17:78" x14ac:dyDescent="0.4">
      <c r="Q94" s="49">
        <v>87</v>
      </c>
      <c r="R94" s="217">
        <f t="shared" si="93"/>
        <v>43.5</v>
      </c>
      <c r="S94" s="213">
        <f t="shared" si="94"/>
        <v>15</v>
      </c>
      <c r="T94" s="218">
        <f t="shared" si="95"/>
        <v>2.9</v>
      </c>
      <c r="U94" s="217">
        <f t="shared" si="96"/>
        <v>2</v>
      </c>
      <c r="V94" s="213">
        <f t="shared" si="97"/>
        <v>0.92592592592592593</v>
      </c>
      <c r="W94" s="213">
        <f t="shared" si="98"/>
        <v>7.407407407407407E-2</v>
      </c>
      <c r="X94" s="213">
        <f t="shared" si="116"/>
        <v>0</v>
      </c>
      <c r="Y94" s="217">
        <f t="shared" si="117"/>
        <v>3.1320000000000001</v>
      </c>
      <c r="Z94" s="213">
        <f t="shared" si="99"/>
        <v>3.0864197530864197</v>
      </c>
      <c r="AA94" s="213">
        <f t="shared" si="118"/>
        <v>4.6752098765432102</v>
      </c>
      <c r="AB94" s="218">
        <f t="shared" si="100"/>
        <v>3.1333416431657204</v>
      </c>
      <c r="AC94" s="217">
        <v>0</v>
      </c>
      <c r="AD94" s="213">
        <f t="shared" si="101"/>
        <v>11.290504330715928</v>
      </c>
      <c r="AE94" s="218">
        <f t="shared" si="119"/>
        <v>11.290504330715928</v>
      </c>
      <c r="AF94" s="58">
        <f t="shared" si="102"/>
        <v>0.87</v>
      </c>
      <c r="AG94" s="61">
        <f t="shared" si="103"/>
        <v>0.87</v>
      </c>
      <c r="AH94" s="58">
        <f t="shared" si="104"/>
        <v>2.3071900154071674</v>
      </c>
      <c r="AI94" s="49">
        <f t="shared" si="105"/>
        <v>3.9864511504453332E-2</v>
      </c>
      <c r="AJ94" s="61">
        <f t="shared" si="120"/>
        <v>2.3470545269116205</v>
      </c>
      <c r="AK94" s="217">
        <f t="shared" si="106"/>
        <v>43.5</v>
      </c>
      <c r="AL94" s="213">
        <f t="shared" si="107"/>
        <v>1500</v>
      </c>
      <c r="AM94" s="218">
        <f t="shared" si="121"/>
        <v>2.9000000000000001E-2</v>
      </c>
      <c r="AN94" s="217">
        <f t="shared" si="122"/>
        <v>2</v>
      </c>
      <c r="AO94" s="213">
        <f t="shared" si="123"/>
        <v>7.407407407407407E-2</v>
      </c>
      <c r="AP94" s="213">
        <f t="shared" si="124"/>
        <v>0.39150000000000007</v>
      </c>
      <c r="AQ94" s="213">
        <f t="shared" si="125"/>
        <v>0.38580246913580241</v>
      </c>
      <c r="AR94" s="213">
        <f t="shared" si="141"/>
        <v>0.58440123456790127</v>
      </c>
      <c r="AS94" s="218">
        <f t="shared" si="142"/>
        <v>0.11078035618283401</v>
      </c>
      <c r="AT94" s="217"/>
      <c r="AU94" s="213">
        <f t="shared" si="126"/>
        <v>2.2707000000000001E-2</v>
      </c>
      <c r="AV94" s="218">
        <f t="shared" si="143"/>
        <v>2.2707000000000001E-2</v>
      </c>
      <c r="AW94" s="217">
        <f t="shared" si="127"/>
        <v>0</v>
      </c>
      <c r="AX94" s="213">
        <f t="shared" si="128"/>
        <v>3.3349999999999998E-2</v>
      </c>
      <c r="AY94" s="218">
        <f t="shared" si="144"/>
        <v>3.3349999999999998E-2</v>
      </c>
      <c r="AZ94" s="217">
        <f t="shared" si="108"/>
        <v>0</v>
      </c>
      <c r="BA94" s="213">
        <f t="shared" si="109"/>
        <v>0</v>
      </c>
      <c r="BB94" s="213">
        <f t="shared" si="145"/>
        <v>0</v>
      </c>
      <c r="BC94" s="61">
        <f t="shared" si="129"/>
        <v>0</v>
      </c>
      <c r="BD94" s="58">
        <v>0</v>
      </c>
      <c r="BE94" s="49">
        <f t="shared" si="130"/>
        <v>0</v>
      </c>
      <c r="BF94" s="61">
        <f t="shared" si="146"/>
        <v>0</v>
      </c>
      <c r="BG94" s="58">
        <f t="shared" si="131"/>
        <v>0</v>
      </c>
      <c r="BH94" s="49">
        <f t="shared" si="132"/>
        <v>0</v>
      </c>
      <c r="BI94" s="61">
        <f t="shared" si="133"/>
        <v>0</v>
      </c>
      <c r="BK94" s="217">
        <f t="shared" si="110"/>
        <v>0</v>
      </c>
      <c r="BL94" s="213">
        <f t="shared" si="111"/>
        <v>0</v>
      </c>
      <c r="BM94" s="213">
        <f t="shared" si="112"/>
        <v>0</v>
      </c>
      <c r="BN94" s="61">
        <f t="shared" si="149"/>
        <v>0</v>
      </c>
      <c r="BO94" s="58">
        <v>0</v>
      </c>
      <c r="BP94" s="49">
        <f t="shared" si="135"/>
        <v>0</v>
      </c>
      <c r="BQ94" s="61">
        <f t="shared" si="147"/>
        <v>0</v>
      </c>
      <c r="BR94" s="58">
        <f t="shared" si="136"/>
        <v>0</v>
      </c>
      <c r="BS94" s="49">
        <f t="shared" si="137"/>
        <v>0</v>
      </c>
      <c r="BT94" s="61">
        <f t="shared" si="148"/>
        <v>0</v>
      </c>
      <c r="BU94" s="58">
        <f t="shared" si="113"/>
        <v>3.9271319411185827E-2</v>
      </c>
      <c r="BV94" s="49">
        <f t="shared" si="114"/>
        <v>1.0800000000000002E-3</v>
      </c>
      <c r="BW94" s="61">
        <f t="shared" si="115"/>
        <v>6.7499999999999999E-3</v>
      </c>
      <c r="BX94" s="49">
        <f t="shared" si="138"/>
        <v>12.160504330715927</v>
      </c>
      <c r="BY94" s="49">
        <f t="shared" si="139"/>
        <v>15.480717177038734</v>
      </c>
      <c r="BZ94" s="49">
        <f t="shared" si="140"/>
        <v>73.752918041719923</v>
      </c>
    </row>
    <row r="95" spans="17:78" x14ac:dyDescent="0.4">
      <c r="Q95" s="49">
        <v>88</v>
      </c>
      <c r="R95" s="217">
        <f t="shared" si="93"/>
        <v>44</v>
      </c>
      <c r="S95" s="213">
        <f t="shared" si="94"/>
        <v>15</v>
      </c>
      <c r="T95" s="218">
        <f t="shared" si="95"/>
        <v>2.9333333333333331</v>
      </c>
      <c r="U95" s="217">
        <f t="shared" si="96"/>
        <v>2</v>
      </c>
      <c r="V95" s="213">
        <f t="shared" si="97"/>
        <v>0.92592592592592593</v>
      </c>
      <c r="W95" s="213">
        <f t="shared" si="98"/>
        <v>7.407407407407407E-2</v>
      </c>
      <c r="X95" s="213">
        <f t="shared" si="116"/>
        <v>0</v>
      </c>
      <c r="Y95" s="217">
        <f t="shared" si="117"/>
        <v>3.1679999999999997</v>
      </c>
      <c r="Z95" s="213">
        <f t="shared" si="99"/>
        <v>3.0864197530864197</v>
      </c>
      <c r="AA95" s="213">
        <f t="shared" si="118"/>
        <v>4.7112098765432098</v>
      </c>
      <c r="AB95" s="218">
        <f t="shared" si="100"/>
        <v>3.1666748890273619</v>
      </c>
      <c r="AC95" s="217">
        <v>0</v>
      </c>
      <c r="AD95" s="213">
        <f t="shared" si="101"/>
        <v>11.532004330715925</v>
      </c>
      <c r="AE95" s="218">
        <f t="shared" si="119"/>
        <v>11.532004330715925</v>
      </c>
      <c r="AF95" s="58">
        <f t="shared" si="102"/>
        <v>0.88</v>
      </c>
      <c r="AG95" s="61">
        <f t="shared" si="103"/>
        <v>0.88</v>
      </c>
      <c r="AH95" s="58">
        <f t="shared" si="104"/>
        <v>2.356540015407167</v>
      </c>
      <c r="AI95" s="49">
        <f t="shared" si="105"/>
        <v>4.0322724280366588E-2</v>
      </c>
      <c r="AJ95" s="61">
        <f t="shared" si="120"/>
        <v>2.3968627396875335</v>
      </c>
      <c r="AK95" s="217">
        <f t="shared" si="106"/>
        <v>44</v>
      </c>
      <c r="AL95" s="213">
        <f t="shared" si="107"/>
        <v>1500</v>
      </c>
      <c r="AM95" s="218">
        <f t="shared" si="121"/>
        <v>2.9333333333333333E-2</v>
      </c>
      <c r="AN95" s="217">
        <f t="shared" si="122"/>
        <v>2</v>
      </c>
      <c r="AO95" s="213">
        <f t="shared" si="123"/>
        <v>7.4074074074074084E-2</v>
      </c>
      <c r="AP95" s="213">
        <f t="shared" si="124"/>
        <v>0.39599999999999996</v>
      </c>
      <c r="AQ95" s="213">
        <f t="shared" si="125"/>
        <v>0.38580246913580252</v>
      </c>
      <c r="AR95" s="213">
        <f t="shared" si="141"/>
        <v>0.58890123456790122</v>
      </c>
      <c r="AS95" s="218">
        <f t="shared" si="142"/>
        <v>0.11195886439222028</v>
      </c>
      <c r="AT95" s="217"/>
      <c r="AU95" s="213">
        <f t="shared" si="126"/>
        <v>2.3231999999999999E-2</v>
      </c>
      <c r="AV95" s="218">
        <f t="shared" si="143"/>
        <v>2.3231999999999999E-2</v>
      </c>
      <c r="AW95" s="217">
        <f t="shared" si="127"/>
        <v>0</v>
      </c>
      <c r="AX95" s="213">
        <f t="shared" si="128"/>
        <v>3.373333333333333E-2</v>
      </c>
      <c r="AY95" s="218">
        <f t="shared" si="144"/>
        <v>3.373333333333333E-2</v>
      </c>
      <c r="AZ95" s="217">
        <f t="shared" si="108"/>
        <v>0</v>
      </c>
      <c r="BA95" s="213">
        <f t="shared" si="109"/>
        <v>0</v>
      </c>
      <c r="BB95" s="213">
        <f t="shared" si="145"/>
        <v>0</v>
      </c>
      <c r="BC95" s="61">
        <f t="shared" si="129"/>
        <v>0</v>
      </c>
      <c r="BD95" s="58">
        <v>0</v>
      </c>
      <c r="BE95" s="49">
        <f t="shared" si="130"/>
        <v>0</v>
      </c>
      <c r="BF95" s="61">
        <f t="shared" si="146"/>
        <v>0</v>
      </c>
      <c r="BG95" s="58">
        <f t="shared" si="131"/>
        <v>0</v>
      </c>
      <c r="BH95" s="49">
        <f t="shared" si="132"/>
        <v>0</v>
      </c>
      <c r="BI95" s="61">
        <f t="shared" si="133"/>
        <v>0</v>
      </c>
      <c r="BK95" s="217">
        <f t="shared" si="110"/>
        <v>0</v>
      </c>
      <c r="BL95" s="213">
        <f t="shared" si="111"/>
        <v>0</v>
      </c>
      <c r="BM95" s="213">
        <f t="shared" si="112"/>
        <v>0</v>
      </c>
      <c r="BN95" s="61">
        <f t="shared" si="149"/>
        <v>0</v>
      </c>
      <c r="BO95" s="58">
        <v>0</v>
      </c>
      <c r="BP95" s="49">
        <f t="shared" si="135"/>
        <v>0</v>
      </c>
      <c r="BQ95" s="61">
        <f t="shared" si="147"/>
        <v>0</v>
      </c>
      <c r="BR95" s="58">
        <f t="shared" si="136"/>
        <v>0</v>
      </c>
      <c r="BS95" s="49">
        <f t="shared" si="137"/>
        <v>0</v>
      </c>
      <c r="BT95" s="61">
        <f t="shared" si="148"/>
        <v>0</v>
      </c>
      <c r="BU95" s="58">
        <f t="shared" si="113"/>
        <v>4.0111319411185821E-2</v>
      </c>
      <c r="BV95" s="49">
        <f t="shared" si="114"/>
        <v>1.0800000000000002E-3</v>
      </c>
      <c r="BW95" s="61">
        <f t="shared" si="115"/>
        <v>6.7499999999999999E-3</v>
      </c>
      <c r="BX95" s="49">
        <f t="shared" si="138"/>
        <v>12.412004330715925</v>
      </c>
      <c r="BY95" s="49">
        <f t="shared" si="139"/>
        <v>15.793773723147977</v>
      </c>
      <c r="BZ95" s="49">
        <f t="shared" si="140"/>
        <v>73.586256996798767</v>
      </c>
    </row>
    <row r="96" spans="17:78" x14ac:dyDescent="0.4">
      <c r="Q96" s="49">
        <v>89</v>
      </c>
      <c r="R96" s="217">
        <f t="shared" si="93"/>
        <v>44.5</v>
      </c>
      <c r="S96" s="213">
        <f t="shared" si="94"/>
        <v>15</v>
      </c>
      <c r="T96" s="218">
        <f t="shared" si="95"/>
        <v>2.9666666666666668</v>
      </c>
      <c r="U96" s="217">
        <f t="shared" si="96"/>
        <v>2</v>
      </c>
      <c r="V96" s="213">
        <f t="shared" si="97"/>
        <v>0.92592592592592593</v>
      </c>
      <c r="W96" s="213">
        <f t="shared" si="98"/>
        <v>7.407407407407407E-2</v>
      </c>
      <c r="X96" s="213">
        <f t="shared" si="116"/>
        <v>0</v>
      </c>
      <c r="Y96" s="217">
        <f t="shared" si="117"/>
        <v>3.2039999999999997</v>
      </c>
      <c r="Z96" s="213">
        <f t="shared" si="99"/>
        <v>3.0864197530864197</v>
      </c>
      <c r="AA96" s="213">
        <f t="shared" si="118"/>
        <v>4.7472098765432094</v>
      </c>
      <c r="AB96" s="218">
        <f t="shared" si="100"/>
        <v>3.2000359142979087</v>
      </c>
      <c r="AC96" s="217">
        <v>0</v>
      </c>
      <c r="AD96" s="213">
        <f t="shared" si="101"/>
        <v>11.77626433071592</v>
      </c>
      <c r="AE96" s="218">
        <f t="shared" si="119"/>
        <v>11.77626433071592</v>
      </c>
      <c r="AF96" s="58">
        <f t="shared" si="102"/>
        <v>0.89</v>
      </c>
      <c r="AG96" s="61">
        <f t="shared" si="103"/>
        <v>0.89</v>
      </c>
      <c r="AH96" s="58">
        <f t="shared" si="104"/>
        <v>2.4064540154071663</v>
      </c>
      <c r="AI96" s="49">
        <f t="shared" si="105"/>
        <v>4.0780937056279838E-2</v>
      </c>
      <c r="AJ96" s="61">
        <f t="shared" si="120"/>
        <v>2.4472349524634462</v>
      </c>
      <c r="AK96" s="217">
        <f t="shared" si="106"/>
        <v>44.5</v>
      </c>
      <c r="AL96" s="213">
        <f t="shared" si="107"/>
        <v>1500</v>
      </c>
      <c r="AM96" s="218">
        <f t="shared" si="121"/>
        <v>2.9666666666666668E-2</v>
      </c>
      <c r="AN96" s="217">
        <f t="shared" si="122"/>
        <v>2</v>
      </c>
      <c r="AO96" s="213">
        <f t="shared" si="123"/>
        <v>7.4074074074074098E-2</v>
      </c>
      <c r="AP96" s="213">
        <f t="shared" si="124"/>
        <v>0.40049999999999991</v>
      </c>
      <c r="AQ96" s="213">
        <f t="shared" si="125"/>
        <v>0.38580246913580257</v>
      </c>
      <c r="AR96" s="213">
        <f t="shared" si="141"/>
        <v>0.59340123456790117</v>
      </c>
      <c r="AS96" s="218">
        <f t="shared" si="142"/>
        <v>0.11313835475202723</v>
      </c>
      <c r="AT96" s="217"/>
      <c r="AU96" s="213">
        <f t="shared" si="126"/>
        <v>2.3762999999999999E-2</v>
      </c>
      <c r="AV96" s="218">
        <f t="shared" si="143"/>
        <v>2.3762999999999999E-2</v>
      </c>
      <c r="AW96" s="217">
        <f t="shared" si="127"/>
        <v>0</v>
      </c>
      <c r="AX96" s="213">
        <f t="shared" si="128"/>
        <v>3.4116666666666663E-2</v>
      </c>
      <c r="AY96" s="218">
        <f t="shared" si="144"/>
        <v>3.4116666666666663E-2</v>
      </c>
      <c r="AZ96" s="217">
        <f t="shared" si="108"/>
        <v>0</v>
      </c>
      <c r="BA96" s="213">
        <f t="shared" si="109"/>
        <v>0</v>
      </c>
      <c r="BB96" s="213">
        <f t="shared" si="145"/>
        <v>0</v>
      </c>
      <c r="BC96" s="61">
        <f t="shared" si="129"/>
        <v>0</v>
      </c>
      <c r="BD96" s="58">
        <v>0</v>
      </c>
      <c r="BE96" s="49">
        <f t="shared" si="130"/>
        <v>0</v>
      </c>
      <c r="BF96" s="61">
        <f t="shared" si="146"/>
        <v>0</v>
      </c>
      <c r="BG96" s="58">
        <f t="shared" si="131"/>
        <v>0</v>
      </c>
      <c r="BH96" s="49">
        <f t="shared" si="132"/>
        <v>0</v>
      </c>
      <c r="BI96" s="61">
        <f t="shared" si="133"/>
        <v>0</v>
      </c>
      <c r="BK96" s="217">
        <f t="shared" si="110"/>
        <v>0</v>
      </c>
      <c r="BL96" s="213">
        <f t="shared" si="111"/>
        <v>0</v>
      </c>
      <c r="BM96" s="213">
        <f t="shared" si="112"/>
        <v>0</v>
      </c>
      <c r="BN96" s="61">
        <f t="shared" si="149"/>
        <v>0</v>
      </c>
      <c r="BO96" s="58">
        <v>0</v>
      </c>
      <c r="BP96" s="49">
        <f t="shared" si="135"/>
        <v>0</v>
      </c>
      <c r="BQ96" s="61">
        <f t="shared" si="147"/>
        <v>0</v>
      </c>
      <c r="BR96" s="58">
        <f t="shared" si="136"/>
        <v>0</v>
      </c>
      <c r="BS96" s="49">
        <f t="shared" si="137"/>
        <v>0</v>
      </c>
      <c r="BT96" s="61">
        <f t="shared" si="148"/>
        <v>0</v>
      </c>
      <c r="BU96" s="58">
        <f t="shared" si="113"/>
        <v>4.0960919411185806E-2</v>
      </c>
      <c r="BV96" s="49">
        <f t="shared" si="114"/>
        <v>1.0800000000000002E-3</v>
      </c>
      <c r="BW96" s="61">
        <f t="shared" si="115"/>
        <v>6.7499999999999999E-3</v>
      </c>
      <c r="BX96" s="49">
        <f t="shared" si="138"/>
        <v>12.66626433071592</v>
      </c>
      <c r="BY96" s="49">
        <f t="shared" si="139"/>
        <v>16.11016986925722</v>
      </c>
      <c r="BZ96" s="49">
        <f t="shared" si="140"/>
        <v>73.4200219137999</v>
      </c>
    </row>
    <row r="97" spans="17:78" x14ac:dyDescent="0.4">
      <c r="Q97" s="49">
        <v>90</v>
      </c>
      <c r="R97" s="217">
        <f t="shared" si="93"/>
        <v>45</v>
      </c>
      <c r="S97" s="213">
        <f t="shared" si="94"/>
        <v>15</v>
      </c>
      <c r="T97" s="218">
        <f t="shared" si="95"/>
        <v>3</v>
      </c>
      <c r="U97" s="217">
        <f t="shared" si="96"/>
        <v>2</v>
      </c>
      <c r="V97" s="213">
        <f t="shared" si="97"/>
        <v>0.92592592592592593</v>
      </c>
      <c r="W97" s="213">
        <f t="shared" si="98"/>
        <v>7.407407407407407E-2</v>
      </c>
      <c r="X97" s="213">
        <f t="shared" si="116"/>
        <v>0</v>
      </c>
      <c r="Y97" s="217">
        <f t="shared" si="117"/>
        <v>3.2399999999999998</v>
      </c>
      <c r="Z97" s="213">
        <f t="shared" si="99"/>
        <v>3.0864197530864197</v>
      </c>
      <c r="AA97" s="213">
        <f t="shared" si="118"/>
        <v>4.7832098765432098</v>
      </c>
      <c r="AB97" s="218">
        <f t="shared" si="100"/>
        <v>3.2334238591308218</v>
      </c>
      <c r="AC97" s="217">
        <v>0</v>
      </c>
      <c r="AD97" s="213">
        <f t="shared" si="101"/>
        <v>12.023284330715924</v>
      </c>
      <c r="AE97" s="218">
        <f t="shared" si="119"/>
        <v>12.023284330715924</v>
      </c>
      <c r="AF97" s="58">
        <f t="shared" si="102"/>
        <v>0.9</v>
      </c>
      <c r="AG97" s="61">
        <f t="shared" si="103"/>
        <v>0.9</v>
      </c>
      <c r="AH97" s="58">
        <f t="shared" si="104"/>
        <v>2.4569320154071672</v>
      </c>
      <c r="AI97" s="49">
        <f t="shared" si="105"/>
        <v>4.1239149832193095E-2</v>
      </c>
      <c r="AJ97" s="61">
        <f t="shared" si="120"/>
        <v>2.4981711652393601</v>
      </c>
      <c r="AK97" s="217">
        <f t="shared" si="106"/>
        <v>45</v>
      </c>
      <c r="AL97" s="213">
        <f t="shared" si="107"/>
        <v>1500</v>
      </c>
      <c r="AM97" s="218">
        <f t="shared" si="121"/>
        <v>0.03</v>
      </c>
      <c r="AN97" s="217">
        <f t="shared" si="122"/>
        <v>2</v>
      </c>
      <c r="AO97" s="213">
        <f t="shared" si="123"/>
        <v>7.407407407407407E-2</v>
      </c>
      <c r="AP97" s="213">
        <f t="shared" si="124"/>
        <v>0.40499999999999997</v>
      </c>
      <c r="AQ97" s="213">
        <f t="shared" si="125"/>
        <v>0.38580246913580241</v>
      </c>
      <c r="AR97" s="213">
        <f t="shared" si="141"/>
        <v>0.59790123456790112</v>
      </c>
      <c r="AS97" s="218">
        <f t="shared" si="142"/>
        <v>0.11431879686208894</v>
      </c>
      <c r="AT97" s="217"/>
      <c r="AU97" s="213">
        <f t="shared" si="126"/>
        <v>2.4299999999999999E-2</v>
      </c>
      <c r="AV97" s="218">
        <f t="shared" si="143"/>
        <v>2.4299999999999999E-2</v>
      </c>
      <c r="AW97" s="217">
        <f t="shared" si="127"/>
        <v>0</v>
      </c>
      <c r="AX97" s="213">
        <f t="shared" si="128"/>
        <v>3.4499999999999996E-2</v>
      </c>
      <c r="AY97" s="218">
        <f t="shared" si="144"/>
        <v>3.4499999999999996E-2</v>
      </c>
      <c r="AZ97" s="217">
        <f t="shared" si="108"/>
        <v>0</v>
      </c>
      <c r="BA97" s="213">
        <f t="shared" si="109"/>
        <v>0</v>
      </c>
      <c r="BB97" s="213">
        <f t="shared" si="145"/>
        <v>0</v>
      </c>
      <c r="BC97" s="61">
        <f t="shared" si="129"/>
        <v>0</v>
      </c>
      <c r="BD97" s="58">
        <v>0</v>
      </c>
      <c r="BE97" s="49">
        <f t="shared" si="130"/>
        <v>0</v>
      </c>
      <c r="BF97" s="61">
        <f t="shared" si="146"/>
        <v>0</v>
      </c>
      <c r="BG97" s="58">
        <f t="shared" si="131"/>
        <v>0</v>
      </c>
      <c r="BH97" s="49">
        <f t="shared" si="132"/>
        <v>0</v>
      </c>
      <c r="BI97" s="61">
        <f t="shared" si="133"/>
        <v>0</v>
      </c>
      <c r="BK97" s="217">
        <f t="shared" si="110"/>
        <v>0</v>
      </c>
      <c r="BL97" s="213">
        <f t="shared" si="111"/>
        <v>0</v>
      </c>
      <c r="BM97" s="213">
        <f t="shared" si="112"/>
        <v>0</v>
      </c>
      <c r="BN97" s="61">
        <f t="shared" si="149"/>
        <v>0</v>
      </c>
      <c r="BO97" s="58">
        <v>0</v>
      </c>
      <c r="BP97" s="49">
        <f t="shared" si="135"/>
        <v>0</v>
      </c>
      <c r="BQ97" s="61">
        <f t="shared" si="147"/>
        <v>0</v>
      </c>
      <c r="BR97" s="58">
        <f t="shared" si="136"/>
        <v>0</v>
      </c>
      <c r="BS97" s="49">
        <f t="shared" si="137"/>
        <v>0</v>
      </c>
      <c r="BT97" s="61">
        <f t="shared" si="148"/>
        <v>0</v>
      </c>
      <c r="BU97" s="58">
        <f t="shared" si="113"/>
        <v>4.1820119411185824E-2</v>
      </c>
      <c r="BV97" s="49">
        <f t="shared" si="114"/>
        <v>1.0800000000000002E-3</v>
      </c>
      <c r="BW97" s="61">
        <f t="shared" si="115"/>
        <v>6.7499999999999999E-3</v>
      </c>
      <c r="BX97" s="49">
        <f t="shared" si="138"/>
        <v>12.923284330715925</v>
      </c>
      <c r="BY97" s="49">
        <f t="shared" si="139"/>
        <v>16.429905615366469</v>
      </c>
      <c r="BZ97" s="49">
        <f t="shared" si="140"/>
        <v>73.25422292158531</v>
      </c>
    </row>
    <row r="98" spans="17:78" x14ac:dyDescent="0.4">
      <c r="Q98" s="49">
        <v>91</v>
      </c>
      <c r="R98" s="217">
        <f t="shared" si="93"/>
        <v>45.5</v>
      </c>
      <c r="S98" s="213">
        <f t="shared" si="94"/>
        <v>15</v>
      </c>
      <c r="T98" s="218">
        <f t="shared" si="95"/>
        <v>3.0333333333333332</v>
      </c>
      <c r="U98" s="217">
        <f t="shared" si="96"/>
        <v>2</v>
      </c>
      <c r="V98" s="213">
        <f t="shared" si="97"/>
        <v>0.92592592592592593</v>
      </c>
      <c r="W98" s="213">
        <f t="shared" si="98"/>
        <v>7.407407407407407E-2</v>
      </c>
      <c r="X98" s="213">
        <f t="shared" si="116"/>
        <v>0</v>
      </c>
      <c r="Y98" s="217">
        <f t="shared" si="117"/>
        <v>3.2759999999999998</v>
      </c>
      <c r="Z98" s="213">
        <f t="shared" si="99"/>
        <v>3.0864197530864197</v>
      </c>
      <c r="AA98" s="213">
        <f t="shared" si="118"/>
        <v>4.8192098765432094</v>
      </c>
      <c r="AB98" s="218">
        <f t="shared" si="100"/>
        <v>3.2668378981511235</v>
      </c>
      <c r="AC98" s="217">
        <v>0</v>
      </c>
      <c r="AD98" s="213">
        <f t="shared" si="101"/>
        <v>12.273064330715918</v>
      </c>
      <c r="AE98" s="218">
        <f t="shared" si="119"/>
        <v>12.273064330715918</v>
      </c>
      <c r="AF98" s="58">
        <f t="shared" si="102"/>
        <v>0.91</v>
      </c>
      <c r="AG98" s="61">
        <f t="shared" si="103"/>
        <v>0.91</v>
      </c>
      <c r="AH98" s="58">
        <f t="shared" si="104"/>
        <v>2.5079740154071661</v>
      </c>
      <c r="AI98" s="49">
        <f t="shared" si="105"/>
        <v>4.1697362608106359E-2</v>
      </c>
      <c r="AJ98" s="61">
        <f t="shared" si="120"/>
        <v>2.5496713780152724</v>
      </c>
      <c r="AK98" s="217">
        <f t="shared" si="106"/>
        <v>45.5</v>
      </c>
      <c r="AL98" s="213">
        <f t="shared" si="107"/>
        <v>1500</v>
      </c>
      <c r="AM98" s="218">
        <f t="shared" si="121"/>
        <v>3.0333333333333334E-2</v>
      </c>
      <c r="AN98" s="217">
        <f t="shared" si="122"/>
        <v>2</v>
      </c>
      <c r="AO98" s="213">
        <f t="shared" si="123"/>
        <v>7.4074074074074084E-2</v>
      </c>
      <c r="AP98" s="213">
        <f t="shared" si="124"/>
        <v>0.40949999999999998</v>
      </c>
      <c r="AQ98" s="213">
        <f t="shared" si="125"/>
        <v>0.38580246913580252</v>
      </c>
      <c r="AR98" s="213">
        <f t="shared" si="141"/>
        <v>0.60240123456790129</v>
      </c>
      <c r="AS98" s="218">
        <f t="shared" si="142"/>
        <v>0.11550016154099341</v>
      </c>
      <c r="AT98" s="217"/>
      <c r="AU98" s="213">
        <f t="shared" si="126"/>
        <v>2.4843E-2</v>
      </c>
      <c r="AV98" s="218">
        <f t="shared" si="143"/>
        <v>2.4843E-2</v>
      </c>
      <c r="AW98" s="217">
        <f t="shared" si="127"/>
        <v>0</v>
      </c>
      <c r="AX98" s="213">
        <f t="shared" si="128"/>
        <v>3.4883333333333329E-2</v>
      </c>
      <c r="AY98" s="218">
        <f t="shared" si="144"/>
        <v>3.4883333333333329E-2</v>
      </c>
      <c r="AZ98" s="217">
        <f t="shared" si="108"/>
        <v>0</v>
      </c>
      <c r="BA98" s="213">
        <f t="shared" si="109"/>
        <v>0</v>
      </c>
      <c r="BB98" s="213">
        <f>IF(EN_OUT_2=1,AZ98/BA98,0)</f>
        <v>0</v>
      </c>
      <c r="BC98" s="61">
        <f t="shared" si="129"/>
        <v>0</v>
      </c>
      <c r="BD98" s="58">
        <v>0</v>
      </c>
      <c r="BE98" s="49">
        <f t="shared" si="130"/>
        <v>0</v>
      </c>
      <c r="BF98" s="61">
        <f t="shared" si="146"/>
        <v>0</v>
      </c>
      <c r="BG98" s="58">
        <f t="shared" si="131"/>
        <v>0</v>
      </c>
      <c r="BH98" s="49">
        <f t="shared" si="132"/>
        <v>0</v>
      </c>
      <c r="BI98" s="61">
        <f t="shared" si="133"/>
        <v>0</v>
      </c>
      <c r="BK98" s="217">
        <f t="shared" si="110"/>
        <v>0</v>
      </c>
      <c r="BL98" s="213">
        <f t="shared" si="111"/>
        <v>0</v>
      </c>
      <c r="BM98" s="213">
        <f t="shared" si="112"/>
        <v>0</v>
      </c>
      <c r="BN98" s="61">
        <f t="shared" si="149"/>
        <v>0</v>
      </c>
      <c r="BO98" s="58">
        <v>0</v>
      </c>
      <c r="BP98" s="49">
        <f t="shared" si="135"/>
        <v>0</v>
      </c>
      <c r="BQ98" s="61">
        <f t="shared" si="147"/>
        <v>0</v>
      </c>
      <c r="BR98" s="58">
        <f t="shared" si="136"/>
        <v>0</v>
      </c>
      <c r="BS98" s="49">
        <f t="shared" si="137"/>
        <v>0</v>
      </c>
      <c r="BT98" s="61">
        <f t="shared" si="148"/>
        <v>0</v>
      </c>
      <c r="BU98" s="58">
        <f t="shared" si="113"/>
        <v>4.2688919411185799E-2</v>
      </c>
      <c r="BV98" s="49">
        <f t="shared" si="114"/>
        <v>1.0800000000000002E-3</v>
      </c>
      <c r="BW98" s="61">
        <f t="shared" si="115"/>
        <v>6.7499999999999999E-3</v>
      </c>
      <c r="BX98" s="49">
        <f t="shared" si="138"/>
        <v>13.183064330715919</v>
      </c>
      <c r="BY98" s="49">
        <f t="shared" si="139"/>
        <v>16.752980961475711</v>
      </c>
      <c r="BZ98" s="49">
        <f t="shared" si="140"/>
        <v>73.088869476237548</v>
      </c>
    </row>
    <row r="99" spans="17:78" x14ac:dyDescent="0.4">
      <c r="Q99" s="49">
        <v>92</v>
      </c>
      <c r="R99" s="217">
        <f t="shared" si="93"/>
        <v>46</v>
      </c>
      <c r="S99" s="213">
        <f t="shared" si="94"/>
        <v>15</v>
      </c>
      <c r="T99" s="218">
        <f t="shared" si="95"/>
        <v>3.0666666666666669</v>
      </c>
      <c r="U99" s="217">
        <f t="shared" si="96"/>
        <v>2</v>
      </c>
      <c r="V99" s="213">
        <f t="shared" si="97"/>
        <v>0.92592592592592593</v>
      </c>
      <c r="W99" s="213">
        <f t="shared" si="98"/>
        <v>7.407407407407407E-2</v>
      </c>
      <c r="X99" s="213">
        <f t="shared" si="116"/>
        <v>0</v>
      </c>
      <c r="Y99" s="217">
        <f t="shared" si="117"/>
        <v>3.3119999999999998</v>
      </c>
      <c r="Z99" s="213">
        <f t="shared" si="99"/>
        <v>3.0864197530864197</v>
      </c>
      <c r="AA99" s="213">
        <f t="shared" si="118"/>
        <v>4.8552098765432099</v>
      </c>
      <c r="AB99" s="218">
        <f t="shared" si="100"/>
        <v>3.3002772387780479</v>
      </c>
      <c r="AC99" s="217">
        <v>0</v>
      </c>
      <c r="AD99" s="213">
        <f t="shared" si="101"/>
        <v>12.525604330715927</v>
      </c>
      <c r="AE99" s="218">
        <f t="shared" si="119"/>
        <v>12.525604330715927</v>
      </c>
      <c r="AF99" s="58">
        <f t="shared" si="102"/>
        <v>0.92</v>
      </c>
      <c r="AG99" s="61">
        <f t="shared" si="103"/>
        <v>0.92</v>
      </c>
      <c r="AH99" s="58">
        <f t="shared" si="104"/>
        <v>2.5595800154071675</v>
      </c>
      <c r="AI99" s="49">
        <f t="shared" si="105"/>
        <v>4.2155575384019608E-2</v>
      </c>
      <c r="AJ99" s="61">
        <f t="shared" si="120"/>
        <v>2.6017355907911872</v>
      </c>
      <c r="AK99" s="217">
        <f t="shared" si="106"/>
        <v>46</v>
      </c>
      <c r="AL99" s="213">
        <f t="shared" si="107"/>
        <v>1500</v>
      </c>
      <c r="AM99" s="218">
        <f t="shared" si="121"/>
        <v>3.0666666666666665E-2</v>
      </c>
      <c r="AN99" s="217">
        <f t="shared" si="122"/>
        <v>2</v>
      </c>
      <c r="AO99" s="213">
        <f t="shared" si="123"/>
        <v>7.407407407407407E-2</v>
      </c>
      <c r="AP99" s="213">
        <f t="shared" si="124"/>
        <v>0.41400000000000003</v>
      </c>
      <c r="AQ99" s="213">
        <f t="shared" si="125"/>
        <v>0.38580246913580241</v>
      </c>
      <c r="AR99" s="213">
        <f t="shared" si="141"/>
        <v>0.60690123456790124</v>
      </c>
      <c r="AS99" s="218">
        <f t="shared" si="142"/>
        <v>0.11668242076677861</v>
      </c>
      <c r="AT99" s="217"/>
      <c r="AU99" s="213">
        <f t="shared" si="126"/>
        <v>2.5391999999999998E-2</v>
      </c>
      <c r="AV99" s="218">
        <f t="shared" si="143"/>
        <v>2.5391999999999998E-2</v>
      </c>
      <c r="AW99" s="217">
        <f t="shared" si="127"/>
        <v>0</v>
      </c>
      <c r="AX99" s="213">
        <f t="shared" si="128"/>
        <v>3.5266666666666661E-2</v>
      </c>
      <c r="AY99" s="218">
        <f t="shared" si="144"/>
        <v>3.5266666666666661E-2</v>
      </c>
      <c r="AZ99" s="217">
        <f t="shared" si="108"/>
        <v>0</v>
      </c>
      <c r="BA99" s="213">
        <f t="shared" si="109"/>
        <v>0</v>
      </c>
      <c r="BB99" s="213">
        <f t="shared" si="145"/>
        <v>0</v>
      </c>
      <c r="BC99" s="61">
        <f t="shared" si="129"/>
        <v>0</v>
      </c>
      <c r="BD99" s="58">
        <v>0</v>
      </c>
      <c r="BE99" s="49">
        <f t="shared" si="130"/>
        <v>0</v>
      </c>
      <c r="BF99" s="61">
        <f t="shared" si="146"/>
        <v>0</v>
      </c>
      <c r="BG99" s="58">
        <f t="shared" si="131"/>
        <v>0</v>
      </c>
      <c r="BH99" s="49">
        <f t="shared" si="132"/>
        <v>0</v>
      </c>
      <c r="BI99" s="61">
        <f t="shared" si="133"/>
        <v>0</v>
      </c>
      <c r="BK99" s="217">
        <f t="shared" si="110"/>
        <v>0</v>
      </c>
      <c r="BL99" s="213">
        <f t="shared" si="111"/>
        <v>0</v>
      </c>
      <c r="BM99" s="213">
        <f t="shared" si="112"/>
        <v>0</v>
      </c>
      <c r="BN99" s="61">
        <f t="shared" si="149"/>
        <v>0</v>
      </c>
      <c r="BO99" s="58">
        <v>0</v>
      </c>
      <c r="BP99" s="49">
        <f t="shared" si="135"/>
        <v>0</v>
      </c>
      <c r="BQ99" s="61">
        <f t="shared" si="147"/>
        <v>0</v>
      </c>
      <c r="BR99" s="58">
        <f t="shared" si="136"/>
        <v>0</v>
      </c>
      <c r="BS99" s="49">
        <f t="shared" si="137"/>
        <v>0</v>
      </c>
      <c r="BT99" s="61">
        <f t="shared" si="148"/>
        <v>0</v>
      </c>
      <c r="BU99" s="58">
        <f t="shared" si="113"/>
        <v>4.3567319411185829E-2</v>
      </c>
      <c r="BV99" s="49">
        <f t="shared" si="114"/>
        <v>1.0800000000000002E-3</v>
      </c>
      <c r="BW99" s="61">
        <f t="shared" si="115"/>
        <v>6.7499999999999999E-3</v>
      </c>
      <c r="BX99" s="49">
        <f t="shared" si="138"/>
        <v>13.445604330715927</v>
      </c>
      <c r="BY99" s="49">
        <f t="shared" si="139"/>
        <v>17.079395907584967</v>
      </c>
      <c r="BZ99" s="49">
        <f t="shared" si="140"/>
        <v>72.923970399768436</v>
      </c>
    </row>
    <row r="100" spans="17:78" x14ac:dyDescent="0.4">
      <c r="Q100" s="49">
        <v>93</v>
      </c>
      <c r="R100" s="217">
        <f t="shared" si="93"/>
        <v>46.5</v>
      </c>
      <c r="S100" s="213">
        <f t="shared" si="94"/>
        <v>15</v>
      </c>
      <c r="T100" s="218">
        <f t="shared" si="95"/>
        <v>3.1</v>
      </c>
      <c r="U100" s="217">
        <f t="shared" si="96"/>
        <v>2</v>
      </c>
      <c r="V100" s="213">
        <f t="shared" si="97"/>
        <v>0.92592592592592593</v>
      </c>
      <c r="W100" s="213">
        <f t="shared" si="98"/>
        <v>7.407407407407407E-2</v>
      </c>
      <c r="X100" s="213">
        <f t="shared" si="116"/>
        <v>0</v>
      </c>
      <c r="Y100" s="217">
        <f t="shared" si="117"/>
        <v>3.3479999999999999</v>
      </c>
      <c r="Z100" s="213">
        <f t="shared" si="99"/>
        <v>3.0864197530864197</v>
      </c>
      <c r="AA100" s="213">
        <f t="shared" si="118"/>
        <v>4.8912098765432095</v>
      </c>
      <c r="AB100" s="218">
        <f t="shared" si="100"/>
        <v>3.3337411196426832</v>
      </c>
      <c r="AC100" s="217">
        <v>0</v>
      </c>
      <c r="AD100" s="213">
        <f t="shared" si="101"/>
        <v>12.78090433071592</v>
      </c>
      <c r="AE100" s="218">
        <f t="shared" si="119"/>
        <v>12.78090433071592</v>
      </c>
      <c r="AF100" s="58">
        <f t="shared" si="102"/>
        <v>0.93</v>
      </c>
      <c r="AG100" s="61">
        <f t="shared" si="103"/>
        <v>0.93</v>
      </c>
      <c r="AH100" s="58">
        <f t="shared" si="104"/>
        <v>2.611750015407166</v>
      </c>
      <c r="AI100" s="49">
        <f t="shared" si="105"/>
        <v>4.2613788159932872E-2</v>
      </c>
      <c r="AJ100" s="61">
        <f t="shared" si="120"/>
        <v>2.6543638035670987</v>
      </c>
      <c r="AK100" s="217">
        <f t="shared" si="106"/>
        <v>46.5</v>
      </c>
      <c r="AL100" s="213">
        <f t="shared" si="107"/>
        <v>1500</v>
      </c>
      <c r="AM100" s="218">
        <f t="shared" si="121"/>
        <v>3.1E-2</v>
      </c>
      <c r="AN100" s="217">
        <f t="shared" si="122"/>
        <v>2</v>
      </c>
      <c r="AO100" s="213">
        <f t="shared" si="123"/>
        <v>7.407407407407407E-2</v>
      </c>
      <c r="AP100" s="213">
        <f t="shared" si="124"/>
        <v>0.41849999999999998</v>
      </c>
      <c r="AQ100" s="213">
        <f t="shared" si="125"/>
        <v>0.38580246913580241</v>
      </c>
      <c r="AR100" s="213">
        <f t="shared" si="141"/>
        <v>0.61140123456790119</v>
      </c>
      <c r="AS100" s="218">
        <f t="shared" si="142"/>
        <v>0.11786554762098875</v>
      </c>
      <c r="AT100" s="217"/>
      <c r="AU100" s="213">
        <f t="shared" si="126"/>
        <v>2.5946999999999998E-2</v>
      </c>
      <c r="AV100" s="218">
        <f t="shared" si="143"/>
        <v>2.5946999999999998E-2</v>
      </c>
      <c r="AW100" s="217">
        <f t="shared" si="127"/>
        <v>0</v>
      </c>
      <c r="AX100" s="213">
        <f t="shared" si="128"/>
        <v>3.5649999999999994E-2</v>
      </c>
      <c r="AY100" s="218">
        <f t="shared" si="144"/>
        <v>3.5649999999999994E-2</v>
      </c>
      <c r="AZ100" s="217">
        <f t="shared" si="108"/>
        <v>0</v>
      </c>
      <c r="BA100" s="213">
        <f t="shared" si="109"/>
        <v>0</v>
      </c>
      <c r="BB100" s="213">
        <f t="shared" si="145"/>
        <v>0</v>
      </c>
      <c r="BC100" s="61">
        <f t="shared" si="129"/>
        <v>0</v>
      </c>
      <c r="BD100" s="58">
        <v>0</v>
      </c>
      <c r="BE100" s="49">
        <f t="shared" si="130"/>
        <v>0</v>
      </c>
      <c r="BF100" s="61">
        <f t="shared" si="146"/>
        <v>0</v>
      </c>
      <c r="BG100" s="58">
        <f t="shared" si="131"/>
        <v>0</v>
      </c>
      <c r="BH100" s="49">
        <f t="shared" si="132"/>
        <v>0</v>
      </c>
      <c r="BI100" s="61">
        <f t="shared" si="133"/>
        <v>0</v>
      </c>
      <c r="BK100" s="217">
        <f t="shared" si="110"/>
        <v>0</v>
      </c>
      <c r="BL100" s="213">
        <f t="shared" si="111"/>
        <v>0</v>
      </c>
      <c r="BM100" s="213">
        <f t="shared" si="112"/>
        <v>0</v>
      </c>
      <c r="BN100" s="61">
        <f t="shared" si="149"/>
        <v>0</v>
      </c>
      <c r="BO100" s="58">
        <v>0</v>
      </c>
      <c r="BP100" s="49">
        <f t="shared" si="135"/>
        <v>0</v>
      </c>
      <c r="BQ100" s="61">
        <f t="shared" si="147"/>
        <v>0</v>
      </c>
      <c r="BR100" s="58">
        <f t="shared" si="136"/>
        <v>0</v>
      </c>
      <c r="BS100" s="49">
        <f t="shared" si="137"/>
        <v>0</v>
      </c>
      <c r="BT100" s="61">
        <f t="shared" si="148"/>
        <v>0</v>
      </c>
      <c r="BU100" s="58">
        <f t="shared" si="113"/>
        <v>4.4455319411185808E-2</v>
      </c>
      <c r="BV100" s="49">
        <f t="shared" si="114"/>
        <v>1.0800000000000002E-3</v>
      </c>
      <c r="BW100" s="61">
        <f t="shared" si="115"/>
        <v>6.7499999999999999E-3</v>
      </c>
      <c r="BX100" s="49">
        <f t="shared" si="138"/>
        <v>13.71090433071592</v>
      </c>
      <c r="BY100" s="49">
        <f t="shared" si="139"/>
        <v>17.409150453694203</v>
      </c>
      <c r="BZ100" s="49">
        <f t="shared" si="140"/>
        <v>72.759533916339393</v>
      </c>
    </row>
    <row r="101" spans="17:78" x14ac:dyDescent="0.4">
      <c r="Q101" s="49">
        <v>94</v>
      </c>
      <c r="R101" s="217">
        <f t="shared" si="93"/>
        <v>47</v>
      </c>
      <c r="S101" s="213">
        <f t="shared" si="94"/>
        <v>15</v>
      </c>
      <c r="T101" s="218">
        <f t="shared" si="95"/>
        <v>3.1333333333333333</v>
      </c>
      <c r="U101" s="217">
        <f t="shared" si="96"/>
        <v>2</v>
      </c>
      <c r="V101" s="213">
        <f t="shared" si="97"/>
        <v>0.92592592592592593</v>
      </c>
      <c r="W101" s="213">
        <f t="shared" si="98"/>
        <v>7.407407407407407E-2</v>
      </c>
      <c r="X101" s="213">
        <f t="shared" si="116"/>
        <v>0</v>
      </c>
      <c r="Y101" s="217">
        <f t="shared" si="117"/>
        <v>3.3839999999999999</v>
      </c>
      <c r="Z101" s="213">
        <f t="shared" si="99"/>
        <v>3.0864197530864197</v>
      </c>
      <c r="AA101" s="213">
        <f t="shared" si="118"/>
        <v>4.92720987654321</v>
      </c>
      <c r="AB101" s="218">
        <f t="shared" si="100"/>
        <v>3.367228809094573</v>
      </c>
      <c r="AC101" s="217">
        <v>0</v>
      </c>
      <c r="AD101" s="213">
        <f t="shared" si="101"/>
        <v>13.038964330715926</v>
      </c>
      <c r="AE101" s="218">
        <f t="shared" si="119"/>
        <v>13.038964330715926</v>
      </c>
      <c r="AF101" s="58">
        <f t="shared" si="102"/>
        <v>0.94000000000000006</v>
      </c>
      <c r="AG101" s="61">
        <f t="shared" si="103"/>
        <v>0.94000000000000006</v>
      </c>
      <c r="AH101" s="58">
        <f t="shared" si="104"/>
        <v>2.6644840154071674</v>
      </c>
      <c r="AI101" s="49">
        <f t="shared" si="105"/>
        <v>4.3072000935846129E-2</v>
      </c>
      <c r="AJ101" s="61">
        <f t="shared" si="120"/>
        <v>2.7075560163430135</v>
      </c>
      <c r="AK101" s="217">
        <f t="shared" si="106"/>
        <v>47</v>
      </c>
      <c r="AL101" s="213">
        <f t="shared" si="107"/>
        <v>1500</v>
      </c>
      <c r="AM101" s="218">
        <f t="shared" si="121"/>
        <v>3.1333333333333331E-2</v>
      </c>
      <c r="AN101" s="217">
        <f t="shared" si="122"/>
        <v>2</v>
      </c>
      <c r="AO101" s="213">
        <f t="shared" si="123"/>
        <v>7.407407407407407E-2</v>
      </c>
      <c r="AP101" s="213">
        <f t="shared" si="124"/>
        <v>0.42299999999999999</v>
      </c>
      <c r="AQ101" s="213">
        <f t="shared" si="125"/>
        <v>0.38580246913580241</v>
      </c>
      <c r="AR101" s="213">
        <f t="shared" si="141"/>
        <v>0.61590123456790113</v>
      </c>
      <c r="AS101" s="218">
        <f t="shared" si="142"/>
        <v>0.11904951623587373</v>
      </c>
      <c r="AT101" s="217"/>
      <c r="AU101" s="213">
        <f t="shared" si="126"/>
        <v>2.6507999999999997E-2</v>
      </c>
      <c r="AV101" s="218">
        <f t="shared" si="143"/>
        <v>2.6507999999999997E-2</v>
      </c>
      <c r="AW101" s="217">
        <f t="shared" si="127"/>
        <v>0</v>
      </c>
      <c r="AX101" s="213">
        <f t="shared" si="128"/>
        <v>3.6033333333333327E-2</v>
      </c>
      <c r="AY101" s="218">
        <f t="shared" si="144"/>
        <v>3.6033333333333327E-2</v>
      </c>
      <c r="AZ101" s="217">
        <f t="shared" si="108"/>
        <v>0</v>
      </c>
      <c r="BA101" s="213">
        <f t="shared" si="109"/>
        <v>0</v>
      </c>
      <c r="BB101" s="213">
        <f t="shared" si="145"/>
        <v>0</v>
      </c>
      <c r="BC101" s="61">
        <f t="shared" si="129"/>
        <v>0</v>
      </c>
      <c r="BD101" s="58">
        <v>0</v>
      </c>
      <c r="BE101" s="49">
        <f t="shared" si="130"/>
        <v>0</v>
      </c>
      <c r="BF101" s="61">
        <f t="shared" si="146"/>
        <v>0</v>
      </c>
      <c r="BG101" s="58">
        <f t="shared" si="131"/>
        <v>0</v>
      </c>
      <c r="BH101" s="49">
        <f t="shared" si="132"/>
        <v>0</v>
      </c>
      <c r="BI101" s="61">
        <f t="shared" si="133"/>
        <v>0</v>
      </c>
      <c r="BK101" s="217">
        <f t="shared" si="110"/>
        <v>0</v>
      </c>
      <c r="BL101" s="213">
        <f t="shared" si="111"/>
        <v>0</v>
      </c>
      <c r="BM101" s="213">
        <f t="shared" si="112"/>
        <v>0</v>
      </c>
      <c r="BN101" s="61">
        <f t="shared" si="149"/>
        <v>0</v>
      </c>
      <c r="BO101" s="58">
        <v>0</v>
      </c>
      <c r="BP101" s="49">
        <f t="shared" si="135"/>
        <v>0</v>
      </c>
      <c r="BQ101" s="61">
        <f t="shared" si="147"/>
        <v>0</v>
      </c>
      <c r="BR101" s="58">
        <f t="shared" si="136"/>
        <v>0</v>
      </c>
      <c r="BS101" s="49">
        <f t="shared" si="137"/>
        <v>0</v>
      </c>
      <c r="BT101" s="61">
        <f t="shared" si="148"/>
        <v>0</v>
      </c>
      <c r="BU101" s="58">
        <f t="shared" si="113"/>
        <v>4.5352919411185827E-2</v>
      </c>
      <c r="BV101" s="49">
        <f t="shared" si="114"/>
        <v>1.0800000000000002E-3</v>
      </c>
      <c r="BW101" s="61">
        <f t="shared" si="115"/>
        <v>6.7499999999999999E-3</v>
      </c>
      <c r="BX101" s="49">
        <f t="shared" si="138"/>
        <v>13.978964330715925</v>
      </c>
      <c r="BY101" s="49">
        <f t="shared" si="139"/>
        <v>17.74224459980346</v>
      </c>
      <c r="BZ101" s="49">
        <f t="shared" si="140"/>
        <v>72.595567686176082</v>
      </c>
    </row>
    <row r="102" spans="17:78" x14ac:dyDescent="0.4">
      <c r="Q102" s="49">
        <v>95</v>
      </c>
      <c r="R102" s="217">
        <f t="shared" si="93"/>
        <v>47.5</v>
      </c>
      <c r="S102" s="213">
        <f t="shared" si="94"/>
        <v>15</v>
      </c>
      <c r="T102" s="218">
        <f t="shared" si="95"/>
        <v>3.1666666666666665</v>
      </c>
      <c r="U102" s="217">
        <f t="shared" si="96"/>
        <v>2</v>
      </c>
      <c r="V102" s="213">
        <f t="shared" si="97"/>
        <v>0.92592592592592593</v>
      </c>
      <c r="W102" s="213">
        <f t="shared" si="98"/>
        <v>7.407407407407407E-2</v>
      </c>
      <c r="X102" s="213">
        <f t="shared" si="116"/>
        <v>0</v>
      </c>
      <c r="Y102" s="217">
        <f t="shared" si="117"/>
        <v>3.42</v>
      </c>
      <c r="Z102" s="213">
        <f t="shared" si="99"/>
        <v>3.0864197530864197</v>
      </c>
      <c r="AA102" s="213">
        <f t="shared" si="118"/>
        <v>4.9632098765432096</v>
      </c>
      <c r="AB102" s="218">
        <f t="shared" si="100"/>
        <v>3.4007396037915707</v>
      </c>
      <c r="AC102" s="217">
        <v>0</v>
      </c>
      <c r="AD102" s="213">
        <f t="shared" si="101"/>
        <v>13.299784330715918</v>
      </c>
      <c r="AE102" s="218">
        <f t="shared" si="119"/>
        <v>13.299784330715918</v>
      </c>
      <c r="AF102" s="58">
        <f t="shared" si="102"/>
        <v>0.95000000000000007</v>
      </c>
      <c r="AG102" s="61">
        <f t="shared" si="103"/>
        <v>0.95000000000000007</v>
      </c>
      <c r="AH102" s="58">
        <f t="shared" si="104"/>
        <v>2.7177820154071659</v>
      </c>
      <c r="AI102" s="49">
        <f t="shared" si="105"/>
        <v>4.3530213711759386E-2</v>
      </c>
      <c r="AJ102" s="61">
        <f t="shared" si="120"/>
        <v>2.7613122291189254</v>
      </c>
      <c r="AK102" s="217">
        <f t="shared" si="106"/>
        <v>47.5</v>
      </c>
      <c r="AL102" s="213">
        <f t="shared" si="107"/>
        <v>1500</v>
      </c>
      <c r="AM102" s="218">
        <f t="shared" si="121"/>
        <v>3.1666666666666669E-2</v>
      </c>
      <c r="AN102" s="217">
        <f t="shared" si="122"/>
        <v>2</v>
      </c>
      <c r="AO102" s="213">
        <f t="shared" si="123"/>
        <v>7.4074074074074084E-2</v>
      </c>
      <c r="AP102" s="213">
        <f t="shared" si="124"/>
        <v>0.42749999999999999</v>
      </c>
      <c r="AQ102" s="213">
        <f t="shared" si="125"/>
        <v>0.38580246913580252</v>
      </c>
      <c r="AR102" s="213">
        <f t="shared" si="141"/>
        <v>0.62040123456790131</v>
      </c>
      <c r="AS102" s="218">
        <f t="shared" si="142"/>
        <v>0.12023430174453367</v>
      </c>
      <c r="AT102" s="217"/>
      <c r="AU102" s="213">
        <f t="shared" si="126"/>
        <v>2.7075000000000005E-2</v>
      </c>
      <c r="AV102" s="218">
        <f t="shared" si="143"/>
        <v>2.7075000000000005E-2</v>
      </c>
      <c r="AW102" s="217">
        <f t="shared" si="127"/>
        <v>0</v>
      </c>
      <c r="AX102" s="213">
        <f t="shared" si="128"/>
        <v>3.6416666666666667E-2</v>
      </c>
      <c r="AY102" s="218">
        <f t="shared" si="144"/>
        <v>3.6416666666666667E-2</v>
      </c>
      <c r="AZ102" s="217">
        <f t="shared" si="108"/>
        <v>0</v>
      </c>
      <c r="BA102" s="213">
        <f t="shared" si="109"/>
        <v>0</v>
      </c>
      <c r="BB102" s="213">
        <f t="shared" si="145"/>
        <v>0</v>
      </c>
      <c r="BC102" s="61">
        <f t="shared" si="129"/>
        <v>0</v>
      </c>
      <c r="BD102" s="58">
        <v>0</v>
      </c>
      <c r="BE102" s="49">
        <f t="shared" si="130"/>
        <v>0</v>
      </c>
      <c r="BF102" s="61">
        <f t="shared" si="146"/>
        <v>0</v>
      </c>
      <c r="BG102" s="58">
        <f t="shared" si="131"/>
        <v>0</v>
      </c>
      <c r="BH102" s="49">
        <f t="shared" si="132"/>
        <v>0</v>
      </c>
      <c r="BI102" s="61">
        <f t="shared" si="133"/>
        <v>0</v>
      </c>
      <c r="BK102" s="217">
        <f t="shared" si="110"/>
        <v>0</v>
      </c>
      <c r="BL102" s="213">
        <f t="shared" si="111"/>
        <v>0</v>
      </c>
      <c r="BM102" s="213">
        <f t="shared" si="112"/>
        <v>0</v>
      </c>
      <c r="BN102" s="61">
        <f t="shared" si="149"/>
        <v>0</v>
      </c>
      <c r="BO102" s="58">
        <v>0</v>
      </c>
      <c r="BP102" s="49">
        <f t="shared" si="135"/>
        <v>0</v>
      </c>
      <c r="BQ102" s="61">
        <f t="shared" si="147"/>
        <v>0</v>
      </c>
      <c r="BR102" s="58">
        <f t="shared" si="136"/>
        <v>0</v>
      </c>
      <c r="BS102" s="49">
        <f t="shared" si="137"/>
        <v>0</v>
      </c>
      <c r="BT102" s="61">
        <f t="shared" si="148"/>
        <v>0</v>
      </c>
      <c r="BU102" s="58">
        <f t="shared" si="113"/>
        <v>4.6260119411185796E-2</v>
      </c>
      <c r="BV102" s="49">
        <f t="shared" si="114"/>
        <v>1.0800000000000002E-3</v>
      </c>
      <c r="BW102" s="61">
        <f t="shared" si="115"/>
        <v>6.7499999999999999E-3</v>
      </c>
      <c r="BX102" s="49">
        <f t="shared" si="138"/>
        <v>14.249784330715917</v>
      </c>
      <c r="BY102" s="49">
        <f t="shared" si="139"/>
        <v>18.078678345912696</v>
      </c>
      <c r="BZ102" s="49">
        <f t="shared" si="140"/>
        <v>72.43207883734442</v>
      </c>
    </row>
    <row r="103" spans="17:78" x14ac:dyDescent="0.4">
      <c r="Q103" s="49">
        <v>96</v>
      </c>
      <c r="R103" s="217">
        <f t="shared" ref="R103:R134" si="150">AK103+AZ103+BK103</f>
        <v>48</v>
      </c>
      <c r="S103" s="213">
        <f t="shared" si="94"/>
        <v>15</v>
      </c>
      <c r="T103" s="218">
        <f t="shared" ref="T103:T134" si="151">(R103)/(S103*EFF_est)</f>
        <v>3.2</v>
      </c>
      <c r="U103" s="217">
        <f t="shared" ref="U103:U134" si="152">IF(R103&lt;((((Np/NS1_)*(AL103)/((S103+((Np/NS1_)*(AL103)))))^2)*(S103^2))/(2*Lm*Fsw),1,2)</f>
        <v>2</v>
      </c>
      <c r="V103" s="213">
        <f t="shared" ref="V103:V134" si="153">CHOOSE(U103,SQRT((2*Lm*R103*Fsw)/((S103^2)*EFF_est)),(((Np/NS1_)*(AL103))/(S103+((Np/NS1_)*(AL103)))))</f>
        <v>0.92592592592592593</v>
      </c>
      <c r="W103" s="213">
        <f t="shared" ref="W103:W134" si="154">CHOOSE(U103,(NS1_*S103*V103)/(Np*AL103),1-V103)</f>
        <v>7.407407407407407E-2</v>
      </c>
      <c r="X103" s="213">
        <f t="shared" si="116"/>
        <v>0</v>
      </c>
      <c r="Y103" s="217">
        <f t="shared" si="117"/>
        <v>3.456</v>
      </c>
      <c r="Z103" s="213">
        <f t="shared" ref="Z103:Z134" si="155">(S103*V103)/(Lm*Fsw)</f>
        <v>3.0864197530864197</v>
      </c>
      <c r="AA103" s="213">
        <f t="shared" si="118"/>
        <v>4.99920987654321</v>
      </c>
      <c r="AB103" s="218">
        <f t="shared" ref="AB103:AB134" si="156">CHOOSE(U103,AA103*SQRT(V103/3),SQRT(V103*((AA103^2)+((Z103^2)/(3))-(AA103*Z103))))</f>
        <v>3.4342728273677463</v>
      </c>
      <c r="AC103" s="217">
        <v>0</v>
      </c>
      <c r="AD103" s="213">
        <f t="shared" ref="AD103:AD134" si="157">(AB103^2)*Rdcr</f>
        <v>13.563364330715924</v>
      </c>
      <c r="AE103" s="218">
        <f t="shared" si="119"/>
        <v>13.563364330715924</v>
      </c>
      <c r="AF103" s="58">
        <f t="shared" ref="AF103:AF134" si="158">R103*0.02</f>
        <v>0.96</v>
      </c>
      <c r="AG103" s="61">
        <f t="shared" ref="AG103:AG134" si="159">R103*0.02</f>
        <v>0.96</v>
      </c>
      <c r="AH103" s="58">
        <f t="shared" ref="AH103:AH134" si="160">(AB103^2)*RDS_on</f>
        <v>2.7716440154071669</v>
      </c>
      <c r="AI103" s="49">
        <f t="shared" ref="AI103:AI134" si="161">((Y103*(S103+((Np/NS1_)*VOUT1)))/2)*Fsw*(tr_sw+tf_sw)</f>
        <v>4.3988426487672642E-2</v>
      </c>
      <c r="AJ103" s="61">
        <f t="shared" si="120"/>
        <v>2.8156324418948393</v>
      </c>
      <c r="AK103" s="217">
        <f t="shared" ref="AK103:AK134" si="162">Q103*$B$11</f>
        <v>48</v>
      </c>
      <c r="AL103" s="213">
        <f t="shared" si="107"/>
        <v>1500</v>
      </c>
      <c r="AM103" s="218">
        <f t="shared" si="121"/>
        <v>3.2000000000000001E-2</v>
      </c>
      <c r="AN103" s="217">
        <f t="shared" si="122"/>
        <v>2</v>
      </c>
      <c r="AO103" s="213">
        <f t="shared" si="123"/>
        <v>7.407407407407407E-2</v>
      </c>
      <c r="AP103" s="213">
        <f t="shared" si="124"/>
        <v>0.432</v>
      </c>
      <c r="AQ103" s="213">
        <f t="shared" si="125"/>
        <v>0.38580246913580241</v>
      </c>
      <c r="AR103" s="213">
        <f t="shared" si="141"/>
        <v>0.62490123456790125</v>
      </c>
      <c r="AS103" s="218">
        <f t="shared" si="142"/>
        <v>0.12141988023382154</v>
      </c>
      <c r="AT103" s="217"/>
      <c r="AU103" s="213">
        <f t="shared" si="126"/>
        <v>2.7647999999999999E-2</v>
      </c>
      <c r="AV103" s="218">
        <f t="shared" si="143"/>
        <v>2.7647999999999999E-2</v>
      </c>
      <c r="AW103" s="217">
        <f t="shared" si="127"/>
        <v>0</v>
      </c>
      <c r="AX103" s="213">
        <f t="shared" si="128"/>
        <v>3.6799999999999999E-2</v>
      </c>
      <c r="AY103" s="218">
        <f t="shared" si="144"/>
        <v>3.6799999999999999E-2</v>
      </c>
      <c r="AZ103" s="217">
        <f t="shared" ref="AZ103:AZ134" si="163">IF(EN_OUT_2=1,Q103*$B$15,0)</f>
        <v>0</v>
      </c>
      <c r="BA103" s="213">
        <f t="shared" ref="BA103:BA134" si="164">IF(EN_OUT_2=1,VOUT2,0)</f>
        <v>0</v>
      </c>
      <c r="BB103" s="213">
        <f t="shared" si="145"/>
        <v>0</v>
      </c>
      <c r="BC103" s="61">
        <f t="shared" si="129"/>
        <v>0</v>
      </c>
      <c r="BD103" s="58">
        <v>0</v>
      </c>
      <c r="BE103" s="49">
        <f t="shared" si="130"/>
        <v>0</v>
      </c>
      <c r="BF103" s="61">
        <f t="shared" si="146"/>
        <v>0</v>
      </c>
      <c r="BG103" s="58">
        <f t="shared" si="131"/>
        <v>0</v>
      </c>
      <c r="BH103" s="49">
        <f t="shared" si="132"/>
        <v>0</v>
      </c>
      <c r="BI103" s="61">
        <f t="shared" si="133"/>
        <v>0</v>
      </c>
      <c r="BK103" s="217">
        <f t="shared" ref="BK103:BK134" si="165">IF(EN_OUT_3=1,Q103*$B$19,0)</f>
        <v>0</v>
      </c>
      <c r="BL103" s="213">
        <f t="shared" si="111"/>
        <v>0</v>
      </c>
      <c r="BM103" s="213">
        <f t="shared" ref="BM103:BM134" si="166">IF(EN_OUT_3=1,BK103/BL103,0)</f>
        <v>0</v>
      </c>
      <c r="BN103" s="61">
        <f t="shared" si="149"/>
        <v>0</v>
      </c>
      <c r="BO103" s="58">
        <v>0</v>
      </c>
      <c r="BP103" s="49">
        <f t="shared" si="135"/>
        <v>0</v>
      </c>
      <c r="BQ103" s="61">
        <f t="shared" si="147"/>
        <v>0</v>
      </c>
      <c r="BR103" s="58">
        <f t="shared" si="136"/>
        <v>0</v>
      </c>
      <c r="BS103" s="49">
        <f t="shared" si="137"/>
        <v>0</v>
      </c>
      <c r="BT103" s="61">
        <f t="shared" si="148"/>
        <v>0</v>
      </c>
      <c r="BU103" s="58">
        <f t="shared" ref="BU103:BU134" si="167">(AB103^2)*R_cs</f>
        <v>4.7176919411185812E-2</v>
      </c>
      <c r="BV103" s="49">
        <f t="shared" si="114"/>
        <v>1.0800000000000002E-3</v>
      </c>
      <c r="BW103" s="61">
        <f t="shared" ref="BW103:BW134" si="168">IQ*S103</f>
        <v>6.7499999999999999E-3</v>
      </c>
      <c r="BX103" s="49">
        <f t="shared" si="138"/>
        <v>14.523364330715925</v>
      </c>
      <c r="BY103" s="49">
        <f t="shared" si="139"/>
        <v>18.41845169202195</v>
      </c>
      <c r="BZ103" s="49">
        <f t="shared" si="140"/>
        <v>72.269073995541007</v>
      </c>
    </row>
    <row r="104" spans="17:78" x14ac:dyDescent="0.4">
      <c r="Q104" s="49">
        <v>97</v>
      </c>
      <c r="R104" s="217">
        <f t="shared" si="150"/>
        <v>48.5</v>
      </c>
      <c r="S104" s="213">
        <f t="shared" si="94"/>
        <v>15</v>
      </c>
      <c r="T104" s="218">
        <f t="shared" si="151"/>
        <v>3.2333333333333334</v>
      </c>
      <c r="U104" s="217">
        <f t="shared" si="152"/>
        <v>2</v>
      </c>
      <c r="V104" s="213">
        <f t="shared" si="153"/>
        <v>0.92592592592592593</v>
      </c>
      <c r="W104" s="213">
        <f t="shared" si="154"/>
        <v>7.407407407407407E-2</v>
      </c>
      <c r="X104" s="213">
        <f t="shared" si="116"/>
        <v>0</v>
      </c>
      <c r="Y104" s="217">
        <f t="shared" ref="Y104:Y135" si="169">R104/(S104*EFF_est*V104)</f>
        <v>3.492</v>
      </c>
      <c r="Z104" s="213">
        <f t="shared" si="155"/>
        <v>3.0864197530864197</v>
      </c>
      <c r="AA104" s="213">
        <f t="shared" si="118"/>
        <v>5.0352098765432096</v>
      </c>
      <c r="AB104" s="218">
        <f t="shared" si="156"/>
        <v>3.4678278291744027</v>
      </c>
      <c r="AC104" s="217">
        <v>0</v>
      </c>
      <c r="AD104" s="213">
        <f t="shared" si="157"/>
        <v>13.82970433071592</v>
      </c>
      <c r="AE104" s="218">
        <f t="shared" si="119"/>
        <v>13.82970433071592</v>
      </c>
      <c r="AF104" s="58">
        <f t="shared" si="158"/>
        <v>0.97</v>
      </c>
      <c r="AG104" s="61">
        <f t="shared" si="159"/>
        <v>0.97</v>
      </c>
      <c r="AH104" s="58">
        <f t="shared" si="160"/>
        <v>2.8260700154071658</v>
      </c>
      <c r="AI104" s="49">
        <f t="shared" si="161"/>
        <v>4.4446639263585899E-2</v>
      </c>
      <c r="AJ104" s="61">
        <f t="shared" si="120"/>
        <v>2.8705166546707517</v>
      </c>
      <c r="AK104" s="217">
        <f t="shared" si="162"/>
        <v>48.5</v>
      </c>
      <c r="AL104" s="213">
        <f t="shared" si="107"/>
        <v>1500</v>
      </c>
      <c r="AM104" s="218">
        <f t="shared" ref="AM104:AM135" si="170">AK104/AL104</f>
        <v>3.2333333333333332E-2</v>
      </c>
      <c r="AN104" s="217">
        <f t="shared" ref="AN104:AN135" si="171">IF(((AL104*AO104)/(Fsw*$AO$2))/2&gt;AP104,1,2)</f>
        <v>2</v>
      </c>
      <c r="AO104" s="213">
        <f t="shared" ref="AO104:AO135" si="172">AM104/AP104</f>
        <v>7.407407407407407E-2</v>
      </c>
      <c r="AP104" s="213">
        <f t="shared" ref="AP104:AP135" si="173">Np*$Y104*AK104/(R104*NS1_)</f>
        <v>0.4365</v>
      </c>
      <c r="AQ104" s="213">
        <f t="shared" ref="AQ104:AQ135" si="174">(AL104*AO104)/(Fsw*$AO$2)</f>
        <v>0.38580246913580241</v>
      </c>
      <c r="AR104" s="213">
        <f t="shared" si="141"/>
        <v>0.6294012345679012</v>
      </c>
      <c r="AS104" s="218">
        <f t="shared" si="142"/>
        <v>0.12260622869983223</v>
      </c>
      <c r="AT104" s="217"/>
      <c r="AU104" s="213">
        <f t="shared" ref="AU104:AU135" si="175">(AM104^2)*Rdcr1</f>
        <v>2.8226999999999995E-2</v>
      </c>
      <c r="AV104" s="218">
        <f t="shared" si="143"/>
        <v>2.8226999999999995E-2</v>
      </c>
      <c r="AW104" s="217">
        <f t="shared" ref="AW104:AW135" si="176">(VOUT1+((NS1_/Np)*S104))*QRR1_*Fsw</f>
        <v>0</v>
      </c>
      <c r="AX104" s="213">
        <f t="shared" ref="AX104:AX135" si="177">AM104*VD1_</f>
        <v>3.7183333333333332E-2</v>
      </c>
      <c r="AY104" s="218">
        <f t="shared" si="144"/>
        <v>3.7183333333333332E-2</v>
      </c>
      <c r="AZ104" s="217">
        <f t="shared" si="163"/>
        <v>0</v>
      </c>
      <c r="BA104" s="213">
        <f t="shared" si="164"/>
        <v>0</v>
      </c>
      <c r="BB104" s="213">
        <f t="shared" si="145"/>
        <v>0</v>
      </c>
      <c r="BC104" s="61">
        <f t="shared" ref="BC104:BC135" si="178">IF(EN_OUT_2=1,AZ104/BA104,0)</f>
        <v>0</v>
      </c>
      <c r="BD104" s="58">
        <v>0</v>
      </c>
      <c r="BE104" s="49">
        <f t="shared" ref="BE104:BE135" si="179">(BB104^2)*Rdcr2</f>
        <v>0</v>
      </c>
      <c r="BF104" s="61">
        <f t="shared" si="146"/>
        <v>0</v>
      </c>
      <c r="BG104" s="58">
        <f t="shared" ref="BG104:BG135" si="180">(VOUT2+((NS2_/Np)*S104))*QRR2_*Fsw</f>
        <v>0</v>
      </c>
      <c r="BH104" s="49">
        <f t="shared" ref="BH104:BH135" si="181">BB104*VD2_</f>
        <v>0</v>
      </c>
      <c r="BI104" s="61">
        <f t="shared" ref="BI104:BI135" si="182">BH104+BG104</f>
        <v>0</v>
      </c>
      <c r="BK104" s="217">
        <f t="shared" si="165"/>
        <v>0</v>
      </c>
      <c r="BL104" s="213">
        <f t="shared" si="111"/>
        <v>0</v>
      </c>
      <c r="BM104" s="213">
        <f t="shared" si="166"/>
        <v>0</v>
      </c>
      <c r="BN104" s="61">
        <f t="shared" si="149"/>
        <v>0</v>
      </c>
      <c r="BO104" s="58">
        <v>0</v>
      </c>
      <c r="BP104" s="49">
        <f t="shared" ref="BP104:BP135" si="183">(BM104^2)*Rdcr3</f>
        <v>0</v>
      </c>
      <c r="BQ104" s="61">
        <f t="shared" si="147"/>
        <v>0</v>
      </c>
      <c r="BR104" s="58">
        <f t="shared" ref="BR104:BR135" si="184">(VOUT3+((NS3_/Np)*S104))*QRR3_*Fsw</f>
        <v>0</v>
      </c>
      <c r="BS104" s="49">
        <f t="shared" ref="BS104:BS135" si="185">BM104*VD3_</f>
        <v>0</v>
      </c>
      <c r="BT104" s="61">
        <f t="shared" si="148"/>
        <v>0</v>
      </c>
      <c r="BU104" s="58">
        <f t="shared" si="167"/>
        <v>4.8103319411185799E-2</v>
      </c>
      <c r="BV104" s="49">
        <f t="shared" si="114"/>
        <v>1.0800000000000002E-3</v>
      </c>
      <c r="BW104" s="61">
        <f t="shared" si="168"/>
        <v>6.7499999999999999E-3</v>
      </c>
      <c r="BX104" s="49">
        <f t="shared" si="138"/>
        <v>14.799704330715921</v>
      </c>
      <c r="BY104" s="49">
        <f t="shared" si="139"/>
        <v>18.76156463813119</v>
      </c>
      <c r="BZ104" s="49">
        <f t="shared" ref="BZ104:BZ135" si="186">(R104/(R104+BY104))*100</f>
        <v>72.106559312039721</v>
      </c>
    </row>
    <row r="105" spans="17:78" x14ac:dyDescent="0.4">
      <c r="Q105" s="49">
        <v>98</v>
      </c>
      <c r="R105" s="217">
        <f t="shared" si="150"/>
        <v>49</v>
      </c>
      <c r="S105" s="213">
        <f t="shared" si="94"/>
        <v>15</v>
      </c>
      <c r="T105" s="218">
        <f t="shared" si="151"/>
        <v>3.2666666666666666</v>
      </c>
      <c r="U105" s="217">
        <f t="shared" si="152"/>
        <v>2</v>
      </c>
      <c r="V105" s="213">
        <f t="shared" si="153"/>
        <v>0.92592592592592593</v>
      </c>
      <c r="W105" s="213">
        <f t="shared" si="154"/>
        <v>7.407407407407407E-2</v>
      </c>
      <c r="X105" s="213">
        <f t="shared" si="116"/>
        <v>0</v>
      </c>
      <c r="Y105" s="217">
        <f t="shared" si="169"/>
        <v>3.528</v>
      </c>
      <c r="Z105" s="213">
        <f t="shared" si="155"/>
        <v>3.0864197530864197</v>
      </c>
      <c r="AA105" s="213">
        <f t="shared" si="118"/>
        <v>5.0712098765432101</v>
      </c>
      <c r="AB105" s="218">
        <f t="shared" si="156"/>
        <v>3.5014039830897055</v>
      </c>
      <c r="AC105" s="217">
        <v>0</v>
      </c>
      <c r="AD105" s="213">
        <f t="shared" si="157"/>
        <v>14.098804330715923</v>
      </c>
      <c r="AE105" s="218">
        <f t="shared" si="119"/>
        <v>14.098804330715923</v>
      </c>
      <c r="AF105" s="58">
        <f t="shared" si="158"/>
        <v>0.98</v>
      </c>
      <c r="AG105" s="61">
        <f t="shared" si="159"/>
        <v>0.98</v>
      </c>
      <c r="AH105" s="58">
        <f t="shared" si="160"/>
        <v>2.8810600154071668</v>
      </c>
      <c r="AI105" s="49">
        <f t="shared" si="161"/>
        <v>4.4904852039499156E-2</v>
      </c>
      <c r="AJ105" s="61">
        <f t="shared" si="120"/>
        <v>2.9259648674466661</v>
      </c>
      <c r="AK105" s="217">
        <f t="shared" si="162"/>
        <v>49</v>
      </c>
      <c r="AL105" s="213">
        <f t="shared" si="107"/>
        <v>1500</v>
      </c>
      <c r="AM105" s="218">
        <f t="shared" si="170"/>
        <v>3.2666666666666663E-2</v>
      </c>
      <c r="AN105" s="217">
        <f t="shared" si="171"/>
        <v>2</v>
      </c>
      <c r="AO105" s="213">
        <f t="shared" si="172"/>
        <v>7.4074074074074056E-2</v>
      </c>
      <c r="AP105" s="213">
        <f t="shared" si="173"/>
        <v>0.44100000000000006</v>
      </c>
      <c r="AQ105" s="213">
        <f t="shared" si="174"/>
        <v>0.38580246913580241</v>
      </c>
      <c r="AR105" s="213">
        <f t="shared" si="141"/>
        <v>0.63390123456790126</v>
      </c>
      <c r="AS105" s="218">
        <f t="shared" si="142"/>
        <v>0.12379332500581591</v>
      </c>
      <c r="AT105" s="217"/>
      <c r="AU105" s="213">
        <f t="shared" si="175"/>
        <v>2.8811999999999994E-2</v>
      </c>
      <c r="AV105" s="218">
        <f t="shared" si="143"/>
        <v>2.8811999999999994E-2</v>
      </c>
      <c r="AW105" s="217">
        <f t="shared" si="176"/>
        <v>0</v>
      </c>
      <c r="AX105" s="213">
        <f t="shared" si="177"/>
        <v>3.7566666666666658E-2</v>
      </c>
      <c r="AY105" s="218">
        <f t="shared" si="144"/>
        <v>3.7566666666666658E-2</v>
      </c>
      <c r="AZ105" s="217">
        <f t="shared" si="163"/>
        <v>0</v>
      </c>
      <c r="BA105" s="213">
        <f t="shared" si="164"/>
        <v>0</v>
      </c>
      <c r="BB105" s="213">
        <f t="shared" si="145"/>
        <v>0</v>
      </c>
      <c r="BC105" s="61">
        <f t="shared" si="178"/>
        <v>0</v>
      </c>
      <c r="BD105" s="58">
        <v>0</v>
      </c>
      <c r="BE105" s="49">
        <f t="shared" si="179"/>
        <v>0</v>
      </c>
      <c r="BF105" s="61">
        <f t="shared" si="146"/>
        <v>0</v>
      </c>
      <c r="BG105" s="58">
        <f t="shared" si="180"/>
        <v>0</v>
      </c>
      <c r="BH105" s="49">
        <f t="shared" si="181"/>
        <v>0</v>
      </c>
      <c r="BI105" s="61">
        <f t="shared" si="182"/>
        <v>0</v>
      </c>
      <c r="BK105" s="217">
        <f t="shared" si="165"/>
        <v>0</v>
      </c>
      <c r="BL105" s="213">
        <f t="shared" si="111"/>
        <v>0</v>
      </c>
      <c r="BM105" s="213">
        <f t="shared" si="166"/>
        <v>0</v>
      </c>
      <c r="BN105" s="61">
        <f t="shared" si="149"/>
        <v>0</v>
      </c>
      <c r="BO105" s="58">
        <v>0</v>
      </c>
      <c r="BP105" s="49">
        <f t="shared" si="183"/>
        <v>0</v>
      </c>
      <c r="BQ105" s="61">
        <f t="shared" si="147"/>
        <v>0</v>
      </c>
      <c r="BR105" s="58">
        <f t="shared" si="184"/>
        <v>0</v>
      </c>
      <c r="BS105" s="49">
        <f t="shared" si="185"/>
        <v>0</v>
      </c>
      <c r="BT105" s="61">
        <f t="shared" si="148"/>
        <v>0</v>
      </c>
      <c r="BU105" s="58">
        <f t="shared" si="167"/>
        <v>4.9039319411185819E-2</v>
      </c>
      <c r="BV105" s="49">
        <f t="shared" si="114"/>
        <v>1.0800000000000002E-3</v>
      </c>
      <c r="BW105" s="61">
        <f t="shared" si="168"/>
        <v>6.7499999999999999E-3</v>
      </c>
      <c r="BX105" s="49">
        <f t="shared" si="138"/>
        <v>15.078804330715924</v>
      </c>
      <c r="BY105" s="49">
        <f t="shared" si="139"/>
        <v>19.108017184240442</v>
      </c>
      <c r="BZ105" s="49">
        <f t="shared" si="186"/>
        <v>71.944540489923625</v>
      </c>
    </row>
    <row r="106" spans="17:78" x14ac:dyDescent="0.4">
      <c r="Q106" s="49">
        <v>99</v>
      </c>
      <c r="R106" s="217">
        <f t="shared" si="150"/>
        <v>49.5</v>
      </c>
      <c r="S106" s="213">
        <f t="shared" si="94"/>
        <v>15</v>
      </c>
      <c r="T106" s="218">
        <f t="shared" si="151"/>
        <v>3.3</v>
      </c>
      <c r="U106" s="217">
        <f t="shared" si="152"/>
        <v>2</v>
      </c>
      <c r="V106" s="213">
        <f t="shared" si="153"/>
        <v>0.92592592592592593</v>
      </c>
      <c r="W106" s="213">
        <f t="shared" si="154"/>
        <v>7.407407407407407E-2</v>
      </c>
      <c r="X106" s="213">
        <f t="shared" si="116"/>
        <v>0</v>
      </c>
      <c r="Y106" s="217">
        <f t="shared" si="169"/>
        <v>3.5640000000000001</v>
      </c>
      <c r="Z106" s="213">
        <f t="shared" si="155"/>
        <v>3.0864197530864197</v>
      </c>
      <c r="AA106" s="213">
        <f t="shared" si="118"/>
        <v>5.1072098765432097</v>
      </c>
      <c r="AB106" s="218">
        <f t="shared" si="156"/>
        <v>3.5350006863926429</v>
      </c>
      <c r="AC106" s="217">
        <v>0</v>
      </c>
      <c r="AD106" s="213">
        <f t="shared" si="157"/>
        <v>14.370664330715927</v>
      </c>
      <c r="AE106" s="218">
        <f t="shared" si="119"/>
        <v>14.370664330715927</v>
      </c>
      <c r="AF106" s="58">
        <f t="shared" si="158"/>
        <v>0.99</v>
      </c>
      <c r="AG106" s="61">
        <f t="shared" si="159"/>
        <v>0.99</v>
      </c>
      <c r="AH106" s="58">
        <f t="shared" si="160"/>
        <v>2.9366140154071676</v>
      </c>
      <c r="AI106" s="49">
        <f t="shared" si="161"/>
        <v>4.5363064815412413E-2</v>
      </c>
      <c r="AJ106" s="61">
        <f t="shared" si="120"/>
        <v>2.9819770802225802</v>
      </c>
      <c r="AK106" s="217">
        <f t="shared" si="162"/>
        <v>49.5</v>
      </c>
      <c r="AL106" s="213">
        <f t="shared" si="107"/>
        <v>1500</v>
      </c>
      <c r="AM106" s="218">
        <f t="shared" si="170"/>
        <v>3.3000000000000002E-2</v>
      </c>
      <c r="AN106" s="217">
        <f t="shared" si="171"/>
        <v>2</v>
      </c>
      <c r="AO106" s="213">
        <f t="shared" si="172"/>
        <v>7.407407407407407E-2</v>
      </c>
      <c r="AP106" s="213">
        <f t="shared" si="173"/>
        <v>0.44550000000000001</v>
      </c>
      <c r="AQ106" s="213">
        <f t="shared" si="174"/>
        <v>0.38580246913580241</v>
      </c>
      <c r="AR106" s="213">
        <f t="shared" si="141"/>
        <v>0.63840123456790121</v>
      </c>
      <c r="AS106" s="218">
        <f t="shared" si="142"/>
        <v>0.12498114784236687</v>
      </c>
      <c r="AT106" s="217"/>
      <c r="AU106" s="213">
        <f t="shared" si="175"/>
        <v>2.9403000000000002E-2</v>
      </c>
      <c r="AV106" s="218">
        <f t="shared" si="143"/>
        <v>2.9403000000000002E-2</v>
      </c>
      <c r="AW106" s="217">
        <f t="shared" si="176"/>
        <v>0</v>
      </c>
      <c r="AX106" s="213">
        <f t="shared" si="177"/>
        <v>3.7949999999999998E-2</v>
      </c>
      <c r="AY106" s="218">
        <f t="shared" si="144"/>
        <v>3.7949999999999998E-2</v>
      </c>
      <c r="AZ106" s="217">
        <f t="shared" si="163"/>
        <v>0</v>
      </c>
      <c r="BA106" s="213">
        <f t="shared" si="164"/>
        <v>0</v>
      </c>
      <c r="BB106" s="213">
        <f t="shared" si="145"/>
        <v>0</v>
      </c>
      <c r="BC106" s="61">
        <f t="shared" si="178"/>
        <v>0</v>
      </c>
      <c r="BD106" s="58">
        <v>0</v>
      </c>
      <c r="BE106" s="49">
        <f t="shared" si="179"/>
        <v>0</v>
      </c>
      <c r="BF106" s="61">
        <f t="shared" si="146"/>
        <v>0</v>
      </c>
      <c r="BG106" s="58">
        <f t="shared" si="180"/>
        <v>0</v>
      </c>
      <c r="BH106" s="49">
        <f t="shared" si="181"/>
        <v>0</v>
      </c>
      <c r="BI106" s="61">
        <f t="shared" si="182"/>
        <v>0</v>
      </c>
      <c r="BK106" s="217">
        <f t="shared" si="165"/>
        <v>0</v>
      </c>
      <c r="BL106" s="213">
        <f t="shared" si="111"/>
        <v>0</v>
      </c>
      <c r="BM106" s="213">
        <f t="shared" si="166"/>
        <v>0</v>
      </c>
      <c r="BN106" s="61">
        <f t="shared" si="149"/>
        <v>0</v>
      </c>
      <c r="BO106" s="58">
        <v>0</v>
      </c>
      <c r="BP106" s="49">
        <f t="shared" si="183"/>
        <v>0</v>
      </c>
      <c r="BQ106" s="61">
        <f t="shared" si="147"/>
        <v>0</v>
      </c>
      <c r="BR106" s="58">
        <f t="shared" si="184"/>
        <v>0</v>
      </c>
      <c r="BS106" s="49">
        <f t="shared" si="185"/>
        <v>0</v>
      </c>
      <c r="BT106" s="61">
        <f t="shared" si="148"/>
        <v>0</v>
      </c>
      <c r="BU106" s="58">
        <f t="shared" si="167"/>
        <v>4.9984919411185831E-2</v>
      </c>
      <c r="BV106" s="49">
        <f t="shared" si="114"/>
        <v>1.0800000000000002E-3</v>
      </c>
      <c r="BW106" s="61">
        <f t="shared" si="168"/>
        <v>6.7499999999999999E-3</v>
      </c>
      <c r="BX106" s="49">
        <f t="shared" si="138"/>
        <v>15.360664330715927</v>
      </c>
      <c r="BY106" s="49">
        <f t="shared" si="139"/>
        <v>19.457809330349694</v>
      </c>
      <c r="BZ106" s="49">
        <f t="shared" si="186"/>
        <v>71.78302280872208</v>
      </c>
    </row>
    <row r="107" spans="17:78" x14ac:dyDescent="0.4">
      <c r="Q107" s="49">
        <v>100</v>
      </c>
      <c r="R107" s="217">
        <f t="shared" si="150"/>
        <v>50</v>
      </c>
      <c r="S107" s="213">
        <f t="shared" si="94"/>
        <v>15</v>
      </c>
      <c r="T107" s="218">
        <f t="shared" si="151"/>
        <v>3.3333333333333335</v>
      </c>
      <c r="U107" s="217">
        <f t="shared" si="152"/>
        <v>2</v>
      </c>
      <c r="V107" s="213">
        <f t="shared" si="153"/>
        <v>0.92592592592592593</v>
      </c>
      <c r="W107" s="213">
        <f t="shared" si="154"/>
        <v>7.407407407407407E-2</v>
      </c>
      <c r="X107" s="213">
        <f t="shared" si="116"/>
        <v>0</v>
      </c>
      <c r="Y107" s="217">
        <f t="shared" si="169"/>
        <v>3.6</v>
      </c>
      <c r="Z107" s="213">
        <f t="shared" si="155"/>
        <v>3.0864197530864197</v>
      </c>
      <c r="AA107" s="213">
        <f t="shared" si="118"/>
        <v>5.1432098765432102</v>
      </c>
      <c r="AB107" s="218">
        <f t="shared" si="156"/>
        <v>3.5686173586974066</v>
      </c>
      <c r="AC107" s="217">
        <v>0</v>
      </c>
      <c r="AD107" s="213">
        <f t="shared" si="157"/>
        <v>14.645284330715924</v>
      </c>
      <c r="AE107" s="218">
        <f t="shared" si="119"/>
        <v>14.645284330715924</v>
      </c>
      <c r="AF107" s="58">
        <f t="shared" si="158"/>
        <v>1</v>
      </c>
      <c r="AG107" s="61">
        <f t="shared" si="159"/>
        <v>1</v>
      </c>
      <c r="AH107" s="58">
        <f t="shared" si="160"/>
        <v>2.9927320154071668</v>
      </c>
      <c r="AI107" s="49">
        <f t="shared" si="161"/>
        <v>4.582127759132567E-2</v>
      </c>
      <c r="AJ107" s="61">
        <f t="shared" si="120"/>
        <v>3.0385532929984924</v>
      </c>
      <c r="AK107" s="217">
        <f t="shared" si="162"/>
        <v>50</v>
      </c>
      <c r="AL107" s="213">
        <f t="shared" si="107"/>
        <v>1500</v>
      </c>
      <c r="AM107" s="218">
        <f t="shared" si="170"/>
        <v>3.3333333333333333E-2</v>
      </c>
      <c r="AN107" s="217">
        <f t="shared" si="171"/>
        <v>2</v>
      </c>
      <c r="AO107" s="213">
        <f t="shared" si="172"/>
        <v>7.407407407407407E-2</v>
      </c>
      <c r="AP107" s="213">
        <f t="shared" si="173"/>
        <v>0.45</v>
      </c>
      <c r="AQ107" s="213">
        <f t="shared" si="174"/>
        <v>0.38580246913580241</v>
      </c>
      <c r="AR107" s="213">
        <f t="shared" si="141"/>
        <v>0.64290123456790127</v>
      </c>
      <c r="AS107" s="218">
        <f t="shared" si="142"/>
        <v>0.1261696766897481</v>
      </c>
      <c r="AT107" s="217"/>
      <c r="AU107" s="213">
        <f t="shared" si="175"/>
        <v>0.03</v>
      </c>
      <c r="AV107" s="218">
        <f t="shared" si="143"/>
        <v>0.03</v>
      </c>
      <c r="AW107" s="217">
        <f t="shared" si="176"/>
        <v>0</v>
      </c>
      <c r="AX107" s="213">
        <f t="shared" si="177"/>
        <v>3.833333333333333E-2</v>
      </c>
      <c r="AY107" s="218">
        <f t="shared" si="144"/>
        <v>3.833333333333333E-2</v>
      </c>
      <c r="AZ107" s="217">
        <f t="shared" si="163"/>
        <v>0</v>
      </c>
      <c r="BA107" s="213">
        <f t="shared" si="164"/>
        <v>0</v>
      </c>
      <c r="BB107" s="213">
        <f t="shared" si="145"/>
        <v>0</v>
      </c>
      <c r="BC107" s="61">
        <f t="shared" si="178"/>
        <v>0</v>
      </c>
      <c r="BD107" s="58">
        <v>0</v>
      </c>
      <c r="BE107" s="49">
        <f t="shared" si="179"/>
        <v>0</v>
      </c>
      <c r="BF107" s="61">
        <f t="shared" si="146"/>
        <v>0</v>
      </c>
      <c r="BG107" s="58">
        <f t="shared" si="180"/>
        <v>0</v>
      </c>
      <c r="BH107" s="49">
        <f t="shared" si="181"/>
        <v>0</v>
      </c>
      <c r="BI107" s="61">
        <f t="shared" si="182"/>
        <v>0</v>
      </c>
      <c r="BK107" s="217">
        <f t="shared" si="165"/>
        <v>0</v>
      </c>
      <c r="BL107" s="213">
        <f t="shared" si="111"/>
        <v>0</v>
      </c>
      <c r="BM107" s="213">
        <f t="shared" si="166"/>
        <v>0</v>
      </c>
      <c r="BN107" s="61">
        <f t="shared" si="149"/>
        <v>0</v>
      </c>
      <c r="BO107" s="58">
        <v>0</v>
      </c>
      <c r="BP107" s="49">
        <f t="shared" si="183"/>
        <v>0</v>
      </c>
      <c r="BQ107" s="61">
        <f t="shared" si="147"/>
        <v>0</v>
      </c>
      <c r="BR107" s="58">
        <f t="shared" si="184"/>
        <v>0</v>
      </c>
      <c r="BS107" s="49">
        <f t="shared" si="185"/>
        <v>0</v>
      </c>
      <c r="BT107" s="61">
        <f t="shared" si="148"/>
        <v>0</v>
      </c>
      <c r="BU107" s="58">
        <f t="shared" si="167"/>
        <v>5.094011941118582E-2</v>
      </c>
      <c r="BV107" s="49">
        <f t="shared" si="114"/>
        <v>1.0800000000000002E-3</v>
      </c>
      <c r="BW107" s="61">
        <f t="shared" si="168"/>
        <v>6.7499999999999999E-3</v>
      </c>
      <c r="BX107" s="49">
        <f t="shared" si="138"/>
        <v>15.645284330715924</v>
      </c>
      <c r="BY107" s="49">
        <f t="shared" si="139"/>
        <v>19.810941076458935</v>
      </c>
      <c r="BZ107" s="49">
        <f t="shared" si="186"/>
        <v>71.62201114756293</v>
      </c>
    </row>
    <row r="108" spans="17:78" x14ac:dyDescent="0.4">
      <c r="Q108" s="49">
        <v>101</v>
      </c>
      <c r="R108" s="217">
        <f t="shared" si="150"/>
        <v>50.5</v>
      </c>
      <c r="S108" s="213">
        <f t="shared" si="94"/>
        <v>15</v>
      </c>
      <c r="T108" s="218">
        <f t="shared" si="151"/>
        <v>3.3666666666666667</v>
      </c>
      <c r="U108" s="217">
        <f t="shared" si="152"/>
        <v>2</v>
      </c>
      <c r="V108" s="213">
        <f t="shared" si="153"/>
        <v>0.92592592592592593</v>
      </c>
      <c r="W108" s="213">
        <f t="shared" si="154"/>
        <v>7.407407407407407E-2</v>
      </c>
      <c r="X108" s="213">
        <f t="shared" si="116"/>
        <v>0</v>
      </c>
      <c r="Y108" s="217">
        <f t="shared" si="169"/>
        <v>3.6359999999999997</v>
      </c>
      <c r="Z108" s="213">
        <f t="shared" si="155"/>
        <v>3.0864197530864197</v>
      </c>
      <c r="AA108" s="213">
        <f t="shared" si="118"/>
        <v>5.1792098765432097</v>
      </c>
      <c r="AB108" s="218">
        <f t="shared" si="156"/>
        <v>3.6022534409444948</v>
      </c>
      <c r="AC108" s="217">
        <v>0</v>
      </c>
      <c r="AD108" s="213">
        <f t="shared" si="157"/>
        <v>14.922664330715923</v>
      </c>
      <c r="AE108" s="218">
        <f t="shared" si="119"/>
        <v>14.922664330715923</v>
      </c>
      <c r="AF108" s="58">
        <f t="shared" si="158"/>
        <v>1.01</v>
      </c>
      <c r="AG108" s="61">
        <f t="shared" si="159"/>
        <v>1.01</v>
      </c>
      <c r="AH108" s="58">
        <f t="shared" si="160"/>
        <v>3.0494140154071667</v>
      </c>
      <c r="AI108" s="49">
        <f t="shared" si="161"/>
        <v>4.6279490367238926E-2</v>
      </c>
      <c r="AJ108" s="61">
        <f t="shared" si="120"/>
        <v>3.0956935057744057</v>
      </c>
      <c r="AK108" s="217">
        <f t="shared" si="162"/>
        <v>50.5</v>
      </c>
      <c r="AL108" s="213">
        <f t="shared" si="107"/>
        <v>1500</v>
      </c>
      <c r="AM108" s="218">
        <f t="shared" si="170"/>
        <v>3.3666666666666664E-2</v>
      </c>
      <c r="AN108" s="217">
        <f t="shared" si="171"/>
        <v>2</v>
      </c>
      <c r="AO108" s="213">
        <f t="shared" si="172"/>
        <v>7.407407407407407E-2</v>
      </c>
      <c r="AP108" s="213">
        <f t="shared" si="173"/>
        <v>0.45450000000000002</v>
      </c>
      <c r="AQ108" s="213">
        <f t="shared" si="174"/>
        <v>0.38580246913580241</v>
      </c>
      <c r="AR108" s="213">
        <f t="shared" si="141"/>
        <v>0.64740123456790122</v>
      </c>
      <c r="AS108" s="218">
        <f t="shared" si="142"/>
        <v>0.12735889178222135</v>
      </c>
      <c r="AT108" s="217"/>
      <c r="AU108" s="213">
        <f t="shared" si="175"/>
        <v>3.0602999999999995E-2</v>
      </c>
      <c r="AV108" s="218">
        <f t="shared" si="143"/>
        <v>3.0602999999999995E-2</v>
      </c>
      <c r="AW108" s="217">
        <f t="shared" si="176"/>
        <v>0</v>
      </c>
      <c r="AX108" s="213">
        <f t="shared" si="177"/>
        <v>3.8716666666666663E-2</v>
      </c>
      <c r="AY108" s="218">
        <f t="shared" si="144"/>
        <v>3.8716666666666663E-2</v>
      </c>
      <c r="AZ108" s="217">
        <f t="shared" si="163"/>
        <v>0</v>
      </c>
      <c r="BA108" s="213">
        <f t="shared" si="164"/>
        <v>0</v>
      </c>
      <c r="BB108" s="213">
        <f t="shared" si="145"/>
        <v>0</v>
      </c>
      <c r="BC108" s="61">
        <f t="shared" si="178"/>
        <v>0</v>
      </c>
      <c r="BD108" s="58">
        <v>0</v>
      </c>
      <c r="BE108" s="49">
        <f t="shared" si="179"/>
        <v>0</v>
      </c>
      <c r="BF108" s="61">
        <f t="shared" si="146"/>
        <v>0</v>
      </c>
      <c r="BG108" s="58">
        <f t="shared" si="180"/>
        <v>0</v>
      </c>
      <c r="BH108" s="49">
        <f t="shared" si="181"/>
        <v>0</v>
      </c>
      <c r="BI108" s="61">
        <f t="shared" si="182"/>
        <v>0</v>
      </c>
      <c r="BK108" s="217">
        <f t="shared" si="165"/>
        <v>0</v>
      </c>
      <c r="BL108" s="213">
        <f t="shared" si="111"/>
        <v>0</v>
      </c>
      <c r="BM108" s="213">
        <f t="shared" si="166"/>
        <v>0</v>
      </c>
      <c r="BN108" s="61">
        <f t="shared" si="149"/>
        <v>0</v>
      </c>
      <c r="BO108" s="58">
        <v>0</v>
      </c>
      <c r="BP108" s="49">
        <f t="shared" si="183"/>
        <v>0</v>
      </c>
      <c r="BQ108" s="61">
        <f t="shared" si="147"/>
        <v>0</v>
      </c>
      <c r="BR108" s="58">
        <f t="shared" si="184"/>
        <v>0</v>
      </c>
      <c r="BS108" s="49">
        <f t="shared" si="185"/>
        <v>0</v>
      </c>
      <c r="BT108" s="61">
        <f t="shared" si="148"/>
        <v>0</v>
      </c>
      <c r="BU108" s="58">
        <f t="shared" si="167"/>
        <v>5.1904919411185815E-2</v>
      </c>
      <c r="BV108" s="49">
        <f t="shared" si="114"/>
        <v>1.0800000000000002E-3</v>
      </c>
      <c r="BW108" s="61">
        <f t="shared" si="168"/>
        <v>6.7499999999999999E-3</v>
      </c>
      <c r="BX108" s="49">
        <f t="shared" si="138"/>
        <v>15.932664330715923</v>
      </c>
      <c r="BY108" s="49">
        <f t="shared" si="139"/>
        <v>20.167412422568184</v>
      </c>
      <c r="BZ108" s="49">
        <f t="shared" si="186"/>
        <v>71.461510006941225</v>
      </c>
    </row>
    <row r="109" spans="17:78" x14ac:dyDescent="0.4">
      <c r="Q109" s="49">
        <v>102</v>
      </c>
      <c r="R109" s="217">
        <f t="shared" si="150"/>
        <v>51</v>
      </c>
      <c r="S109" s="213">
        <f t="shared" si="94"/>
        <v>15</v>
      </c>
      <c r="T109" s="218">
        <f t="shared" si="151"/>
        <v>3.4</v>
      </c>
      <c r="U109" s="217">
        <f t="shared" si="152"/>
        <v>2</v>
      </c>
      <c r="V109" s="213">
        <f t="shared" si="153"/>
        <v>0.92592592592592593</v>
      </c>
      <c r="W109" s="213">
        <f t="shared" si="154"/>
        <v>7.407407407407407E-2</v>
      </c>
      <c r="X109" s="213">
        <f t="shared" si="116"/>
        <v>0</v>
      </c>
      <c r="Y109" s="217">
        <f t="shared" si="169"/>
        <v>3.6719999999999997</v>
      </c>
      <c r="Z109" s="213">
        <f t="shared" si="155"/>
        <v>3.0864197530864197</v>
      </c>
      <c r="AA109" s="213">
        <f t="shared" si="118"/>
        <v>5.2152098765432093</v>
      </c>
      <c r="AB109" s="218">
        <f t="shared" si="156"/>
        <v>3.635908394445114</v>
      </c>
      <c r="AC109" s="217">
        <v>0</v>
      </c>
      <c r="AD109" s="213">
        <f t="shared" si="157"/>
        <v>15.202804330715916</v>
      </c>
      <c r="AE109" s="218">
        <f t="shared" si="119"/>
        <v>15.202804330715916</v>
      </c>
      <c r="AF109" s="58">
        <f t="shared" si="158"/>
        <v>1.02</v>
      </c>
      <c r="AG109" s="61">
        <f t="shared" si="159"/>
        <v>1.02</v>
      </c>
      <c r="AH109" s="58">
        <f t="shared" si="160"/>
        <v>3.1066600154071655</v>
      </c>
      <c r="AI109" s="49">
        <f t="shared" si="161"/>
        <v>4.6737703143152183E-2</v>
      </c>
      <c r="AJ109" s="61">
        <f t="shared" si="120"/>
        <v>3.1533977185503179</v>
      </c>
      <c r="AK109" s="217">
        <f t="shared" si="162"/>
        <v>51</v>
      </c>
      <c r="AL109" s="213">
        <f t="shared" si="107"/>
        <v>1500</v>
      </c>
      <c r="AM109" s="218">
        <f t="shared" si="170"/>
        <v>3.4000000000000002E-2</v>
      </c>
      <c r="AN109" s="217">
        <f t="shared" si="171"/>
        <v>2</v>
      </c>
      <c r="AO109" s="213">
        <f t="shared" si="172"/>
        <v>7.4074074074074084E-2</v>
      </c>
      <c r="AP109" s="213">
        <f t="shared" si="173"/>
        <v>0.45899999999999996</v>
      </c>
      <c r="AQ109" s="213">
        <f t="shared" si="174"/>
        <v>0.38580246913580252</v>
      </c>
      <c r="AR109" s="213">
        <f t="shared" si="141"/>
        <v>0.65190123456790117</v>
      </c>
      <c r="AS109" s="218">
        <f t="shared" si="142"/>
        <v>0.12854877407426166</v>
      </c>
      <c r="AT109" s="217"/>
      <c r="AU109" s="213">
        <f t="shared" si="175"/>
        <v>3.1212000000000004E-2</v>
      </c>
      <c r="AV109" s="218">
        <f t="shared" si="143"/>
        <v>3.1212000000000004E-2</v>
      </c>
      <c r="AW109" s="217">
        <f t="shared" si="176"/>
        <v>0</v>
      </c>
      <c r="AX109" s="213">
        <f t="shared" si="177"/>
        <v>3.9100000000000003E-2</v>
      </c>
      <c r="AY109" s="218">
        <f t="shared" si="144"/>
        <v>3.9100000000000003E-2</v>
      </c>
      <c r="AZ109" s="217">
        <f t="shared" si="163"/>
        <v>0</v>
      </c>
      <c r="BA109" s="213">
        <f t="shared" si="164"/>
        <v>0</v>
      </c>
      <c r="BB109" s="213">
        <f t="shared" si="145"/>
        <v>0</v>
      </c>
      <c r="BC109" s="61">
        <f t="shared" si="178"/>
        <v>0</v>
      </c>
      <c r="BD109" s="58">
        <v>0</v>
      </c>
      <c r="BE109" s="49">
        <f t="shared" si="179"/>
        <v>0</v>
      </c>
      <c r="BF109" s="61">
        <f t="shared" si="146"/>
        <v>0</v>
      </c>
      <c r="BG109" s="58">
        <f t="shared" si="180"/>
        <v>0</v>
      </c>
      <c r="BH109" s="49">
        <f t="shared" si="181"/>
        <v>0</v>
      </c>
      <c r="BI109" s="61">
        <f t="shared" si="182"/>
        <v>0</v>
      </c>
      <c r="BK109" s="217">
        <f t="shared" si="165"/>
        <v>0</v>
      </c>
      <c r="BL109" s="213">
        <f t="shared" si="111"/>
        <v>0</v>
      </c>
      <c r="BM109" s="213">
        <f t="shared" si="166"/>
        <v>0</v>
      </c>
      <c r="BN109" s="61">
        <f t="shared" si="149"/>
        <v>0</v>
      </c>
      <c r="BO109" s="58">
        <v>0</v>
      </c>
      <c r="BP109" s="49">
        <f t="shared" si="183"/>
        <v>0</v>
      </c>
      <c r="BQ109" s="61">
        <f t="shared" si="147"/>
        <v>0</v>
      </c>
      <c r="BR109" s="58">
        <f t="shared" si="184"/>
        <v>0</v>
      </c>
      <c r="BS109" s="49">
        <f t="shared" si="185"/>
        <v>0</v>
      </c>
      <c r="BT109" s="61">
        <f t="shared" si="148"/>
        <v>0</v>
      </c>
      <c r="BU109" s="58">
        <f t="shared" si="167"/>
        <v>5.2879319411185788E-2</v>
      </c>
      <c r="BV109" s="49">
        <f t="shared" si="114"/>
        <v>1.0800000000000002E-3</v>
      </c>
      <c r="BW109" s="61">
        <f t="shared" si="168"/>
        <v>6.7499999999999999E-3</v>
      </c>
      <c r="BX109" s="49">
        <f t="shared" si="138"/>
        <v>16.222804330715917</v>
      </c>
      <c r="BY109" s="49">
        <f t="shared" si="139"/>
        <v>20.527223368677419</v>
      </c>
      <c r="BZ109" s="49">
        <f t="shared" si="186"/>
        <v>71.301523529198647</v>
      </c>
    </row>
    <row r="110" spans="17:78" x14ac:dyDescent="0.4">
      <c r="Q110" s="49">
        <v>103</v>
      </c>
      <c r="R110" s="217">
        <f t="shared" si="150"/>
        <v>51.5</v>
      </c>
      <c r="S110" s="213">
        <f t="shared" si="94"/>
        <v>15</v>
      </c>
      <c r="T110" s="218">
        <f t="shared" si="151"/>
        <v>3.4333333333333331</v>
      </c>
      <c r="U110" s="217">
        <f t="shared" si="152"/>
        <v>2</v>
      </c>
      <c r="V110" s="213">
        <f t="shared" si="153"/>
        <v>0.92592592592592593</v>
      </c>
      <c r="W110" s="213">
        <f t="shared" si="154"/>
        <v>7.407407407407407E-2</v>
      </c>
      <c r="X110" s="213">
        <f t="shared" si="116"/>
        <v>0</v>
      </c>
      <c r="Y110" s="217">
        <f t="shared" si="169"/>
        <v>3.7079999999999997</v>
      </c>
      <c r="Z110" s="213">
        <f t="shared" si="155"/>
        <v>3.0864197530864197</v>
      </c>
      <c r="AA110" s="213">
        <f t="shared" si="118"/>
        <v>5.2512098765432098</v>
      </c>
      <c r="AB110" s="218">
        <f t="shared" si="156"/>
        <v>3.6695816999756872</v>
      </c>
      <c r="AC110" s="217">
        <v>0</v>
      </c>
      <c r="AD110" s="213">
        <f t="shared" si="157"/>
        <v>15.485704330715926</v>
      </c>
      <c r="AE110" s="218">
        <f t="shared" si="119"/>
        <v>15.485704330715926</v>
      </c>
      <c r="AF110" s="58">
        <f t="shared" si="158"/>
        <v>1.03</v>
      </c>
      <c r="AG110" s="61">
        <f t="shared" si="159"/>
        <v>1.03</v>
      </c>
      <c r="AH110" s="58">
        <f t="shared" si="160"/>
        <v>3.1644700154071672</v>
      </c>
      <c r="AI110" s="49">
        <f t="shared" si="161"/>
        <v>4.7195915919065433E-2</v>
      </c>
      <c r="AJ110" s="61">
        <f t="shared" si="120"/>
        <v>3.2116659313262326</v>
      </c>
      <c r="AK110" s="217">
        <f t="shared" si="162"/>
        <v>51.5</v>
      </c>
      <c r="AL110" s="213">
        <f t="shared" si="107"/>
        <v>1500</v>
      </c>
      <c r="AM110" s="218">
        <f t="shared" si="170"/>
        <v>3.4333333333333334E-2</v>
      </c>
      <c r="AN110" s="217">
        <f t="shared" si="171"/>
        <v>2</v>
      </c>
      <c r="AO110" s="213">
        <f t="shared" si="172"/>
        <v>7.4074074074074084E-2</v>
      </c>
      <c r="AP110" s="213">
        <f t="shared" si="173"/>
        <v>0.46349999999999997</v>
      </c>
      <c r="AQ110" s="213">
        <f t="shared" si="174"/>
        <v>0.38580246913580252</v>
      </c>
      <c r="AR110" s="213">
        <f t="shared" si="141"/>
        <v>0.65640123456790123</v>
      </c>
      <c r="AS110" s="218">
        <f t="shared" si="142"/>
        <v>0.12973930520854338</v>
      </c>
      <c r="AT110" s="217"/>
      <c r="AU110" s="213">
        <f t="shared" si="175"/>
        <v>3.1827000000000001E-2</v>
      </c>
      <c r="AV110" s="218">
        <f t="shared" si="143"/>
        <v>3.1827000000000001E-2</v>
      </c>
      <c r="AW110" s="217">
        <f t="shared" si="176"/>
        <v>0</v>
      </c>
      <c r="AX110" s="213">
        <f t="shared" si="177"/>
        <v>3.9483333333333329E-2</v>
      </c>
      <c r="AY110" s="218">
        <f t="shared" si="144"/>
        <v>3.9483333333333329E-2</v>
      </c>
      <c r="AZ110" s="217">
        <f t="shared" si="163"/>
        <v>0</v>
      </c>
      <c r="BA110" s="213">
        <f t="shared" si="164"/>
        <v>0</v>
      </c>
      <c r="BB110" s="213">
        <f t="shared" si="145"/>
        <v>0</v>
      </c>
      <c r="BC110" s="61">
        <f t="shared" si="178"/>
        <v>0</v>
      </c>
      <c r="BD110" s="58">
        <v>0</v>
      </c>
      <c r="BE110" s="49">
        <f t="shared" si="179"/>
        <v>0</v>
      </c>
      <c r="BF110" s="61">
        <f t="shared" si="146"/>
        <v>0</v>
      </c>
      <c r="BG110" s="58">
        <f t="shared" si="180"/>
        <v>0</v>
      </c>
      <c r="BH110" s="49">
        <f t="shared" si="181"/>
        <v>0</v>
      </c>
      <c r="BI110" s="61">
        <f t="shared" si="182"/>
        <v>0</v>
      </c>
      <c r="BK110" s="217">
        <f t="shared" si="165"/>
        <v>0</v>
      </c>
      <c r="BL110" s="213">
        <f t="shared" si="111"/>
        <v>0</v>
      </c>
      <c r="BM110" s="213">
        <f t="shared" si="166"/>
        <v>0</v>
      </c>
      <c r="BN110" s="61">
        <f t="shared" si="149"/>
        <v>0</v>
      </c>
      <c r="BO110" s="58">
        <v>0</v>
      </c>
      <c r="BP110" s="49">
        <f t="shared" si="183"/>
        <v>0</v>
      </c>
      <c r="BQ110" s="61">
        <f t="shared" si="147"/>
        <v>0</v>
      </c>
      <c r="BR110" s="58">
        <f t="shared" si="184"/>
        <v>0</v>
      </c>
      <c r="BS110" s="49">
        <f t="shared" si="185"/>
        <v>0</v>
      </c>
      <c r="BT110" s="61">
        <f t="shared" si="148"/>
        <v>0</v>
      </c>
      <c r="BU110" s="58">
        <f t="shared" si="167"/>
        <v>5.3863319411185821E-2</v>
      </c>
      <c r="BV110" s="49">
        <f t="shared" si="114"/>
        <v>1.0800000000000002E-3</v>
      </c>
      <c r="BW110" s="61">
        <f t="shared" si="168"/>
        <v>6.7499999999999999E-3</v>
      </c>
      <c r="BX110" s="49">
        <f t="shared" si="138"/>
        <v>16.515704330715927</v>
      </c>
      <c r="BY110" s="49">
        <f t="shared" si="139"/>
        <v>20.890373914786679</v>
      </c>
      <c r="BZ110" s="49">
        <f t="shared" si="186"/>
        <v>71.142055517799236</v>
      </c>
    </row>
    <row r="111" spans="17:78" x14ac:dyDescent="0.4">
      <c r="Q111" s="49">
        <v>104</v>
      </c>
      <c r="R111" s="217">
        <f t="shared" si="150"/>
        <v>52</v>
      </c>
      <c r="S111" s="213">
        <f t="shared" si="94"/>
        <v>15</v>
      </c>
      <c r="T111" s="218">
        <f t="shared" si="151"/>
        <v>3.4666666666666668</v>
      </c>
      <c r="U111" s="217">
        <f t="shared" si="152"/>
        <v>2</v>
      </c>
      <c r="V111" s="213">
        <f t="shared" si="153"/>
        <v>0.92592592592592593</v>
      </c>
      <c r="W111" s="213">
        <f t="shared" si="154"/>
        <v>7.407407407407407E-2</v>
      </c>
      <c r="X111" s="213">
        <f t="shared" si="116"/>
        <v>0</v>
      </c>
      <c r="Y111" s="217">
        <f t="shared" si="169"/>
        <v>3.7439999999999998</v>
      </c>
      <c r="Z111" s="213">
        <f t="shared" si="155"/>
        <v>3.0864197530864197</v>
      </c>
      <c r="AA111" s="213">
        <f t="shared" si="118"/>
        <v>5.2872098765432094</v>
      </c>
      <c r="AB111" s="218">
        <f t="shared" si="156"/>
        <v>3.7032728569194648</v>
      </c>
      <c r="AC111" s="217">
        <v>0</v>
      </c>
      <c r="AD111" s="213">
        <f t="shared" si="157"/>
        <v>15.771364330715926</v>
      </c>
      <c r="AE111" s="218">
        <f t="shared" si="119"/>
        <v>15.771364330715926</v>
      </c>
      <c r="AF111" s="58">
        <f t="shared" si="158"/>
        <v>1.04</v>
      </c>
      <c r="AG111" s="61">
        <f t="shared" si="159"/>
        <v>1.04</v>
      </c>
      <c r="AH111" s="58">
        <f t="shared" si="160"/>
        <v>3.2228440154071674</v>
      </c>
      <c r="AI111" s="49">
        <f t="shared" si="161"/>
        <v>4.7654128694978697E-2</v>
      </c>
      <c r="AJ111" s="61">
        <f t="shared" si="120"/>
        <v>3.2704981441021461</v>
      </c>
      <c r="AK111" s="217">
        <f t="shared" si="162"/>
        <v>52</v>
      </c>
      <c r="AL111" s="213">
        <f t="shared" si="107"/>
        <v>1500</v>
      </c>
      <c r="AM111" s="218">
        <f t="shared" si="170"/>
        <v>3.4666666666666665E-2</v>
      </c>
      <c r="AN111" s="217">
        <f t="shared" si="171"/>
        <v>2</v>
      </c>
      <c r="AO111" s="213">
        <f t="shared" si="172"/>
        <v>7.407407407407407E-2</v>
      </c>
      <c r="AP111" s="213">
        <f t="shared" si="173"/>
        <v>0.46799999999999997</v>
      </c>
      <c r="AQ111" s="213">
        <f t="shared" si="174"/>
        <v>0.38580246913580241</v>
      </c>
      <c r="AR111" s="213">
        <f t="shared" si="141"/>
        <v>0.66090123456790117</v>
      </c>
      <c r="AS111" s="218">
        <f t="shared" si="142"/>
        <v>0.13093046748559162</v>
      </c>
      <c r="AT111" s="217"/>
      <c r="AU111" s="213">
        <f t="shared" si="175"/>
        <v>3.2447999999999998E-2</v>
      </c>
      <c r="AV111" s="218">
        <f t="shared" si="143"/>
        <v>3.2447999999999998E-2</v>
      </c>
      <c r="AW111" s="217">
        <f t="shared" si="176"/>
        <v>0</v>
      </c>
      <c r="AX111" s="213">
        <f t="shared" si="177"/>
        <v>3.9866666666666661E-2</v>
      </c>
      <c r="AY111" s="218">
        <f t="shared" si="144"/>
        <v>3.9866666666666661E-2</v>
      </c>
      <c r="AZ111" s="217">
        <f t="shared" si="163"/>
        <v>0</v>
      </c>
      <c r="BA111" s="213">
        <f t="shared" si="164"/>
        <v>0</v>
      </c>
      <c r="BB111" s="213">
        <f t="shared" si="145"/>
        <v>0</v>
      </c>
      <c r="BC111" s="61">
        <f t="shared" si="178"/>
        <v>0</v>
      </c>
      <c r="BD111" s="58">
        <v>0</v>
      </c>
      <c r="BE111" s="49">
        <f t="shared" si="179"/>
        <v>0</v>
      </c>
      <c r="BF111" s="61">
        <f t="shared" si="146"/>
        <v>0</v>
      </c>
      <c r="BG111" s="58">
        <f t="shared" si="180"/>
        <v>0</v>
      </c>
      <c r="BH111" s="49">
        <f t="shared" si="181"/>
        <v>0</v>
      </c>
      <c r="BI111" s="61">
        <f t="shared" si="182"/>
        <v>0</v>
      </c>
      <c r="BK111" s="217">
        <f t="shared" si="165"/>
        <v>0</v>
      </c>
      <c r="BL111" s="213">
        <f t="shared" si="111"/>
        <v>0</v>
      </c>
      <c r="BM111" s="213">
        <f t="shared" si="166"/>
        <v>0</v>
      </c>
      <c r="BN111" s="61">
        <f t="shared" si="149"/>
        <v>0</v>
      </c>
      <c r="BO111" s="58">
        <v>0</v>
      </c>
      <c r="BP111" s="49">
        <f t="shared" si="183"/>
        <v>0</v>
      </c>
      <c r="BQ111" s="61">
        <f t="shared" si="147"/>
        <v>0</v>
      </c>
      <c r="BR111" s="58">
        <f t="shared" si="184"/>
        <v>0</v>
      </c>
      <c r="BS111" s="49">
        <f t="shared" si="185"/>
        <v>0</v>
      </c>
      <c r="BT111" s="61">
        <f t="shared" si="148"/>
        <v>0</v>
      </c>
      <c r="BU111" s="58">
        <f t="shared" si="167"/>
        <v>5.4856919411185825E-2</v>
      </c>
      <c r="BV111" s="49">
        <f t="shared" si="114"/>
        <v>1.0800000000000002E-3</v>
      </c>
      <c r="BW111" s="61">
        <f t="shared" si="168"/>
        <v>6.7499999999999999E-3</v>
      </c>
      <c r="BX111" s="49">
        <f t="shared" si="138"/>
        <v>16.811364330715925</v>
      </c>
      <c r="BY111" s="49">
        <f t="shared" si="139"/>
        <v>21.256864060895921</v>
      </c>
      <c r="BZ111" s="49">
        <f t="shared" si="186"/>
        <v>70.983109455482804</v>
      </c>
    </row>
    <row r="112" spans="17:78" x14ac:dyDescent="0.4">
      <c r="Q112" s="49">
        <v>105</v>
      </c>
      <c r="R112" s="217">
        <f t="shared" si="150"/>
        <v>52.5</v>
      </c>
      <c r="S112" s="213">
        <f t="shared" si="94"/>
        <v>15</v>
      </c>
      <c r="T112" s="218">
        <f t="shared" si="151"/>
        <v>3.5</v>
      </c>
      <c r="U112" s="217">
        <f t="shared" si="152"/>
        <v>2</v>
      </c>
      <c r="V112" s="213">
        <f t="shared" si="153"/>
        <v>0.92592592592592593</v>
      </c>
      <c r="W112" s="213">
        <f t="shared" si="154"/>
        <v>7.407407407407407E-2</v>
      </c>
      <c r="X112" s="213">
        <f t="shared" si="116"/>
        <v>0</v>
      </c>
      <c r="Y112" s="217">
        <f t="shared" si="169"/>
        <v>3.78</v>
      </c>
      <c r="Z112" s="213">
        <f t="shared" si="155"/>
        <v>3.0864197530864197</v>
      </c>
      <c r="AA112" s="213">
        <f t="shared" si="118"/>
        <v>5.3232098765432099</v>
      </c>
      <c r="AB112" s="218">
        <f t="shared" si="156"/>
        <v>3.7369813824524805</v>
      </c>
      <c r="AC112" s="217">
        <v>0</v>
      </c>
      <c r="AD112" s="213">
        <f t="shared" si="157"/>
        <v>16.059784330715921</v>
      </c>
      <c r="AE112" s="218">
        <f t="shared" si="119"/>
        <v>16.059784330715921</v>
      </c>
      <c r="AF112" s="58">
        <f t="shared" si="158"/>
        <v>1.05</v>
      </c>
      <c r="AG112" s="61">
        <f t="shared" si="159"/>
        <v>1.05</v>
      </c>
      <c r="AH112" s="58">
        <f t="shared" si="160"/>
        <v>3.2817820154071664</v>
      </c>
      <c r="AI112" s="49">
        <f t="shared" si="161"/>
        <v>4.8112341470891953E-2</v>
      </c>
      <c r="AJ112" s="61">
        <f t="shared" si="120"/>
        <v>3.3298943568780586</v>
      </c>
      <c r="AK112" s="217">
        <f t="shared" si="162"/>
        <v>52.5</v>
      </c>
      <c r="AL112" s="213">
        <f t="shared" si="107"/>
        <v>1500</v>
      </c>
      <c r="AM112" s="218">
        <f t="shared" si="170"/>
        <v>3.5000000000000003E-2</v>
      </c>
      <c r="AN112" s="217">
        <f t="shared" si="171"/>
        <v>2</v>
      </c>
      <c r="AO112" s="213">
        <f t="shared" si="172"/>
        <v>7.4074074074074084E-2</v>
      </c>
      <c r="AP112" s="213">
        <f t="shared" si="173"/>
        <v>0.47249999999999998</v>
      </c>
      <c r="AQ112" s="213">
        <f t="shared" si="174"/>
        <v>0.38580246913580252</v>
      </c>
      <c r="AR112" s="213">
        <f t="shared" si="141"/>
        <v>0.66540123456790123</v>
      </c>
      <c r="AS112" s="218">
        <f t="shared" si="142"/>
        <v>0.1321222438350014</v>
      </c>
      <c r="AT112" s="217"/>
      <c r="AU112" s="213">
        <f t="shared" si="175"/>
        <v>3.3075000000000007E-2</v>
      </c>
      <c r="AV112" s="218">
        <f t="shared" si="143"/>
        <v>3.3075000000000007E-2</v>
      </c>
      <c r="AW112" s="217">
        <f t="shared" si="176"/>
        <v>0</v>
      </c>
      <c r="AX112" s="213">
        <f t="shared" si="177"/>
        <v>4.0250000000000001E-2</v>
      </c>
      <c r="AY112" s="218">
        <f t="shared" si="144"/>
        <v>4.0250000000000001E-2</v>
      </c>
      <c r="AZ112" s="217">
        <f t="shared" si="163"/>
        <v>0</v>
      </c>
      <c r="BA112" s="213">
        <f t="shared" si="164"/>
        <v>0</v>
      </c>
      <c r="BB112" s="213">
        <f t="shared" si="145"/>
        <v>0</v>
      </c>
      <c r="BC112" s="61">
        <f t="shared" si="178"/>
        <v>0</v>
      </c>
      <c r="BD112" s="58">
        <v>0</v>
      </c>
      <c r="BE112" s="49">
        <f t="shared" si="179"/>
        <v>0</v>
      </c>
      <c r="BF112" s="61">
        <f t="shared" si="146"/>
        <v>0</v>
      </c>
      <c r="BG112" s="58">
        <f t="shared" si="180"/>
        <v>0</v>
      </c>
      <c r="BH112" s="49">
        <f t="shared" si="181"/>
        <v>0</v>
      </c>
      <c r="BI112" s="61">
        <f t="shared" si="182"/>
        <v>0</v>
      </c>
      <c r="BK112" s="217">
        <f t="shared" si="165"/>
        <v>0</v>
      </c>
      <c r="BL112" s="213">
        <f t="shared" si="111"/>
        <v>0</v>
      </c>
      <c r="BM112" s="213">
        <f t="shared" si="166"/>
        <v>0</v>
      </c>
      <c r="BN112" s="61">
        <f t="shared" ref="BN112:BN143" si="187">IF(EN_OUT_3=1,BK112/BL112,0)</f>
        <v>0</v>
      </c>
      <c r="BO112" s="58">
        <v>0</v>
      </c>
      <c r="BP112" s="49">
        <f t="shared" si="183"/>
        <v>0</v>
      </c>
      <c r="BQ112" s="61">
        <f t="shared" si="147"/>
        <v>0</v>
      </c>
      <c r="BR112" s="58">
        <f t="shared" si="184"/>
        <v>0</v>
      </c>
      <c r="BS112" s="49">
        <f t="shared" si="185"/>
        <v>0</v>
      </c>
      <c r="BT112" s="61">
        <f t="shared" si="148"/>
        <v>0</v>
      </c>
      <c r="BU112" s="58">
        <f t="shared" si="167"/>
        <v>5.5860119411185807E-2</v>
      </c>
      <c r="BV112" s="49">
        <f t="shared" si="114"/>
        <v>1.0800000000000002E-3</v>
      </c>
      <c r="BW112" s="61">
        <f t="shared" si="168"/>
        <v>6.7499999999999999E-3</v>
      </c>
      <c r="BX112" s="49">
        <f t="shared" si="138"/>
        <v>17.109784330715922</v>
      </c>
      <c r="BY112" s="49">
        <f t="shared" si="139"/>
        <v>21.626693807005164</v>
      </c>
      <c r="BZ112" s="49">
        <f t="shared" si="186"/>
        <v>70.824688521368557</v>
      </c>
    </row>
    <row r="113" spans="17:78" x14ac:dyDescent="0.4">
      <c r="Q113" s="49">
        <v>106</v>
      </c>
      <c r="R113" s="217">
        <f t="shared" si="150"/>
        <v>53</v>
      </c>
      <c r="S113" s="213">
        <f t="shared" si="94"/>
        <v>15</v>
      </c>
      <c r="T113" s="218">
        <f t="shared" si="151"/>
        <v>3.5333333333333332</v>
      </c>
      <c r="U113" s="217">
        <f t="shared" si="152"/>
        <v>2</v>
      </c>
      <c r="V113" s="213">
        <f t="shared" si="153"/>
        <v>0.92592592592592593</v>
      </c>
      <c r="W113" s="213">
        <f t="shared" si="154"/>
        <v>7.407407407407407E-2</v>
      </c>
      <c r="X113" s="213">
        <f t="shared" si="116"/>
        <v>0</v>
      </c>
      <c r="Y113" s="217">
        <f t="shared" si="169"/>
        <v>3.8159999999999998</v>
      </c>
      <c r="Z113" s="213">
        <f t="shared" si="155"/>
        <v>3.0864197530864197</v>
      </c>
      <c r="AA113" s="213">
        <f t="shared" si="118"/>
        <v>5.3592098765432095</v>
      </c>
      <c r="AB113" s="218">
        <f t="shared" si="156"/>
        <v>3.7707068107712183</v>
      </c>
      <c r="AC113" s="217">
        <v>0</v>
      </c>
      <c r="AD113" s="213">
        <f t="shared" si="157"/>
        <v>16.350964330715922</v>
      </c>
      <c r="AE113" s="218">
        <f t="shared" si="119"/>
        <v>16.350964330715922</v>
      </c>
      <c r="AF113" s="58">
        <f t="shared" si="158"/>
        <v>1.06</v>
      </c>
      <c r="AG113" s="61">
        <f t="shared" si="159"/>
        <v>1.06</v>
      </c>
      <c r="AH113" s="58">
        <f t="shared" si="160"/>
        <v>3.3412840154071661</v>
      </c>
      <c r="AI113" s="49">
        <f t="shared" si="161"/>
        <v>4.857055424680521E-2</v>
      </c>
      <c r="AJ113" s="61">
        <f t="shared" si="120"/>
        <v>3.3898545696539713</v>
      </c>
      <c r="AK113" s="217">
        <f t="shared" si="162"/>
        <v>53</v>
      </c>
      <c r="AL113" s="213">
        <f t="shared" si="107"/>
        <v>1500</v>
      </c>
      <c r="AM113" s="218">
        <f t="shared" si="170"/>
        <v>3.5333333333333335E-2</v>
      </c>
      <c r="AN113" s="217">
        <f t="shared" si="171"/>
        <v>2</v>
      </c>
      <c r="AO113" s="213">
        <f t="shared" si="172"/>
        <v>7.4074074074074084E-2</v>
      </c>
      <c r="AP113" s="213">
        <f t="shared" si="173"/>
        <v>0.47699999999999998</v>
      </c>
      <c r="AQ113" s="213">
        <f t="shared" si="174"/>
        <v>0.38580246913580252</v>
      </c>
      <c r="AR113" s="213">
        <f t="shared" si="141"/>
        <v>0.66990123456790118</v>
      </c>
      <c r="AS113" s="218">
        <f t="shared" si="142"/>
        <v>0.13331461778813142</v>
      </c>
      <c r="AT113" s="217"/>
      <c r="AU113" s="213">
        <f t="shared" si="175"/>
        <v>3.3708000000000002E-2</v>
      </c>
      <c r="AV113" s="218">
        <f t="shared" si="143"/>
        <v>3.3708000000000002E-2</v>
      </c>
      <c r="AW113" s="217">
        <f t="shared" si="176"/>
        <v>0</v>
      </c>
      <c r="AX113" s="213">
        <f t="shared" si="177"/>
        <v>4.0633333333333334E-2</v>
      </c>
      <c r="AY113" s="218">
        <f t="shared" si="144"/>
        <v>4.0633333333333334E-2</v>
      </c>
      <c r="AZ113" s="217">
        <f t="shared" si="163"/>
        <v>0</v>
      </c>
      <c r="BA113" s="213">
        <f t="shared" si="164"/>
        <v>0</v>
      </c>
      <c r="BB113" s="213">
        <f t="shared" si="145"/>
        <v>0</v>
      </c>
      <c r="BC113" s="61">
        <f t="shared" si="178"/>
        <v>0</v>
      </c>
      <c r="BD113" s="58">
        <v>0</v>
      </c>
      <c r="BE113" s="49">
        <f t="shared" si="179"/>
        <v>0</v>
      </c>
      <c r="BF113" s="61">
        <f t="shared" si="146"/>
        <v>0</v>
      </c>
      <c r="BG113" s="58">
        <f t="shared" si="180"/>
        <v>0</v>
      </c>
      <c r="BH113" s="49">
        <f t="shared" si="181"/>
        <v>0</v>
      </c>
      <c r="BI113" s="61">
        <f t="shared" si="182"/>
        <v>0</v>
      </c>
      <c r="BK113" s="217">
        <f t="shared" si="165"/>
        <v>0</v>
      </c>
      <c r="BL113" s="213">
        <f t="shared" si="111"/>
        <v>0</v>
      </c>
      <c r="BM113" s="213">
        <f t="shared" si="166"/>
        <v>0</v>
      </c>
      <c r="BN113" s="61">
        <f t="shared" si="187"/>
        <v>0</v>
      </c>
      <c r="BO113" s="58">
        <v>0</v>
      </c>
      <c r="BP113" s="49">
        <f t="shared" si="183"/>
        <v>0</v>
      </c>
      <c r="BQ113" s="61">
        <f t="shared" si="147"/>
        <v>0</v>
      </c>
      <c r="BR113" s="58">
        <f t="shared" si="184"/>
        <v>0</v>
      </c>
      <c r="BS113" s="49">
        <f t="shared" si="185"/>
        <v>0</v>
      </c>
      <c r="BT113" s="61">
        <f t="shared" si="148"/>
        <v>0</v>
      </c>
      <c r="BU113" s="58">
        <f t="shared" si="167"/>
        <v>5.6872919411185809E-2</v>
      </c>
      <c r="BV113" s="49">
        <f t="shared" si="114"/>
        <v>1.0800000000000002E-3</v>
      </c>
      <c r="BW113" s="61">
        <f t="shared" si="168"/>
        <v>6.7499999999999999E-3</v>
      </c>
      <c r="BX113" s="49">
        <f t="shared" si="138"/>
        <v>17.41096433071592</v>
      </c>
      <c r="BY113" s="49">
        <f t="shared" si="139"/>
        <v>21.999863153114411</v>
      </c>
      <c r="BZ113" s="49">
        <f t="shared" si="186"/>
        <v>70.666795607078583</v>
      </c>
    </row>
    <row r="114" spans="17:78" x14ac:dyDescent="0.4">
      <c r="Q114" s="49">
        <v>107</v>
      </c>
      <c r="R114" s="217">
        <f t="shared" si="150"/>
        <v>53.5</v>
      </c>
      <c r="S114" s="213">
        <f t="shared" si="94"/>
        <v>15</v>
      </c>
      <c r="T114" s="218">
        <f t="shared" si="151"/>
        <v>3.5666666666666669</v>
      </c>
      <c r="U114" s="217">
        <f t="shared" si="152"/>
        <v>2</v>
      </c>
      <c r="V114" s="213">
        <f t="shared" si="153"/>
        <v>0.92592592592592593</v>
      </c>
      <c r="W114" s="213">
        <f t="shared" si="154"/>
        <v>7.407407407407407E-2</v>
      </c>
      <c r="X114" s="213">
        <f t="shared" si="116"/>
        <v>0</v>
      </c>
      <c r="Y114" s="217">
        <f t="shared" si="169"/>
        <v>3.8519999999999999</v>
      </c>
      <c r="Z114" s="213">
        <f t="shared" si="155"/>
        <v>3.0864197530864197</v>
      </c>
      <c r="AA114" s="213">
        <f t="shared" si="118"/>
        <v>5.3952098765432099</v>
      </c>
      <c r="AB114" s="218">
        <f t="shared" si="156"/>
        <v>3.8044486923595717</v>
      </c>
      <c r="AC114" s="217">
        <v>0</v>
      </c>
      <c r="AD114" s="213">
        <f t="shared" si="157"/>
        <v>16.644904330715928</v>
      </c>
      <c r="AE114" s="218">
        <f t="shared" si="119"/>
        <v>16.644904330715928</v>
      </c>
      <c r="AF114" s="58">
        <f t="shared" si="158"/>
        <v>1.07</v>
      </c>
      <c r="AG114" s="61">
        <f t="shared" si="159"/>
        <v>1.07</v>
      </c>
      <c r="AH114" s="58">
        <f t="shared" si="160"/>
        <v>3.4013500154071674</v>
      </c>
      <c r="AI114" s="49">
        <f t="shared" si="161"/>
        <v>4.9028767022718467E-2</v>
      </c>
      <c r="AJ114" s="61">
        <f t="shared" si="120"/>
        <v>3.4503787824298859</v>
      </c>
      <c r="AK114" s="217">
        <f t="shared" si="162"/>
        <v>53.5</v>
      </c>
      <c r="AL114" s="213">
        <f t="shared" si="107"/>
        <v>1500</v>
      </c>
      <c r="AM114" s="218">
        <f t="shared" si="170"/>
        <v>3.5666666666666666E-2</v>
      </c>
      <c r="AN114" s="217">
        <f t="shared" si="171"/>
        <v>2</v>
      </c>
      <c r="AO114" s="213">
        <f t="shared" si="172"/>
        <v>7.407407407407407E-2</v>
      </c>
      <c r="AP114" s="213">
        <f t="shared" si="173"/>
        <v>0.48149999999999998</v>
      </c>
      <c r="AQ114" s="213">
        <f t="shared" si="174"/>
        <v>0.38580246913580241</v>
      </c>
      <c r="AR114" s="213">
        <f t="shared" si="141"/>
        <v>0.67440123456790113</v>
      </c>
      <c r="AS114" s="218">
        <f t="shared" si="142"/>
        <v>0.13450757345218728</v>
      </c>
      <c r="AT114" s="217"/>
      <c r="AU114" s="213">
        <f t="shared" si="175"/>
        <v>3.4346999999999996E-2</v>
      </c>
      <c r="AV114" s="218">
        <f t="shared" si="143"/>
        <v>3.4346999999999996E-2</v>
      </c>
      <c r="AW114" s="217">
        <f t="shared" si="176"/>
        <v>0</v>
      </c>
      <c r="AX114" s="213">
        <f t="shared" si="177"/>
        <v>4.101666666666666E-2</v>
      </c>
      <c r="AY114" s="218">
        <f t="shared" si="144"/>
        <v>4.101666666666666E-2</v>
      </c>
      <c r="AZ114" s="217">
        <f t="shared" si="163"/>
        <v>0</v>
      </c>
      <c r="BA114" s="213">
        <f t="shared" si="164"/>
        <v>0</v>
      </c>
      <c r="BB114" s="213">
        <f t="shared" si="145"/>
        <v>0</v>
      </c>
      <c r="BC114" s="61">
        <f t="shared" si="178"/>
        <v>0</v>
      </c>
      <c r="BD114" s="58">
        <v>0</v>
      </c>
      <c r="BE114" s="49">
        <f t="shared" si="179"/>
        <v>0</v>
      </c>
      <c r="BF114" s="61">
        <f t="shared" si="146"/>
        <v>0</v>
      </c>
      <c r="BG114" s="58">
        <f t="shared" si="180"/>
        <v>0</v>
      </c>
      <c r="BH114" s="49">
        <f t="shared" si="181"/>
        <v>0</v>
      </c>
      <c r="BI114" s="61">
        <f t="shared" si="182"/>
        <v>0</v>
      </c>
      <c r="BK114" s="217">
        <f t="shared" si="165"/>
        <v>0</v>
      </c>
      <c r="BL114" s="213">
        <f t="shared" si="111"/>
        <v>0</v>
      </c>
      <c r="BM114" s="213">
        <f t="shared" si="166"/>
        <v>0</v>
      </c>
      <c r="BN114" s="61">
        <f t="shared" si="187"/>
        <v>0</v>
      </c>
      <c r="BO114" s="58">
        <v>0</v>
      </c>
      <c r="BP114" s="49">
        <f t="shared" si="183"/>
        <v>0</v>
      </c>
      <c r="BQ114" s="61">
        <f t="shared" si="147"/>
        <v>0</v>
      </c>
      <c r="BR114" s="58">
        <f t="shared" si="184"/>
        <v>0</v>
      </c>
      <c r="BS114" s="49">
        <f t="shared" si="185"/>
        <v>0</v>
      </c>
      <c r="BT114" s="61">
        <f t="shared" si="148"/>
        <v>0</v>
      </c>
      <c r="BU114" s="58">
        <f t="shared" si="167"/>
        <v>5.7895319411185822E-2</v>
      </c>
      <c r="BV114" s="49">
        <f t="shared" si="114"/>
        <v>1.0800000000000002E-3</v>
      </c>
      <c r="BW114" s="61">
        <f t="shared" si="168"/>
        <v>6.7499999999999999E-3</v>
      </c>
      <c r="BX114" s="49">
        <f t="shared" si="138"/>
        <v>17.714904330715928</v>
      </c>
      <c r="BY114" s="49">
        <f t="shared" si="139"/>
        <v>22.376372099223666</v>
      </c>
      <c r="BZ114" s="49">
        <f t="shared" si="186"/>
        <v>70.50943333194418</v>
      </c>
    </row>
    <row r="115" spans="17:78" x14ac:dyDescent="0.4">
      <c r="Q115" s="49">
        <v>108</v>
      </c>
      <c r="R115" s="217">
        <f t="shared" si="150"/>
        <v>54</v>
      </c>
      <c r="S115" s="213">
        <f t="shared" si="94"/>
        <v>15</v>
      </c>
      <c r="T115" s="218">
        <f t="shared" si="151"/>
        <v>3.6</v>
      </c>
      <c r="U115" s="217">
        <f t="shared" si="152"/>
        <v>2</v>
      </c>
      <c r="V115" s="213">
        <f t="shared" si="153"/>
        <v>0.92592592592592593</v>
      </c>
      <c r="W115" s="213">
        <f t="shared" si="154"/>
        <v>7.407407407407407E-2</v>
      </c>
      <c r="X115" s="213">
        <f t="shared" si="116"/>
        <v>0</v>
      </c>
      <c r="Y115" s="217">
        <f t="shared" si="169"/>
        <v>3.8879999999999999</v>
      </c>
      <c r="Z115" s="213">
        <f t="shared" si="155"/>
        <v>3.0864197530864197</v>
      </c>
      <c r="AA115" s="213">
        <f t="shared" si="118"/>
        <v>5.4312098765432095</v>
      </c>
      <c r="AB115" s="218">
        <f t="shared" si="156"/>
        <v>3.8382065932928171</v>
      </c>
      <c r="AC115" s="217">
        <v>0</v>
      </c>
      <c r="AD115" s="213">
        <f t="shared" si="157"/>
        <v>16.941604330715922</v>
      </c>
      <c r="AE115" s="218">
        <f t="shared" si="119"/>
        <v>16.941604330715922</v>
      </c>
      <c r="AF115" s="58">
        <f t="shared" si="158"/>
        <v>1.08</v>
      </c>
      <c r="AG115" s="61">
        <f t="shared" si="159"/>
        <v>1.08</v>
      </c>
      <c r="AH115" s="58">
        <f t="shared" si="160"/>
        <v>3.4619800154071667</v>
      </c>
      <c r="AI115" s="49">
        <f t="shared" si="161"/>
        <v>4.9486979798631724E-2</v>
      </c>
      <c r="AJ115" s="61">
        <f t="shared" si="120"/>
        <v>3.5114669952057986</v>
      </c>
      <c r="AK115" s="217">
        <f t="shared" si="162"/>
        <v>54</v>
      </c>
      <c r="AL115" s="213">
        <f t="shared" si="107"/>
        <v>1500</v>
      </c>
      <c r="AM115" s="218">
        <f t="shared" si="170"/>
        <v>3.5999999999999997E-2</v>
      </c>
      <c r="AN115" s="217">
        <f t="shared" si="171"/>
        <v>2</v>
      </c>
      <c r="AO115" s="213">
        <f t="shared" si="172"/>
        <v>7.407407407407407E-2</v>
      </c>
      <c r="AP115" s="213">
        <f t="shared" si="173"/>
        <v>0.48599999999999999</v>
      </c>
      <c r="AQ115" s="213">
        <f t="shared" si="174"/>
        <v>0.38580246913580241</v>
      </c>
      <c r="AR115" s="213">
        <f t="shared" si="141"/>
        <v>0.67890123456790119</v>
      </c>
      <c r="AS115" s="218">
        <f t="shared" si="142"/>
        <v>0.13570109548561338</v>
      </c>
      <c r="AT115" s="217"/>
      <c r="AU115" s="213">
        <f t="shared" si="175"/>
        <v>3.4991999999999995E-2</v>
      </c>
      <c r="AV115" s="218">
        <f t="shared" si="143"/>
        <v>3.4991999999999995E-2</v>
      </c>
      <c r="AW115" s="217">
        <f t="shared" si="176"/>
        <v>0</v>
      </c>
      <c r="AX115" s="213">
        <f t="shared" si="177"/>
        <v>4.1399999999999992E-2</v>
      </c>
      <c r="AY115" s="218">
        <f t="shared" si="144"/>
        <v>4.1399999999999992E-2</v>
      </c>
      <c r="AZ115" s="217">
        <f t="shared" si="163"/>
        <v>0</v>
      </c>
      <c r="BA115" s="213">
        <f t="shared" si="164"/>
        <v>0</v>
      </c>
      <c r="BB115" s="213">
        <f t="shared" si="145"/>
        <v>0</v>
      </c>
      <c r="BC115" s="61">
        <f t="shared" si="178"/>
        <v>0</v>
      </c>
      <c r="BD115" s="58">
        <v>0</v>
      </c>
      <c r="BE115" s="49">
        <f t="shared" si="179"/>
        <v>0</v>
      </c>
      <c r="BF115" s="61">
        <f t="shared" si="146"/>
        <v>0</v>
      </c>
      <c r="BG115" s="58">
        <f t="shared" si="180"/>
        <v>0</v>
      </c>
      <c r="BH115" s="49">
        <f t="shared" si="181"/>
        <v>0</v>
      </c>
      <c r="BI115" s="61">
        <f t="shared" si="182"/>
        <v>0</v>
      </c>
      <c r="BK115" s="217">
        <f t="shared" si="165"/>
        <v>0</v>
      </c>
      <c r="BL115" s="213">
        <f t="shared" si="111"/>
        <v>0</v>
      </c>
      <c r="BM115" s="213">
        <f t="shared" si="166"/>
        <v>0</v>
      </c>
      <c r="BN115" s="61">
        <f t="shared" si="187"/>
        <v>0</v>
      </c>
      <c r="BO115" s="58">
        <v>0</v>
      </c>
      <c r="BP115" s="49">
        <f t="shared" si="183"/>
        <v>0</v>
      </c>
      <c r="BQ115" s="61">
        <f t="shared" si="147"/>
        <v>0</v>
      </c>
      <c r="BR115" s="58">
        <f t="shared" si="184"/>
        <v>0</v>
      </c>
      <c r="BS115" s="49">
        <f t="shared" si="185"/>
        <v>0</v>
      </c>
      <c r="BT115" s="61">
        <f t="shared" si="148"/>
        <v>0</v>
      </c>
      <c r="BU115" s="58">
        <f t="shared" si="167"/>
        <v>5.8927319411185813E-2</v>
      </c>
      <c r="BV115" s="49">
        <f t="shared" si="114"/>
        <v>1.0800000000000002E-3</v>
      </c>
      <c r="BW115" s="61">
        <f t="shared" si="168"/>
        <v>6.7499999999999999E-3</v>
      </c>
      <c r="BX115" s="49">
        <f t="shared" si="138"/>
        <v>18.021604330715924</v>
      </c>
      <c r="BY115" s="49">
        <f t="shared" si="139"/>
        <v>22.756220645332903</v>
      </c>
      <c r="BZ115" s="49">
        <f t="shared" si="186"/>
        <v>70.352604057353915</v>
      </c>
    </row>
    <row r="116" spans="17:78" x14ac:dyDescent="0.4">
      <c r="Q116" s="49">
        <v>109</v>
      </c>
      <c r="R116" s="217">
        <f t="shared" si="150"/>
        <v>54.5</v>
      </c>
      <c r="S116" s="213">
        <f t="shared" si="94"/>
        <v>15</v>
      </c>
      <c r="T116" s="218">
        <f t="shared" si="151"/>
        <v>3.6333333333333333</v>
      </c>
      <c r="U116" s="217">
        <f t="shared" si="152"/>
        <v>2</v>
      </c>
      <c r="V116" s="213">
        <f t="shared" si="153"/>
        <v>0.92592592592592593</v>
      </c>
      <c r="W116" s="213">
        <f t="shared" si="154"/>
        <v>7.407407407407407E-2</v>
      </c>
      <c r="X116" s="213">
        <f t="shared" si="116"/>
        <v>0</v>
      </c>
      <c r="Y116" s="217">
        <f t="shared" si="169"/>
        <v>3.9239999999999999</v>
      </c>
      <c r="Z116" s="213">
        <f t="shared" si="155"/>
        <v>3.0864197530864197</v>
      </c>
      <c r="AA116" s="213">
        <f t="shared" si="118"/>
        <v>5.46720987654321</v>
      </c>
      <c r="AB116" s="218">
        <f t="shared" si="156"/>
        <v>3.8719800945764757</v>
      </c>
      <c r="AC116" s="217">
        <v>0</v>
      </c>
      <c r="AD116" s="213">
        <f t="shared" si="157"/>
        <v>17.241064330715925</v>
      </c>
      <c r="AE116" s="218">
        <f t="shared" si="119"/>
        <v>17.241064330715925</v>
      </c>
      <c r="AF116" s="58">
        <f t="shared" si="158"/>
        <v>1.0900000000000001</v>
      </c>
      <c r="AG116" s="61">
        <f t="shared" si="159"/>
        <v>1.0900000000000001</v>
      </c>
      <c r="AH116" s="58">
        <f t="shared" si="160"/>
        <v>3.5231740154071667</v>
      </c>
      <c r="AI116" s="49">
        <f t="shared" si="161"/>
        <v>4.994519257454498E-2</v>
      </c>
      <c r="AJ116" s="61">
        <f t="shared" si="120"/>
        <v>3.5731192079817116</v>
      </c>
      <c r="AK116" s="217">
        <f t="shared" si="162"/>
        <v>54.5</v>
      </c>
      <c r="AL116" s="213">
        <f t="shared" si="107"/>
        <v>1500</v>
      </c>
      <c r="AM116" s="218">
        <f t="shared" si="170"/>
        <v>3.6333333333333336E-2</v>
      </c>
      <c r="AN116" s="217">
        <f t="shared" si="171"/>
        <v>2</v>
      </c>
      <c r="AO116" s="213">
        <f t="shared" si="172"/>
        <v>7.4074074074074084E-2</v>
      </c>
      <c r="AP116" s="213">
        <f t="shared" si="173"/>
        <v>0.49049999999999999</v>
      </c>
      <c r="AQ116" s="213">
        <f t="shared" si="174"/>
        <v>0.38580246913580252</v>
      </c>
      <c r="AR116" s="213">
        <f t="shared" si="141"/>
        <v>0.68340123456790125</v>
      </c>
      <c r="AS116" s="218">
        <f t="shared" si="142"/>
        <v>0.13689516907471777</v>
      </c>
      <c r="AT116" s="217"/>
      <c r="AU116" s="213">
        <f t="shared" si="175"/>
        <v>3.5643000000000008E-2</v>
      </c>
      <c r="AV116" s="218">
        <f t="shared" si="143"/>
        <v>3.5643000000000008E-2</v>
      </c>
      <c r="AW116" s="217">
        <f t="shared" si="176"/>
        <v>0</v>
      </c>
      <c r="AX116" s="213">
        <f t="shared" si="177"/>
        <v>4.1783333333333332E-2</v>
      </c>
      <c r="AY116" s="218">
        <f t="shared" si="144"/>
        <v>4.1783333333333332E-2</v>
      </c>
      <c r="AZ116" s="217">
        <f t="shared" si="163"/>
        <v>0</v>
      </c>
      <c r="BA116" s="213">
        <f t="shared" si="164"/>
        <v>0</v>
      </c>
      <c r="BB116" s="213">
        <f t="shared" si="145"/>
        <v>0</v>
      </c>
      <c r="BC116" s="61">
        <f t="shared" si="178"/>
        <v>0</v>
      </c>
      <c r="BD116" s="58">
        <v>0</v>
      </c>
      <c r="BE116" s="49">
        <f t="shared" si="179"/>
        <v>0</v>
      </c>
      <c r="BF116" s="61">
        <f t="shared" si="146"/>
        <v>0</v>
      </c>
      <c r="BG116" s="58">
        <f t="shared" si="180"/>
        <v>0</v>
      </c>
      <c r="BH116" s="49">
        <f t="shared" si="181"/>
        <v>0</v>
      </c>
      <c r="BI116" s="61">
        <f t="shared" si="182"/>
        <v>0</v>
      </c>
      <c r="BK116" s="217">
        <f t="shared" si="165"/>
        <v>0</v>
      </c>
      <c r="BL116" s="213">
        <f t="shared" si="111"/>
        <v>0</v>
      </c>
      <c r="BM116" s="213">
        <f t="shared" si="166"/>
        <v>0</v>
      </c>
      <c r="BN116" s="61">
        <f t="shared" si="187"/>
        <v>0</v>
      </c>
      <c r="BO116" s="58">
        <v>0</v>
      </c>
      <c r="BP116" s="49">
        <f t="shared" si="183"/>
        <v>0</v>
      </c>
      <c r="BQ116" s="61">
        <f t="shared" si="147"/>
        <v>0</v>
      </c>
      <c r="BR116" s="58">
        <f t="shared" si="184"/>
        <v>0</v>
      </c>
      <c r="BS116" s="49">
        <f t="shared" si="185"/>
        <v>0</v>
      </c>
      <c r="BT116" s="61">
        <f t="shared" si="148"/>
        <v>0</v>
      </c>
      <c r="BU116" s="58">
        <f t="shared" si="167"/>
        <v>5.9968919411185817E-2</v>
      </c>
      <c r="BV116" s="49">
        <f t="shared" si="114"/>
        <v>1.0800000000000002E-3</v>
      </c>
      <c r="BW116" s="61">
        <f t="shared" si="168"/>
        <v>6.7499999999999999E-3</v>
      </c>
      <c r="BX116" s="49">
        <f t="shared" si="138"/>
        <v>18.331064330715925</v>
      </c>
      <c r="BY116" s="49">
        <f t="shared" si="139"/>
        <v>23.139408791442154</v>
      </c>
      <c r="BZ116" s="49">
        <f t="shared" si="186"/>
        <v>70.196309900298075</v>
      </c>
    </row>
    <row r="117" spans="17:78" x14ac:dyDescent="0.4">
      <c r="Q117" s="49">
        <v>110</v>
      </c>
      <c r="R117" s="217">
        <f t="shared" si="150"/>
        <v>55</v>
      </c>
      <c r="S117" s="213">
        <f t="shared" si="94"/>
        <v>15</v>
      </c>
      <c r="T117" s="218">
        <f t="shared" si="151"/>
        <v>3.6666666666666665</v>
      </c>
      <c r="U117" s="217">
        <f t="shared" si="152"/>
        <v>2</v>
      </c>
      <c r="V117" s="213">
        <f t="shared" si="153"/>
        <v>0.92592592592592593</v>
      </c>
      <c r="W117" s="213">
        <f t="shared" si="154"/>
        <v>7.407407407407407E-2</v>
      </c>
      <c r="X117" s="213">
        <f t="shared" si="116"/>
        <v>0</v>
      </c>
      <c r="Y117" s="217">
        <f t="shared" si="169"/>
        <v>3.96</v>
      </c>
      <c r="Z117" s="213">
        <f t="shared" si="155"/>
        <v>3.0864197530864197</v>
      </c>
      <c r="AA117" s="213">
        <f t="shared" si="118"/>
        <v>5.5032098765432096</v>
      </c>
      <c r="AB117" s="218">
        <f t="shared" si="156"/>
        <v>3.9057687915180606</v>
      </c>
      <c r="AC117" s="217">
        <v>0</v>
      </c>
      <c r="AD117" s="213">
        <f t="shared" si="157"/>
        <v>17.54328433071592</v>
      </c>
      <c r="AE117" s="218">
        <f t="shared" si="119"/>
        <v>17.54328433071592</v>
      </c>
      <c r="AF117" s="58">
        <f t="shared" si="158"/>
        <v>1.1000000000000001</v>
      </c>
      <c r="AG117" s="61">
        <f t="shared" si="159"/>
        <v>1.1000000000000001</v>
      </c>
      <c r="AH117" s="58">
        <f t="shared" si="160"/>
        <v>3.584932015407166</v>
      </c>
      <c r="AI117" s="49">
        <f t="shared" si="161"/>
        <v>5.0403405350458237E-2</v>
      </c>
      <c r="AJ117" s="61">
        <f t="shared" si="120"/>
        <v>3.6353354207576243</v>
      </c>
      <c r="AK117" s="217">
        <f t="shared" si="162"/>
        <v>55</v>
      </c>
      <c r="AL117" s="213">
        <f t="shared" si="107"/>
        <v>1500</v>
      </c>
      <c r="AM117" s="218">
        <f t="shared" si="170"/>
        <v>3.6666666666666667E-2</v>
      </c>
      <c r="AN117" s="217">
        <f t="shared" si="171"/>
        <v>2</v>
      </c>
      <c r="AO117" s="213">
        <f t="shared" si="172"/>
        <v>7.407407407407407E-2</v>
      </c>
      <c r="AP117" s="213">
        <f t="shared" si="173"/>
        <v>0.49500000000000005</v>
      </c>
      <c r="AQ117" s="213">
        <f t="shared" si="174"/>
        <v>0.38580246913580241</v>
      </c>
      <c r="AR117" s="213">
        <f t="shared" si="141"/>
        <v>0.6879012345679012</v>
      </c>
      <c r="AS117" s="218">
        <f t="shared" si="142"/>
        <v>0.1380897799114604</v>
      </c>
      <c r="AT117" s="217"/>
      <c r="AU117" s="213">
        <f t="shared" si="175"/>
        <v>3.6300000000000006E-2</v>
      </c>
      <c r="AV117" s="218">
        <f t="shared" si="143"/>
        <v>3.6300000000000006E-2</v>
      </c>
      <c r="AW117" s="217">
        <f t="shared" si="176"/>
        <v>0</v>
      </c>
      <c r="AX117" s="213">
        <f t="shared" si="177"/>
        <v>4.2166666666666665E-2</v>
      </c>
      <c r="AY117" s="218">
        <f t="shared" si="144"/>
        <v>4.2166666666666665E-2</v>
      </c>
      <c r="AZ117" s="217">
        <f t="shared" si="163"/>
        <v>0</v>
      </c>
      <c r="BA117" s="213">
        <f t="shared" si="164"/>
        <v>0</v>
      </c>
      <c r="BB117" s="213">
        <f t="shared" si="145"/>
        <v>0</v>
      </c>
      <c r="BC117" s="61">
        <f t="shared" si="178"/>
        <v>0</v>
      </c>
      <c r="BD117" s="58">
        <v>0</v>
      </c>
      <c r="BE117" s="49">
        <f t="shared" si="179"/>
        <v>0</v>
      </c>
      <c r="BF117" s="61">
        <f t="shared" si="146"/>
        <v>0</v>
      </c>
      <c r="BG117" s="58">
        <f t="shared" si="180"/>
        <v>0</v>
      </c>
      <c r="BH117" s="49">
        <f t="shared" si="181"/>
        <v>0</v>
      </c>
      <c r="BI117" s="61">
        <f t="shared" si="182"/>
        <v>0</v>
      </c>
      <c r="BK117" s="217">
        <f t="shared" si="165"/>
        <v>0</v>
      </c>
      <c r="BL117" s="213">
        <f t="shared" si="111"/>
        <v>0</v>
      </c>
      <c r="BM117" s="213">
        <f t="shared" si="166"/>
        <v>0</v>
      </c>
      <c r="BN117" s="61">
        <f t="shared" si="187"/>
        <v>0</v>
      </c>
      <c r="BO117" s="58">
        <v>0</v>
      </c>
      <c r="BP117" s="49">
        <f t="shared" si="183"/>
        <v>0</v>
      </c>
      <c r="BQ117" s="61">
        <f t="shared" si="147"/>
        <v>0</v>
      </c>
      <c r="BR117" s="58">
        <f t="shared" si="184"/>
        <v>0</v>
      </c>
      <c r="BS117" s="49">
        <f t="shared" si="185"/>
        <v>0</v>
      </c>
      <c r="BT117" s="61">
        <f t="shared" si="148"/>
        <v>0</v>
      </c>
      <c r="BU117" s="58">
        <f t="shared" si="167"/>
        <v>6.1020119411185805E-2</v>
      </c>
      <c r="BV117" s="49">
        <f t="shared" si="114"/>
        <v>1.0800000000000002E-3</v>
      </c>
      <c r="BW117" s="61">
        <f t="shared" si="168"/>
        <v>6.7499999999999999E-3</v>
      </c>
      <c r="BX117" s="49">
        <f t="shared" si="138"/>
        <v>18.643284330715922</v>
      </c>
      <c r="BY117" s="49">
        <f t="shared" si="139"/>
        <v>23.525936537551399</v>
      </c>
      <c r="BZ117" s="49">
        <f t="shared" si="186"/>
        <v>70.04055274616023</v>
      </c>
    </row>
    <row r="118" spans="17:78" x14ac:dyDescent="0.4">
      <c r="Q118" s="49">
        <v>111</v>
      </c>
      <c r="R118" s="217">
        <f t="shared" si="150"/>
        <v>55.5</v>
      </c>
      <c r="S118" s="213">
        <f t="shared" si="94"/>
        <v>15</v>
      </c>
      <c r="T118" s="218">
        <f t="shared" si="151"/>
        <v>3.7</v>
      </c>
      <c r="U118" s="217">
        <f t="shared" si="152"/>
        <v>2</v>
      </c>
      <c r="V118" s="213">
        <f t="shared" si="153"/>
        <v>0.92592592592592593</v>
      </c>
      <c r="W118" s="213">
        <f t="shared" si="154"/>
        <v>7.407407407407407E-2</v>
      </c>
      <c r="X118" s="213">
        <f t="shared" si="116"/>
        <v>0</v>
      </c>
      <c r="Y118" s="217">
        <f t="shared" si="169"/>
        <v>3.996</v>
      </c>
      <c r="Z118" s="213">
        <f t="shared" si="155"/>
        <v>3.0864197530864197</v>
      </c>
      <c r="AA118" s="213">
        <f t="shared" si="118"/>
        <v>5.5392098765432101</v>
      </c>
      <c r="AB118" s="218">
        <f t="shared" si="156"/>
        <v>3.9395722931298591</v>
      </c>
      <c r="AC118" s="217">
        <v>0</v>
      </c>
      <c r="AD118" s="213">
        <f t="shared" si="157"/>
        <v>17.848264330715928</v>
      </c>
      <c r="AE118" s="218">
        <f t="shared" si="119"/>
        <v>17.848264330715928</v>
      </c>
      <c r="AF118" s="58">
        <f t="shared" si="158"/>
        <v>1.1100000000000001</v>
      </c>
      <c r="AG118" s="61">
        <f t="shared" si="159"/>
        <v>1.1100000000000001</v>
      </c>
      <c r="AH118" s="58">
        <f t="shared" si="160"/>
        <v>3.6472540154071673</v>
      </c>
      <c r="AI118" s="49">
        <f t="shared" si="161"/>
        <v>5.0861618126371494E-2</v>
      </c>
      <c r="AJ118" s="61">
        <f t="shared" si="120"/>
        <v>3.698115633533539</v>
      </c>
      <c r="AK118" s="217">
        <f t="shared" si="162"/>
        <v>55.5</v>
      </c>
      <c r="AL118" s="213">
        <f t="shared" si="107"/>
        <v>1500</v>
      </c>
      <c r="AM118" s="218">
        <f t="shared" si="170"/>
        <v>3.6999999999999998E-2</v>
      </c>
      <c r="AN118" s="217">
        <f t="shared" si="171"/>
        <v>2</v>
      </c>
      <c r="AO118" s="213">
        <f t="shared" si="172"/>
        <v>7.407407407407407E-2</v>
      </c>
      <c r="AP118" s="213">
        <f t="shared" si="173"/>
        <v>0.4995</v>
      </c>
      <c r="AQ118" s="213">
        <f t="shared" si="174"/>
        <v>0.38580246913580241</v>
      </c>
      <c r="AR118" s="213">
        <f t="shared" si="141"/>
        <v>0.69240123456790115</v>
      </c>
      <c r="AS118" s="218">
        <f t="shared" si="142"/>
        <v>0.13928491417233799</v>
      </c>
      <c r="AT118" s="217"/>
      <c r="AU118" s="213">
        <f t="shared" si="175"/>
        <v>3.6962999999999996E-2</v>
      </c>
      <c r="AV118" s="218">
        <f t="shared" si="143"/>
        <v>3.6962999999999996E-2</v>
      </c>
      <c r="AW118" s="217">
        <f t="shared" si="176"/>
        <v>0</v>
      </c>
      <c r="AX118" s="213">
        <f t="shared" si="177"/>
        <v>4.2549999999999998E-2</v>
      </c>
      <c r="AY118" s="218">
        <f t="shared" si="144"/>
        <v>4.2549999999999998E-2</v>
      </c>
      <c r="AZ118" s="217">
        <f t="shared" si="163"/>
        <v>0</v>
      </c>
      <c r="BA118" s="213">
        <f t="shared" si="164"/>
        <v>0</v>
      </c>
      <c r="BB118" s="213">
        <f t="shared" si="145"/>
        <v>0</v>
      </c>
      <c r="BC118" s="61">
        <f t="shared" si="178"/>
        <v>0</v>
      </c>
      <c r="BD118" s="58">
        <v>0</v>
      </c>
      <c r="BE118" s="49">
        <f t="shared" si="179"/>
        <v>0</v>
      </c>
      <c r="BF118" s="61">
        <f t="shared" si="146"/>
        <v>0</v>
      </c>
      <c r="BG118" s="58">
        <f t="shared" si="180"/>
        <v>0</v>
      </c>
      <c r="BH118" s="49">
        <f t="shared" si="181"/>
        <v>0</v>
      </c>
      <c r="BI118" s="61">
        <f t="shared" si="182"/>
        <v>0</v>
      </c>
      <c r="BK118" s="217">
        <f t="shared" si="165"/>
        <v>0</v>
      </c>
      <c r="BL118" s="213">
        <f t="shared" si="111"/>
        <v>0</v>
      </c>
      <c r="BM118" s="213">
        <f t="shared" si="166"/>
        <v>0</v>
      </c>
      <c r="BN118" s="61">
        <f t="shared" si="187"/>
        <v>0</v>
      </c>
      <c r="BO118" s="58">
        <v>0</v>
      </c>
      <c r="BP118" s="49">
        <f t="shared" si="183"/>
        <v>0</v>
      </c>
      <c r="BQ118" s="61">
        <f t="shared" si="147"/>
        <v>0</v>
      </c>
      <c r="BR118" s="58">
        <f t="shared" si="184"/>
        <v>0</v>
      </c>
      <c r="BS118" s="49">
        <f t="shared" si="185"/>
        <v>0</v>
      </c>
      <c r="BT118" s="61">
        <f t="shared" si="148"/>
        <v>0</v>
      </c>
      <c r="BU118" s="58">
        <f t="shared" si="167"/>
        <v>6.2080919411185827E-2</v>
      </c>
      <c r="BV118" s="49">
        <f t="shared" si="114"/>
        <v>1.0800000000000002E-3</v>
      </c>
      <c r="BW118" s="61">
        <f t="shared" si="168"/>
        <v>6.7499999999999999E-3</v>
      </c>
      <c r="BX118" s="49">
        <f t="shared" si="138"/>
        <v>18.958264330715927</v>
      </c>
      <c r="BY118" s="49">
        <f t="shared" si="139"/>
        <v>23.915803883660651</v>
      </c>
      <c r="BZ118" s="49">
        <f t="shared" si="186"/>
        <v>69.885334260802978</v>
      </c>
    </row>
    <row r="119" spans="17:78" x14ac:dyDescent="0.4">
      <c r="Q119" s="49">
        <v>112</v>
      </c>
      <c r="R119" s="217">
        <f t="shared" si="150"/>
        <v>56</v>
      </c>
      <c r="S119" s="213">
        <f t="shared" si="94"/>
        <v>15</v>
      </c>
      <c r="T119" s="218">
        <f t="shared" si="151"/>
        <v>3.7333333333333334</v>
      </c>
      <c r="U119" s="217">
        <f t="shared" si="152"/>
        <v>2</v>
      </c>
      <c r="V119" s="213">
        <f t="shared" si="153"/>
        <v>0.92592592592592593</v>
      </c>
      <c r="W119" s="213">
        <f t="shared" si="154"/>
        <v>7.407407407407407E-2</v>
      </c>
      <c r="X119" s="213">
        <f t="shared" si="116"/>
        <v>0</v>
      </c>
      <c r="Y119" s="217">
        <f t="shared" si="169"/>
        <v>4.032</v>
      </c>
      <c r="Z119" s="213">
        <f t="shared" si="155"/>
        <v>3.0864197530864197</v>
      </c>
      <c r="AA119" s="213">
        <f t="shared" si="118"/>
        <v>5.5752098765432097</v>
      </c>
      <c r="AB119" s="218">
        <f t="shared" si="156"/>
        <v>3.9733902215609849</v>
      </c>
      <c r="AC119" s="217">
        <v>0</v>
      </c>
      <c r="AD119" s="213">
        <f t="shared" si="157"/>
        <v>18.156004330715923</v>
      </c>
      <c r="AE119" s="218">
        <f t="shared" si="119"/>
        <v>18.156004330715923</v>
      </c>
      <c r="AF119" s="58">
        <f t="shared" si="158"/>
        <v>1.1200000000000001</v>
      </c>
      <c r="AG119" s="61">
        <f t="shared" si="159"/>
        <v>1.1200000000000001</v>
      </c>
      <c r="AH119" s="58">
        <f t="shared" si="160"/>
        <v>3.7101400154071666</v>
      </c>
      <c r="AI119" s="49">
        <f t="shared" si="161"/>
        <v>5.1319830902284751E-2</v>
      </c>
      <c r="AJ119" s="61">
        <f t="shared" si="120"/>
        <v>3.7614598463094513</v>
      </c>
      <c r="AK119" s="217">
        <f t="shared" si="162"/>
        <v>56</v>
      </c>
      <c r="AL119" s="213">
        <f t="shared" si="107"/>
        <v>1500</v>
      </c>
      <c r="AM119" s="218">
        <f t="shared" si="170"/>
        <v>3.7333333333333336E-2</v>
      </c>
      <c r="AN119" s="217">
        <f t="shared" si="171"/>
        <v>2</v>
      </c>
      <c r="AO119" s="213">
        <f t="shared" si="172"/>
        <v>7.4074074074074084E-2</v>
      </c>
      <c r="AP119" s="213">
        <f t="shared" si="173"/>
        <v>0.504</v>
      </c>
      <c r="AQ119" s="213">
        <f t="shared" si="174"/>
        <v>0.38580246913580252</v>
      </c>
      <c r="AR119" s="213">
        <f t="shared" si="141"/>
        <v>0.69690123456790132</v>
      </c>
      <c r="AS119" s="218">
        <f t="shared" si="142"/>
        <v>0.1404805584983046</v>
      </c>
      <c r="AT119" s="217"/>
      <c r="AU119" s="213">
        <f t="shared" si="175"/>
        <v>3.7632000000000006E-2</v>
      </c>
      <c r="AV119" s="218">
        <f t="shared" si="143"/>
        <v>3.7632000000000006E-2</v>
      </c>
      <c r="AW119" s="217">
        <f t="shared" si="176"/>
        <v>0</v>
      </c>
      <c r="AX119" s="213">
        <f t="shared" si="177"/>
        <v>4.293333333333333E-2</v>
      </c>
      <c r="AY119" s="218">
        <f t="shared" si="144"/>
        <v>4.293333333333333E-2</v>
      </c>
      <c r="AZ119" s="217">
        <f t="shared" si="163"/>
        <v>0</v>
      </c>
      <c r="BA119" s="213">
        <f t="shared" si="164"/>
        <v>0</v>
      </c>
      <c r="BB119" s="213">
        <f t="shared" si="145"/>
        <v>0</v>
      </c>
      <c r="BC119" s="61">
        <f t="shared" si="178"/>
        <v>0</v>
      </c>
      <c r="BD119" s="58">
        <v>0</v>
      </c>
      <c r="BE119" s="49">
        <f t="shared" si="179"/>
        <v>0</v>
      </c>
      <c r="BF119" s="61">
        <f t="shared" si="146"/>
        <v>0</v>
      </c>
      <c r="BG119" s="58">
        <f t="shared" si="180"/>
        <v>0</v>
      </c>
      <c r="BH119" s="49">
        <f t="shared" si="181"/>
        <v>0</v>
      </c>
      <c r="BI119" s="61">
        <f t="shared" si="182"/>
        <v>0</v>
      </c>
      <c r="BK119" s="217">
        <f t="shared" si="165"/>
        <v>0</v>
      </c>
      <c r="BL119" s="213">
        <f t="shared" si="111"/>
        <v>0</v>
      </c>
      <c r="BM119" s="213">
        <f t="shared" si="166"/>
        <v>0</v>
      </c>
      <c r="BN119" s="61">
        <f t="shared" si="187"/>
        <v>0</v>
      </c>
      <c r="BO119" s="58">
        <v>0</v>
      </c>
      <c r="BP119" s="49">
        <f t="shared" si="183"/>
        <v>0</v>
      </c>
      <c r="BQ119" s="61">
        <f t="shared" si="147"/>
        <v>0</v>
      </c>
      <c r="BR119" s="58">
        <f t="shared" si="184"/>
        <v>0</v>
      </c>
      <c r="BS119" s="49">
        <f t="shared" si="185"/>
        <v>0</v>
      </c>
      <c r="BT119" s="61">
        <f t="shared" si="148"/>
        <v>0</v>
      </c>
      <c r="BU119" s="58">
        <f t="shared" si="167"/>
        <v>6.3151319411185805E-2</v>
      </c>
      <c r="BV119" s="49">
        <f t="shared" si="114"/>
        <v>1.0800000000000002E-3</v>
      </c>
      <c r="BW119" s="61">
        <f t="shared" si="168"/>
        <v>6.7499999999999999E-3</v>
      </c>
      <c r="BX119" s="49">
        <f t="shared" si="138"/>
        <v>19.276004330715924</v>
      </c>
      <c r="BY119" s="49">
        <f t="shared" si="139"/>
        <v>24.309010829769893</v>
      </c>
      <c r="BZ119" s="49">
        <f t="shared" si="186"/>
        <v>69.730655901991582</v>
      </c>
    </row>
    <row r="120" spans="17:78" x14ac:dyDescent="0.4">
      <c r="Q120" s="49">
        <v>113</v>
      </c>
      <c r="R120" s="217">
        <f t="shared" si="150"/>
        <v>56.5</v>
      </c>
      <c r="S120" s="213">
        <f t="shared" si="94"/>
        <v>15</v>
      </c>
      <c r="T120" s="218">
        <f t="shared" si="151"/>
        <v>3.7666666666666666</v>
      </c>
      <c r="U120" s="217">
        <f t="shared" si="152"/>
        <v>2</v>
      </c>
      <c r="V120" s="213">
        <f t="shared" si="153"/>
        <v>0.92592592592592593</v>
      </c>
      <c r="W120" s="213">
        <f t="shared" si="154"/>
        <v>7.407407407407407E-2</v>
      </c>
      <c r="X120" s="213">
        <f t="shared" si="116"/>
        <v>0</v>
      </c>
      <c r="Y120" s="217">
        <f t="shared" si="169"/>
        <v>4.0679999999999996</v>
      </c>
      <c r="Z120" s="213">
        <f t="shared" si="155"/>
        <v>3.0864197530864197</v>
      </c>
      <c r="AA120" s="213">
        <f t="shared" si="118"/>
        <v>5.6112098765432092</v>
      </c>
      <c r="AB120" s="218">
        <f t="shared" si="156"/>
        <v>4.0072222115570844</v>
      </c>
      <c r="AC120" s="217">
        <v>0</v>
      </c>
      <c r="AD120" s="213">
        <f t="shared" si="157"/>
        <v>18.466504330715917</v>
      </c>
      <c r="AE120" s="218">
        <f t="shared" si="119"/>
        <v>18.466504330715917</v>
      </c>
      <c r="AF120" s="58">
        <f t="shared" si="158"/>
        <v>1.1300000000000001</v>
      </c>
      <c r="AG120" s="61">
        <f t="shared" si="159"/>
        <v>1.1300000000000001</v>
      </c>
      <c r="AH120" s="58">
        <f t="shared" si="160"/>
        <v>3.7735900154071658</v>
      </c>
      <c r="AI120" s="49">
        <f t="shared" si="161"/>
        <v>5.1778043678197994E-2</v>
      </c>
      <c r="AJ120" s="61">
        <f t="shared" si="120"/>
        <v>3.8253680590853638</v>
      </c>
      <c r="AK120" s="217">
        <f t="shared" si="162"/>
        <v>56.5</v>
      </c>
      <c r="AL120" s="213">
        <f t="shared" si="107"/>
        <v>1500</v>
      </c>
      <c r="AM120" s="218">
        <f t="shared" si="170"/>
        <v>3.7666666666666668E-2</v>
      </c>
      <c r="AN120" s="217">
        <f t="shared" si="171"/>
        <v>2</v>
      </c>
      <c r="AO120" s="213">
        <f t="shared" si="172"/>
        <v>7.4074074074074084E-2</v>
      </c>
      <c r="AP120" s="213">
        <f t="shared" si="173"/>
        <v>0.50849999999999995</v>
      </c>
      <c r="AQ120" s="213">
        <f t="shared" si="174"/>
        <v>0.38580246913580252</v>
      </c>
      <c r="AR120" s="213">
        <f t="shared" si="141"/>
        <v>0.70140123456790127</v>
      </c>
      <c r="AS120" s="218">
        <f t="shared" si="142"/>
        <v>0.14167669997566842</v>
      </c>
      <c r="AT120" s="217"/>
      <c r="AU120" s="213">
        <f t="shared" si="175"/>
        <v>3.8307000000000001E-2</v>
      </c>
      <c r="AV120" s="218">
        <f t="shared" si="143"/>
        <v>3.8307000000000001E-2</v>
      </c>
      <c r="AW120" s="217">
        <f t="shared" si="176"/>
        <v>0</v>
      </c>
      <c r="AX120" s="213">
        <f t="shared" si="177"/>
        <v>4.3316666666666663E-2</v>
      </c>
      <c r="AY120" s="218">
        <f t="shared" si="144"/>
        <v>4.3316666666666663E-2</v>
      </c>
      <c r="AZ120" s="217">
        <f t="shared" si="163"/>
        <v>0</v>
      </c>
      <c r="BA120" s="213">
        <f t="shared" si="164"/>
        <v>0</v>
      </c>
      <c r="BB120" s="213">
        <f t="shared" si="145"/>
        <v>0</v>
      </c>
      <c r="BC120" s="61">
        <f t="shared" si="178"/>
        <v>0</v>
      </c>
      <c r="BD120" s="58">
        <v>0</v>
      </c>
      <c r="BE120" s="49">
        <f t="shared" si="179"/>
        <v>0</v>
      </c>
      <c r="BF120" s="61">
        <f t="shared" si="146"/>
        <v>0</v>
      </c>
      <c r="BG120" s="58">
        <f t="shared" si="180"/>
        <v>0</v>
      </c>
      <c r="BH120" s="49">
        <f t="shared" si="181"/>
        <v>0</v>
      </c>
      <c r="BI120" s="61">
        <f t="shared" si="182"/>
        <v>0</v>
      </c>
      <c r="BK120" s="217">
        <f t="shared" si="165"/>
        <v>0</v>
      </c>
      <c r="BL120" s="213">
        <f t="shared" si="111"/>
        <v>0</v>
      </c>
      <c r="BM120" s="213">
        <f t="shared" si="166"/>
        <v>0</v>
      </c>
      <c r="BN120" s="61">
        <f t="shared" si="187"/>
        <v>0</v>
      </c>
      <c r="BO120" s="58">
        <v>0</v>
      </c>
      <c r="BP120" s="49">
        <f t="shared" si="183"/>
        <v>0</v>
      </c>
      <c r="BQ120" s="61">
        <f t="shared" si="147"/>
        <v>0</v>
      </c>
      <c r="BR120" s="58">
        <f t="shared" si="184"/>
        <v>0</v>
      </c>
      <c r="BS120" s="49">
        <f t="shared" si="185"/>
        <v>0</v>
      </c>
      <c r="BT120" s="61">
        <f t="shared" si="148"/>
        <v>0</v>
      </c>
      <c r="BU120" s="58">
        <f t="shared" si="167"/>
        <v>6.4231319411185789E-2</v>
      </c>
      <c r="BV120" s="49">
        <f t="shared" si="114"/>
        <v>1.0800000000000002E-3</v>
      </c>
      <c r="BW120" s="61">
        <f t="shared" si="168"/>
        <v>6.7499999999999999E-3</v>
      </c>
      <c r="BX120" s="49">
        <f t="shared" si="138"/>
        <v>19.596504330715916</v>
      </c>
      <c r="BY120" s="49">
        <f t="shared" si="139"/>
        <v>24.705557375879135</v>
      </c>
      <c r="BZ120" s="49">
        <f t="shared" si="186"/>
        <v>69.576518930196343</v>
      </c>
    </row>
    <row r="121" spans="17:78" x14ac:dyDescent="0.4">
      <c r="Q121" s="49">
        <v>114</v>
      </c>
      <c r="R121" s="217">
        <f t="shared" si="150"/>
        <v>57</v>
      </c>
      <c r="S121" s="213">
        <f t="shared" si="94"/>
        <v>15</v>
      </c>
      <c r="T121" s="218">
        <f t="shared" si="151"/>
        <v>3.8</v>
      </c>
      <c r="U121" s="217">
        <f t="shared" si="152"/>
        <v>2</v>
      </c>
      <c r="V121" s="213">
        <f t="shared" si="153"/>
        <v>0.92592592592592593</v>
      </c>
      <c r="W121" s="213">
        <f t="shared" si="154"/>
        <v>7.407407407407407E-2</v>
      </c>
      <c r="X121" s="213">
        <f t="shared" si="116"/>
        <v>0</v>
      </c>
      <c r="Y121" s="217">
        <f t="shared" si="169"/>
        <v>4.1040000000000001</v>
      </c>
      <c r="Z121" s="213">
        <f t="shared" si="155"/>
        <v>3.0864197530864197</v>
      </c>
      <c r="AA121" s="213">
        <f t="shared" si="118"/>
        <v>5.6472098765432097</v>
      </c>
      <c r="AB121" s="218">
        <f t="shared" si="156"/>
        <v>4.0410679099461388</v>
      </c>
      <c r="AC121" s="217">
        <v>0</v>
      </c>
      <c r="AD121" s="213">
        <f t="shared" si="157"/>
        <v>18.779764330715928</v>
      </c>
      <c r="AE121" s="218">
        <f t="shared" si="119"/>
        <v>18.779764330715928</v>
      </c>
      <c r="AF121" s="58">
        <f t="shared" si="158"/>
        <v>1.1400000000000001</v>
      </c>
      <c r="AG121" s="61">
        <f t="shared" si="159"/>
        <v>1.1400000000000001</v>
      </c>
      <c r="AH121" s="58">
        <f t="shared" si="160"/>
        <v>3.8376040154071673</v>
      </c>
      <c r="AI121" s="49">
        <f t="shared" si="161"/>
        <v>5.2236256454111264E-2</v>
      </c>
      <c r="AJ121" s="61">
        <f t="shared" si="120"/>
        <v>3.8898402718612788</v>
      </c>
      <c r="AK121" s="217">
        <f t="shared" si="162"/>
        <v>57</v>
      </c>
      <c r="AL121" s="213">
        <f t="shared" si="107"/>
        <v>1500</v>
      </c>
      <c r="AM121" s="218">
        <f t="shared" si="170"/>
        <v>3.7999999999999999E-2</v>
      </c>
      <c r="AN121" s="217">
        <f t="shared" si="171"/>
        <v>2</v>
      </c>
      <c r="AO121" s="213">
        <f t="shared" si="172"/>
        <v>7.407407407407407E-2</v>
      </c>
      <c r="AP121" s="213">
        <f t="shared" si="173"/>
        <v>0.51300000000000001</v>
      </c>
      <c r="AQ121" s="213">
        <f t="shared" si="174"/>
        <v>0.38580246913580241</v>
      </c>
      <c r="AR121" s="213">
        <f t="shared" si="141"/>
        <v>0.70590123456790121</v>
      </c>
      <c r="AS121" s="218">
        <f t="shared" si="142"/>
        <v>0.14287332611791317</v>
      </c>
      <c r="AT121" s="217"/>
      <c r="AU121" s="213">
        <f t="shared" si="175"/>
        <v>3.8988000000000002E-2</v>
      </c>
      <c r="AV121" s="218">
        <f t="shared" si="143"/>
        <v>3.8988000000000002E-2</v>
      </c>
      <c r="AW121" s="217">
        <f t="shared" si="176"/>
        <v>0</v>
      </c>
      <c r="AX121" s="213">
        <f t="shared" si="177"/>
        <v>4.3699999999999996E-2</v>
      </c>
      <c r="AY121" s="218">
        <f t="shared" si="144"/>
        <v>4.3699999999999996E-2</v>
      </c>
      <c r="AZ121" s="217">
        <f t="shared" si="163"/>
        <v>0</v>
      </c>
      <c r="BA121" s="213">
        <f t="shared" si="164"/>
        <v>0</v>
      </c>
      <c r="BB121" s="213">
        <f t="shared" si="145"/>
        <v>0</v>
      </c>
      <c r="BC121" s="61">
        <f t="shared" si="178"/>
        <v>0</v>
      </c>
      <c r="BD121" s="58">
        <v>0</v>
      </c>
      <c r="BE121" s="49">
        <f t="shared" si="179"/>
        <v>0</v>
      </c>
      <c r="BF121" s="61">
        <f t="shared" si="146"/>
        <v>0</v>
      </c>
      <c r="BG121" s="58">
        <f t="shared" si="180"/>
        <v>0</v>
      </c>
      <c r="BH121" s="49">
        <f t="shared" si="181"/>
        <v>0</v>
      </c>
      <c r="BI121" s="61">
        <f t="shared" si="182"/>
        <v>0</v>
      </c>
      <c r="BK121" s="217">
        <f t="shared" si="165"/>
        <v>0</v>
      </c>
      <c r="BL121" s="213">
        <f t="shared" si="111"/>
        <v>0</v>
      </c>
      <c r="BM121" s="213">
        <f t="shared" si="166"/>
        <v>0</v>
      </c>
      <c r="BN121" s="61">
        <f t="shared" si="187"/>
        <v>0</v>
      </c>
      <c r="BO121" s="58">
        <v>0</v>
      </c>
      <c r="BP121" s="49">
        <f t="shared" si="183"/>
        <v>0</v>
      </c>
      <c r="BQ121" s="61">
        <f t="shared" si="147"/>
        <v>0</v>
      </c>
      <c r="BR121" s="58">
        <f t="shared" si="184"/>
        <v>0</v>
      </c>
      <c r="BS121" s="49">
        <f t="shared" si="185"/>
        <v>0</v>
      </c>
      <c r="BT121" s="61">
        <f t="shared" si="148"/>
        <v>0</v>
      </c>
      <c r="BU121" s="58">
        <f t="shared" si="167"/>
        <v>6.5320919411185827E-2</v>
      </c>
      <c r="BV121" s="49">
        <f t="shared" si="114"/>
        <v>1.0800000000000002E-3</v>
      </c>
      <c r="BW121" s="61">
        <f t="shared" si="168"/>
        <v>6.7499999999999999E-3</v>
      </c>
      <c r="BX121" s="49">
        <f t="shared" si="138"/>
        <v>19.919764330715928</v>
      </c>
      <c r="BY121" s="49">
        <f t="shared" si="139"/>
        <v>25.105443521988391</v>
      </c>
      <c r="BZ121" s="49">
        <f t="shared" si="186"/>
        <v>69.422924418811547</v>
      </c>
    </row>
    <row r="122" spans="17:78" x14ac:dyDescent="0.4">
      <c r="Q122" s="49">
        <v>115</v>
      </c>
      <c r="R122" s="217">
        <f t="shared" si="150"/>
        <v>57.5</v>
      </c>
      <c r="S122" s="213">
        <f t="shared" si="94"/>
        <v>15</v>
      </c>
      <c r="T122" s="218">
        <f t="shared" si="151"/>
        <v>3.8333333333333335</v>
      </c>
      <c r="U122" s="217">
        <f t="shared" si="152"/>
        <v>2</v>
      </c>
      <c r="V122" s="213">
        <f t="shared" si="153"/>
        <v>0.92592592592592593</v>
      </c>
      <c r="W122" s="213">
        <f t="shared" si="154"/>
        <v>7.407407407407407E-2</v>
      </c>
      <c r="X122" s="213">
        <f t="shared" si="116"/>
        <v>0</v>
      </c>
      <c r="Y122" s="217">
        <f t="shared" si="169"/>
        <v>4.1399999999999997</v>
      </c>
      <c r="Z122" s="213">
        <f t="shared" si="155"/>
        <v>3.0864197530864197</v>
      </c>
      <c r="AA122" s="213">
        <f t="shared" si="118"/>
        <v>5.6832098765432093</v>
      </c>
      <c r="AB122" s="218">
        <f t="shared" si="156"/>
        <v>4.0749269751489345</v>
      </c>
      <c r="AC122" s="217">
        <v>0</v>
      </c>
      <c r="AD122" s="213">
        <f t="shared" si="157"/>
        <v>19.095784330715915</v>
      </c>
      <c r="AE122" s="218">
        <f t="shared" si="119"/>
        <v>19.095784330715915</v>
      </c>
      <c r="AF122" s="58">
        <f t="shared" si="158"/>
        <v>1.1500000000000001</v>
      </c>
      <c r="AG122" s="61">
        <f t="shared" si="159"/>
        <v>1.1500000000000001</v>
      </c>
      <c r="AH122" s="58">
        <f t="shared" si="160"/>
        <v>3.9021820154071647</v>
      </c>
      <c r="AI122" s="49">
        <f t="shared" si="161"/>
        <v>5.2694469230024507E-2</v>
      </c>
      <c r="AJ122" s="61">
        <f t="shared" si="120"/>
        <v>3.9548764846371891</v>
      </c>
      <c r="AK122" s="217">
        <f t="shared" si="162"/>
        <v>57.5</v>
      </c>
      <c r="AL122" s="213">
        <f t="shared" si="107"/>
        <v>1500</v>
      </c>
      <c r="AM122" s="218">
        <f t="shared" si="170"/>
        <v>3.833333333333333E-2</v>
      </c>
      <c r="AN122" s="217">
        <f t="shared" si="171"/>
        <v>2</v>
      </c>
      <c r="AO122" s="213">
        <f t="shared" si="172"/>
        <v>7.407407407407407E-2</v>
      </c>
      <c r="AP122" s="213">
        <f t="shared" si="173"/>
        <v>0.51749999999999996</v>
      </c>
      <c r="AQ122" s="213">
        <f t="shared" si="174"/>
        <v>0.38580246913580241</v>
      </c>
      <c r="AR122" s="213">
        <f t="shared" si="141"/>
        <v>0.71040123456790116</v>
      </c>
      <c r="AS122" s="218">
        <f t="shared" si="142"/>
        <v>0.14407042484838989</v>
      </c>
      <c r="AT122" s="217"/>
      <c r="AU122" s="213">
        <f t="shared" si="175"/>
        <v>3.9674999999999995E-2</v>
      </c>
      <c r="AV122" s="218">
        <f t="shared" si="143"/>
        <v>3.9674999999999995E-2</v>
      </c>
      <c r="AW122" s="217">
        <f t="shared" si="176"/>
        <v>0</v>
      </c>
      <c r="AX122" s="213">
        <f t="shared" si="177"/>
        <v>4.4083333333333329E-2</v>
      </c>
      <c r="AY122" s="218">
        <f t="shared" si="144"/>
        <v>4.4083333333333329E-2</v>
      </c>
      <c r="AZ122" s="217">
        <f t="shared" si="163"/>
        <v>0</v>
      </c>
      <c r="BA122" s="213">
        <f t="shared" si="164"/>
        <v>0</v>
      </c>
      <c r="BB122" s="213">
        <f t="shared" si="145"/>
        <v>0</v>
      </c>
      <c r="BC122" s="61">
        <f t="shared" si="178"/>
        <v>0</v>
      </c>
      <c r="BD122" s="58">
        <v>0</v>
      </c>
      <c r="BE122" s="49">
        <f t="shared" si="179"/>
        <v>0</v>
      </c>
      <c r="BF122" s="61">
        <f t="shared" si="146"/>
        <v>0</v>
      </c>
      <c r="BG122" s="58">
        <f t="shared" si="180"/>
        <v>0</v>
      </c>
      <c r="BH122" s="49">
        <f t="shared" si="181"/>
        <v>0</v>
      </c>
      <c r="BI122" s="61">
        <f t="shared" si="182"/>
        <v>0</v>
      </c>
      <c r="BK122" s="217">
        <f t="shared" si="165"/>
        <v>0</v>
      </c>
      <c r="BL122" s="213">
        <f t="shared" si="111"/>
        <v>0</v>
      </c>
      <c r="BM122" s="213">
        <f t="shared" si="166"/>
        <v>0</v>
      </c>
      <c r="BN122" s="61">
        <f t="shared" si="187"/>
        <v>0</v>
      </c>
      <c r="BO122" s="58">
        <v>0</v>
      </c>
      <c r="BP122" s="49">
        <f t="shared" si="183"/>
        <v>0</v>
      </c>
      <c r="BQ122" s="61">
        <f t="shared" si="147"/>
        <v>0</v>
      </c>
      <c r="BR122" s="58">
        <f t="shared" si="184"/>
        <v>0</v>
      </c>
      <c r="BS122" s="49">
        <f t="shared" si="185"/>
        <v>0</v>
      </c>
      <c r="BT122" s="61">
        <f t="shared" si="148"/>
        <v>0</v>
      </c>
      <c r="BU122" s="58">
        <f t="shared" si="167"/>
        <v>6.642011941118578E-2</v>
      </c>
      <c r="BV122" s="49">
        <f t="shared" si="114"/>
        <v>1.0800000000000002E-3</v>
      </c>
      <c r="BW122" s="61">
        <f t="shared" si="168"/>
        <v>6.7499999999999999E-3</v>
      </c>
      <c r="BX122" s="49">
        <f t="shared" si="138"/>
        <v>20.245784330715914</v>
      </c>
      <c r="BY122" s="49">
        <f t="shared" si="139"/>
        <v>25.508669268097623</v>
      </c>
      <c r="BZ122" s="49">
        <f t="shared" si="186"/>
        <v>69.269873263826355</v>
      </c>
    </row>
    <row r="123" spans="17:78" x14ac:dyDescent="0.4">
      <c r="Q123" s="49">
        <v>116</v>
      </c>
      <c r="R123" s="217">
        <f t="shared" si="150"/>
        <v>58</v>
      </c>
      <c r="S123" s="213">
        <f t="shared" si="94"/>
        <v>15</v>
      </c>
      <c r="T123" s="218">
        <f t="shared" si="151"/>
        <v>3.8666666666666667</v>
      </c>
      <c r="U123" s="217">
        <f t="shared" si="152"/>
        <v>2</v>
      </c>
      <c r="V123" s="213">
        <f t="shared" si="153"/>
        <v>0.92592592592592593</v>
      </c>
      <c r="W123" s="213">
        <f t="shared" si="154"/>
        <v>7.407407407407407E-2</v>
      </c>
      <c r="X123" s="213">
        <f t="shared" si="116"/>
        <v>0</v>
      </c>
      <c r="Y123" s="217">
        <f t="shared" si="169"/>
        <v>4.1760000000000002</v>
      </c>
      <c r="Z123" s="213">
        <f t="shared" si="155"/>
        <v>3.0864197530864197</v>
      </c>
      <c r="AA123" s="213">
        <f t="shared" si="118"/>
        <v>5.7192098765432098</v>
      </c>
      <c r="AB123" s="218">
        <f t="shared" si="156"/>
        <v>4.1087990767128604</v>
      </c>
      <c r="AC123" s="217">
        <v>0</v>
      </c>
      <c r="AD123" s="213">
        <f t="shared" si="157"/>
        <v>19.414564330715923</v>
      </c>
      <c r="AE123" s="218">
        <f t="shared" si="119"/>
        <v>19.414564330715923</v>
      </c>
      <c r="AF123" s="58">
        <f t="shared" si="158"/>
        <v>1.1599999999999999</v>
      </c>
      <c r="AG123" s="61">
        <f t="shared" si="159"/>
        <v>1.1599999999999999</v>
      </c>
      <c r="AH123" s="58">
        <f t="shared" si="160"/>
        <v>3.9673240154071667</v>
      </c>
      <c r="AI123" s="49">
        <f t="shared" si="161"/>
        <v>5.3152682005937778E-2</v>
      </c>
      <c r="AJ123" s="61">
        <f t="shared" si="120"/>
        <v>4.0204766974131045</v>
      </c>
      <c r="AK123" s="217">
        <f t="shared" si="162"/>
        <v>58</v>
      </c>
      <c r="AL123" s="213">
        <f t="shared" si="107"/>
        <v>1500</v>
      </c>
      <c r="AM123" s="218">
        <f t="shared" si="170"/>
        <v>3.8666666666666669E-2</v>
      </c>
      <c r="AN123" s="217">
        <f t="shared" si="171"/>
        <v>2</v>
      </c>
      <c r="AO123" s="213">
        <f t="shared" si="172"/>
        <v>7.407407407407407E-2</v>
      </c>
      <c r="AP123" s="213">
        <f t="shared" si="173"/>
        <v>0.52200000000000002</v>
      </c>
      <c r="AQ123" s="213">
        <f t="shared" si="174"/>
        <v>0.38580246913580241</v>
      </c>
      <c r="AR123" s="213">
        <f t="shared" si="141"/>
        <v>0.71490123456790122</v>
      </c>
      <c r="AS123" s="218">
        <f t="shared" si="142"/>
        <v>0.14526798448383443</v>
      </c>
      <c r="AT123" s="217"/>
      <c r="AU123" s="213">
        <f t="shared" si="175"/>
        <v>4.0368000000000008E-2</v>
      </c>
      <c r="AV123" s="218">
        <f t="shared" si="143"/>
        <v>4.0368000000000008E-2</v>
      </c>
      <c r="AW123" s="217">
        <f t="shared" si="176"/>
        <v>0</v>
      </c>
      <c r="AX123" s="213">
        <f t="shared" si="177"/>
        <v>4.4466666666666668E-2</v>
      </c>
      <c r="AY123" s="218">
        <f t="shared" si="144"/>
        <v>4.4466666666666668E-2</v>
      </c>
      <c r="AZ123" s="217">
        <f t="shared" si="163"/>
        <v>0</v>
      </c>
      <c r="BA123" s="213">
        <f t="shared" si="164"/>
        <v>0</v>
      </c>
      <c r="BB123" s="213">
        <f t="shared" si="145"/>
        <v>0</v>
      </c>
      <c r="BC123" s="61">
        <f t="shared" si="178"/>
        <v>0</v>
      </c>
      <c r="BD123" s="58">
        <v>0</v>
      </c>
      <c r="BE123" s="49">
        <f t="shared" si="179"/>
        <v>0</v>
      </c>
      <c r="BF123" s="61">
        <f t="shared" si="146"/>
        <v>0</v>
      </c>
      <c r="BG123" s="58">
        <f t="shared" si="180"/>
        <v>0</v>
      </c>
      <c r="BH123" s="49">
        <f t="shared" si="181"/>
        <v>0</v>
      </c>
      <c r="BI123" s="61">
        <f t="shared" si="182"/>
        <v>0</v>
      </c>
      <c r="BK123" s="217">
        <f t="shared" si="165"/>
        <v>0</v>
      </c>
      <c r="BL123" s="213">
        <f t="shared" si="111"/>
        <v>0</v>
      </c>
      <c r="BM123" s="213">
        <f t="shared" si="166"/>
        <v>0</v>
      </c>
      <c r="BN123" s="61">
        <f t="shared" si="187"/>
        <v>0</v>
      </c>
      <c r="BO123" s="58">
        <v>0</v>
      </c>
      <c r="BP123" s="49">
        <f t="shared" si="183"/>
        <v>0</v>
      </c>
      <c r="BQ123" s="61">
        <f t="shared" si="147"/>
        <v>0</v>
      </c>
      <c r="BR123" s="58">
        <f t="shared" si="184"/>
        <v>0</v>
      </c>
      <c r="BS123" s="49">
        <f t="shared" si="185"/>
        <v>0</v>
      </c>
      <c r="BT123" s="61">
        <f t="shared" si="148"/>
        <v>0</v>
      </c>
      <c r="BU123" s="58">
        <f t="shared" si="167"/>
        <v>6.7528919411185814E-2</v>
      </c>
      <c r="BV123" s="49">
        <f t="shared" si="114"/>
        <v>1.0800000000000002E-3</v>
      </c>
      <c r="BW123" s="61">
        <f t="shared" si="168"/>
        <v>6.7499999999999999E-3</v>
      </c>
      <c r="BX123" s="49">
        <f t="shared" si="138"/>
        <v>20.574564330715923</v>
      </c>
      <c r="BY123" s="49">
        <f t="shared" si="139"/>
        <v>25.915234614206881</v>
      </c>
      <c r="BZ123" s="49">
        <f t="shared" si="186"/>
        <v>69.117366192980384</v>
      </c>
    </row>
    <row r="124" spans="17:78" x14ac:dyDescent="0.4">
      <c r="Q124" s="49">
        <v>117</v>
      </c>
      <c r="R124" s="217">
        <f t="shared" si="150"/>
        <v>58.5</v>
      </c>
      <c r="S124" s="213">
        <f t="shared" si="94"/>
        <v>15</v>
      </c>
      <c r="T124" s="218">
        <f t="shared" si="151"/>
        <v>3.9</v>
      </c>
      <c r="U124" s="217">
        <f t="shared" si="152"/>
        <v>2</v>
      </c>
      <c r="V124" s="213">
        <f t="shared" si="153"/>
        <v>0.92592592592592593</v>
      </c>
      <c r="W124" s="213">
        <f t="shared" si="154"/>
        <v>7.407407407407407E-2</v>
      </c>
      <c r="X124" s="213">
        <f t="shared" si="116"/>
        <v>0</v>
      </c>
      <c r="Y124" s="217">
        <f t="shared" si="169"/>
        <v>4.2119999999999997</v>
      </c>
      <c r="Z124" s="213">
        <f t="shared" si="155"/>
        <v>3.0864197530864197</v>
      </c>
      <c r="AA124" s="213">
        <f t="shared" si="118"/>
        <v>5.7552098765432094</v>
      </c>
      <c r="AB124" s="218">
        <f t="shared" si="156"/>
        <v>4.1426838948677283</v>
      </c>
      <c r="AC124" s="217">
        <v>0</v>
      </c>
      <c r="AD124" s="213">
        <f t="shared" si="157"/>
        <v>19.736104330715921</v>
      </c>
      <c r="AE124" s="218">
        <f t="shared" si="119"/>
        <v>19.736104330715921</v>
      </c>
      <c r="AF124" s="58">
        <f t="shared" si="158"/>
        <v>1.17</v>
      </c>
      <c r="AG124" s="61">
        <f t="shared" si="159"/>
        <v>1.17</v>
      </c>
      <c r="AH124" s="58">
        <f t="shared" si="160"/>
        <v>4.0330300154071663</v>
      </c>
      <c r="AI124" s="49">
        <f t="shared" si="161"/>
        <v>5.3610894781851035E-2</v>
      </c>
      <c r="AJ124" s="61">
        <f t="shared" si="120"/>
        <v>4.0866409101890175</v>
      </c>
      <c r="AK124" s="217">
        <f t="shared" si="162"/>
        <v>58.5</v>
      </c>
      <c r="AL124" s="213">
        <f t="shared" si="107"/>
        <v>1500</v>
      </c>
      <c r="AM124" s="218">
        <f t="shared" si="170"/>
        <v>3.9E-2</v>
      </c>
      <c r="AN124" s="217">
        <f t="shared" si="171"/>
        <v>2</v>
      </c>
      <c r="AO124" s="213">
        <f t="shared" si="172"/>
        <v>7.4074074074074084E-2</v>
      </c>
      <c r="AP124" s="213">
        <f t="shared" si="173"/>
        <v>0.52649999999999997</v>
      </c>
      <c r="AQ124" s="213">
        <f t="shared" si="174"/>
        <v>0.38580246913580252</v>
      </c>
      <c r="AR124" s="213">
        <f t="shared" si="141"/>
        <v>0.71940123456790128</v>
      </c>
      <c r="AS124" s="218">
        <f t="shared" si="142"/>
        <v>0.14646599371866348</v>
      </c>
      <c r="AT124" s="217"/>
      <c r="AU124" s="213">
        <f t="shared" si="175"/>
        <v>4.1066999999999999E-2</v>
      </c>
      <c r="AV124" s="218">
        <f t="shared" si="143"/>
        <v>4.1066999999999999E-2</v>
      </c>
      <c r="AW124" s="217">
        <f t="shared" si="176"/>
        <v>0</v>
      </c>
      <c r="AX124" s="213">
        <f t="shared" si="177"/>
        <v>4.4849999999999994E-2</v>
      </c>
      <c r="AY124" s="218">
        <f t="shared" si="144"/>
        <v>4.4849999999999994E-2</v>
      </c>
      <c r="AZ124" s="217">
        <f t="shared" si="163"/>
        <v>0</v>
      </c>
      <c r="BA124" s="213">
        <f t="shared" si="164"/>
        <v>0</v>
      </c>
      <c r="BB124" s="213">
        <f t="shared" si="145"/>
        <v>0</v>
      </c>
      <c r="BC124" s="61">
        <f t="shared" si="178"/>
        <v>0</v>
      </c>
      <c r="BD124" s="58">
        <v>0</v>
      </c>
      <c r="BE124" s="49">
        <f t="shared" si="179"/>
        <v>0</v>
      </c>
      <c r="BF124" s="61">
        <f t="shared" si="146"/>
        <v>0</v>
      </c>
      <c r="BG124" s="58">
        <f t="shared" si="180"/>
        <v>0</v>
      </c>
      <c r="BH124" s="49">
        <f t="shared" si="181"/>
        <v>0</v>
      </c>
      <c r="BI124" s="61">
        <f t="shared" si="182"/>
        <v>0</v>
      </c>
      <c r="BK124" s="217">
        <f t="shared" si="165"/>
        <v>0</v>
      </c>
      <c r="BL124" s="213">
        <f t="shared" si="111"/>
        <v>0</v>
      </c>
      <c r="BM124" s="213">
        <f t="shared" si="166"/>
        <v>0</v>
      </c>
      <c r="BN124" s="61">
        <f t="shared" si="187"/>
        <v>0</v>
      </c>
      <c r="BO124" s="58">
        <v>0</v>
      </c>
      <c r="BP124" s="49">
        <f t="shared" si="183"/>
        <v>0</v>
      </c>
      <c r="BQ124" s="61">
        <f t="shared" si="147"/>
        <v>0</v>
      </c>
      <c r="BR124" s="58">
        <f t="shared" si="184"/>
        <v>0</v>
      </c>
      <c r="BS124" s="49">
        <f t="shared" si="185"/>
        <v>0</v>
      </c>
      <c r="BT124" s="61">
        <f t="shared" si="148"/>
        <v>0</v>
      </c>
      <c r="BU124" s="58">
        <f t="shared" si="167"/>
        <v>6.8647319411185806E-2</v>
      </c>
      <c r="BV124" s="49">
        <f t="shared" si="114"/>
        <v>1.0800000000000002E-3</v>
      </c>
      <c r="BW124" s="61">
        <f t="shared" si="168"/>
        <v>6.7499999999999999E-3</v>
      </c>
      <c r="BX124" s="49">
        <f t="shared" si="138"/>
        <v>20.90610433071592</v>
      </c>
      <c r="BY124" s="49">
        <f t="shared" si="139"/>
        <v>26.325139560316124</v>
      </c>
      <c r="BZ124" s="49">
        <f t="shared" si="186"/>
        <v>68.965403774434975</v>
      </c>
    </row>
    <row r="125" spans="17:78" x14ac:dyDescent="0.4">
      <c r="Q125" s="49">
        <v>118</v>
      </c>
      <c r="R125" s="217">
        <f t="shared" si="150"/>
        <v>59</v>
      </c>
      <c r="S125" s="213">
        <f t="shared" si="94"/>
        <v>15</v>
      </c>
      <c r="T125" s="218">
        <f t="shared" si="151"/>
        <v>3.9333333333333331</v>
      </c>
      <c r="U125" s="217">
        <f t="shared" si="152"/>
        <v>2</v>
      </c>
      <c r="V125" s="213">
        <f t="shared" si="153"/>
        <v>0.92592592592592593</v>
      </c>
      <c r="W125" s="213">
        <f t="shared" si="154"/>
        <v>7.407407407407407E-2</v>
      </c>
      <c r="X125" s="213">
        <f t="shared" si="116"/>
        <v>0</v>
      </c>
      <c r="Y125" s="217">
        <f t="shared" si="169"/>
        <v>4.2480000000000002</v>
      </c>
      <c r="Z125" s="213">
        <f t="shared" si="155"/>
        <v>3.0864197530864197</v>
      </c>
      <c r="AA125" s="213">
        <f t="shared" si="118"/>
        <v>5.7912098765432098</v>
      </c>
      <c r="AB125" s="218">
        <f t="shared" si="156"/>
        <v>4.1765811201024761</v>
      </c>
      <c r="AC125" s="217">
        <v>0</v>
      </c>
      <c r="AD125" s="213">
        <f t="shared" si="157"/>
        <v>20.060404330715926</v>
      </c>
      <c r="AE125" s="218">
        <f t="shared" si="119"/>
        <v>20.060404330715926</v>
      </c>
      <c r="AF125" s="58">
        <f t="shared" si="158"/>
        <v>1.18</v>
      </c>
      <c r="AG125" s="61">
        <f t="shared" si="159"/>
        <v>1.18</v>
      </c>
      <c r="AH125" s="58">
        <f t="shared" si="160"/>
        <v>4.0993000154071675</v>
      </c>
      <c r="AI125" s="49">
        <f t="shared" si="161"/>
        <v>5.4069107557764291E-2</v>
      </c>
      <c r="AJ125" s="61">
        <f t="shared" si="120"/>
        <v>4.1533691229649321</v>
      </c>
      <c r="AK125" s="217">
        <f t="shared" si="162"/>
        <v>59</v>
      </c>
      <c r="AL125" s="213">
        <f t="shared" si="107"/>
        <v>1500</v>
      </c>
      <c r="AM125" s="218">
        <f t="shared" si="170"/>
        <v>3.9333333333333331E-2</v>
      </c>
      <c r="AN125" s="217">
        <f t="shared" si="171"/>
        <v>2</v>
      </c>
      <c r="AO125" s="213">
        <f t="shared" si="172"/>
        <v>7.407407407407407E-2</v>
      </c>
      <c r="AP125" s="213">
        <f t="shared" si="173"/>
        <v>0.53100000000000003</v>
      </c>
      <c r="AQ125" s="213">
        <f t="shared" si="174"/>
        <v>0.38580246913580241</v>
      </c>
      <c r="AR125" s="213">
        <f t="shared" si="141"/>
        <v>0.72390123456790123</v>
      </c>
      <c r="AS125" s="218">
        <f t="shared" si="142"/>
        <v>0.14766444161000836</v>
      </c>
      <c r="AT125" s="217"/>
      <c r="AU125" s="213">
        <f t="shared" si="175"/>
        <v>4.1771999999999997E-2</v>
      </c>
      <c r="AV125" s="218">
        <f t="shared" si="143"/>
        <v>4.1771999999999997E-2</v>
      </c>
      <c r="AW125" s="217">
        <f t="shared" si="176"/>
        <v>0</v>
      </c>
      <c r="AX125" s="213">
        <f t="shared" si="177"/>
        <v>4.5233333333333327E-2</v>
      </c>
      <c r="AY125" s="218">
        <f t="shared" si="144"/>
        <v>4.5233333333333327E-2</v>
      </c>
      <c r="AZ125" s="217">
        <f t="shared" si="163"/>
        <v>0</v>
      </c>
      <c r="BA125" s="213">
        <f t="shared" si="164"/>
        <v>0</v>
      </c>
      <c r="BB125" s="213">
        <f t="shared" si="145"/>
        <v>0</v>
      </c>
      <c r="BC125" s="61">
        <f t="shared" si="178"/>
        <v>0</v>
      </c>
      <c r="BD125" s="58">
        <v>0</v>
      </c>
      <c r="BE125" s="49">
        <f t="shared" si="179"/>
        <v>0</v>
      </c>
      <c r="BF125" s="61">
        <f t="shared" si="146"/>
        <v>0</v>
      </c>
      <c r="BG125" s="58">
        <f t="shared" si="180"/>
        <v>0</v>
      </c>
      <c r="BH125" s="49">
        <f t="shared" si="181"/>
        <v>0</v>
      </c>
      <c r="BI125" s="61">
        <f t="shared" si="182"/>
        <v>0</v>
      </c>
      <c r="BK125" s="217">
        <f t="shared" si="165"/>
        <v>0</v>
      </c>
      <c r="BL125" s="213">
        <f t="shared" si="111"/>
        <v>0</v>
      </c>
      <c r="BM125" s="213">
        <f t="shared" si="166"/>
        <v>0</v>
      </c>
      <c r="BN125" s="61">
        <f t="shared" si="187"/>
        <v>0</v>
      </c>
      <c r="BO125" s="58">
        <v>0</v>
      </c>
      <c r="BP125" s="49">
        <f t="shared" si="183"/>
        <v>0</v>
      </c>
      <c r="BQ125" s="61">
        <f t="shared" si="147"/>
        <v>0</v>
      </c>
      <c r="BR125" s="58">
        <f t="shared" si="184"/>
        <v>0</v>
      </c>
      <c r="BS125" s="49">
        <f t="shared" si="185"/>
        <v>0</v>
      </c>
      <c r="BT125" s="61">
        <f t="shared" si="148"/>
        <v>0</v>
      </c>
      <c r="BU125" s="58">
        <f t="shared" si="167"/>
        <v>6.9775319411185824E-2</v>
      </c>
      <c r="BV125" s="49">
        <f t="shared" si="114"/>
        <v>1.0800000000000002E-3</v>
      </c>
      <c r="BW125" s="61">
        <f t="shared" si="168"/>
        <v>6.7499999999999999E-3</v>
      </c>
      <c r="BX125" s="49">
        <f t="shared" si="138"/>
        <v>21.240404330715926</v>
      </c>
      <c r="BY125" s="49">
        <f t="shared" si="139"/>
        <v>26.738384106425379</v>
      </c>
      <c r="BZ125" s="49">
        <f t="shared" si="186"/>
        <v>68.813986424988443</v>
      </c>
    </row>
    <row r="126" spans="17:78" x14ac:dyDescent="0.4">
      <c r="Q126" s="49">
        <v>119</v>
      </c>
      <c r="R126" s="217">
        <f t="shared" si="150"/>
        <v>59.5</v>
      </c>
      <c r="S126" s="213">
        <f t="shared" si="94"/>
        <v>15</v>
      </c>
      <c r="T126" s="218">
        <f t="shared" si="151"/>
        <v>3.9666666666666668</v>
      </c>
      <c r="U126" s="217">
        <f t="shared" si="152"/>
        <v>2</v>
      </c>
      <c r="V126" s="213">
        <f t="shared" si="153"/>
        <v>0.92592592592592593</v>
      </c>
      <c r="W126" s="213">
        <f t="shared" si="154"/>
        <v>7.407407407407407E-2</v>
      </c>
      <c r="X126" s="213">
        <f t="shared" si="116"/>
        <v>0</v>
      </c>
      <c r="Y126" s="217">
        <f t="shared" si="169"/>
        <v>4.2839999999999998</v>
      </c>
      <c r="Z126" s="213">
        <f t="shared" si="155"/>
        <v>3.0864197530864197</v>
      </c>
      <c r="AA126" s="213">
        <f t="shared" si="118"/>
        <v>5.8272098765432094</v>
      </c>
      <c r="AB126" s="218">
        <f t="shared" si="156"/>
        <v>4.2104904527615838</v>
      </c>
      <c r="AC126" s="217">
        <v>0</v>
      </c>
      <c r="AD126" s="213">
        <f t="shared" si="157"/>
        <v>20.387464330715915</v>
      </c>
      <c r="AE126" s="218">
        <f t="shared" si="119"/>
        <v>20.387464330715915</v>
      </c>
      <c r="AF126" s="58">
        <f t="shared" si="158"/>
        <v>1.19</v>
      </c>
      <c r="AG126" s="61">
        <f t="shared" si="159"/>
        <v>1.19</v>
      </c>
      <c r="AH126" s="58">
        <f t="shared" si="160"/>
        <v>4.1661340154071649</v>
      </c>
      <c r="AI126" s="49">
        <f t="shared" si="161"/>
        <v>5.4527320333677548E-2</v>
      </c>
      <c r="AJ126" s="61">
        <f t="shared" si="120"/>
        <v>4.220661335740842</v>
      </c>
      <c r="AK126" s="217">
        <f t="shared" si="162"/>
        <v>59.5</v>
      </c>
      <c r="AL126" s="213">
        <f t="shared" si="107"/>
        <v>1500</v>
      </c>
      <c r="AM126" s="218">
        <f t="shared" si="170"/>
        <v>3.966666666666667E-2</v>
      </c>
      <c r="AN126" s="217">
        <f t="shared" si="171"/>
        <v>2</v>
      </c>
      <c r="AO126" s="213">
        <f t="shared" si="172"/>
        <v>7.4074074074074084E-2</v>
      </c>
      <c r="AP126" s="213">
        <f t="shared" si="173"/>
        <v>0.53549999999999998</v>
      </c>
      <c r="AQ126" s="213">
        <f t="shared" si="174"/>
        <v>0.38580246913580252</v>
      </c>
      <c r="AR126" s="213">
        <f t="shared" si="141"/>
        <v>0.72840123456790118</v>
      </c>
      <c r="AS126" s="218">
        <f t="shared" si="142"/>
        <v>0.14886331756344665</v>
      </c>
      <c r="AT126" s="217"/>
      <c r="AU126" s="213">
        <f t="shared" si="175"/>
        <v>4.2483000000000007E-2</v>
      </c>
      <c r="AV126" s="218">
        <f t="shared" si="143"/>
        <v>4.2483000000000007E-2</v>
      </c>
      <c r="AW126" s="217">
        <f t="shared" si="176"/>
        <v>0</v>
      </c>
      <c r="AX126" s="213">
        <f t="shared" si="177"/>
        <v>4.5616666666666666E-2</v>
      </c>
      <c r="AY126" s="218">
        <f t="shared" si="144"/>
        <v>4.5616666666666666E-2</v>
      </c>
      <c r="AZ126" s="217">
        <f t="shared" si="163"/>
        <v>0</v>
      </c>
      <c r="BA126" s="213">
        <f t="shared" si="164"/>
        <v>0</v>
      </c>
      <c r="BB126" s="213">
        <f t="shared" si="145"/>
        <v>0</v>
      </c>
      <c r="BC126" s="61">
        <f t="shared" si="178"/>
        <v>0</v>
      </c>
      <c r="BD126" s="58">
        <v>0</v>
      </c>
      <c r="BE126" s="49">
        <f t="shared" si="179"/>
        <v>0</v>
      </c>
      <c r="BF126" s="61">
        <f t="shared" si="146"/>
        <v>0</v>
      </c>
      <c r="BG126" s="58">
        <f t="shared" si="180"/>
        <v>0</v>
      </c>
      <c r="BH126" s="49">
        <f t="shared" si="181"/>
        <v>0</v>
      </c>
      <c r="BI126" s="61">
        <f t="shared" si="182"/>
        <v>0</v>
      </c>
      <c r="BK126" s="217">
        <f t="shared" si="165"/>
        <v>0</v>
      </c>
      <c r="BL126" s="213">
        <f t="shared" si="111"/>
        <v>0</v>
      </c>
      <c r="BM126" s="213">
        <f t="shared" si="166"/>
        <v>0</v>
      </c>
      <c r="BN126" s="61">
        <f t="shared" si="187"/>
        <v>0</v>
      </c>
      <c r="BO126" s="58">
        <v>0</v>
      </c>
      <c r="BP126" s="49">
        <f t="shared" si="183"/>
        <v>0</v>
      </c>
      <c r="BQ126" s="61">
        <f t="shared" si="147"/>
        <v>0</v>
      </c>
      <c r="BR126" s="58">
        <f t="shared" si="184"/>
        <v>0</v>
      </c>
      <c r="BS126" s="49">
        <f t="shared" si="185"/>
        <v>0</v>
      </c>
      <c r="BT126" s="61">
        <f t="shared" si="148"/>
        <v>0</v>
      </c>
      <c r="BU126" s="58">
        <f t="shared" si="167"/>
        <v>7.0912919411185785E-2</v>
      </c>
      <c r="BV126" s="49">
        <f t="shared" si="114"/>
        <v>1.0800000000000002E-3</v>
      </c>
      <c r="BW126" s="61">
        <f t="shared" si="168"/>
        <v>6.7499999999999999E-3</v>
      </c>
      <c r="BX126" s="49">
        <f t="shared" si="138"/>
        <v>21.577464330715916</v>
      </c>
      <c r="BY126" s="49">
        <f t="shared" si="139"/>
        <v>27.154968252534612</v>
      </c>
      <c r="BZ126" s="49">
        <f t="shared" si="186"/>
        <v>68.663114417862189</v>
      </c>
    </row>
    <row r="127" spans="17:78" x14ac:dyDescent="0.4">
      <c r="Q127" s="49">
        <v>120</v>
      </c>
      <c r="R127" s="217">
        <f t="shared" si="150"/>
        <v>60</v>
      </c>
      <c r="S127" s="213">
        <f t="shared" si="94"/>
        <v>15</v>
      </c>
      <c r="T127" s="218">
        <f t="shared" si="151"/>
        <v>4</v>
      </c>
      <c r="U127" s="217">
        <f t="shared" si="152"/>
        <v>2</v>
      </c>
      <c r="V127" s="213">
        <f t="shared" si="153"/>
        <v>0.92592592592592593</v>
      </c>
      <c r="W127" s="213">
        <f t="shared" si="154"/>
        <v>7.407407407407407E-2</v>
      </c>
      <c r="X127" s="213">
        <f t="shared" si="116"/>
        <v>0</v>
      </c>
      <c r="Y127" s="217">
        <f t="shared" si="169"/>
        <v>4.32</v>
      </c>
      <c r="Z127" s="213">
        <f t="shared" si="155"/>
        <v>3.0864197530864197</v>
      </c>
      <c r="AA127" s="213">
        <f t="shared" si="118"/>
        <v>5.8632098765432099</v>
      </c>
      <c r="AB127" s="218">
        <f t="shared" si="156"/>
        <v>4.2444116026601915</v>
      </c>
      <c r="AC127" s="217">
        <v>0</v>
      </c>
      <c r="AD127" s="213">
        <f t="shared" si="157"/>
        <v>20.717284330715927</v>
      </c>
      <c r="AE127" s="218">
        <f t="shared" si="119"/>
        <v>20.717284330715927</v>
      </c>
      <c r="AF127" s="58">
        <f t="shared" si="158"/>
        <v>1.2</v>
      </c>
      <c r="AG127" s="61">
        <f t="shared" si="159"/>
        <v>1.2</v>
      </c>
      <c r="AH127" s="58">
        <f t="shared" si="160"/>
        <v>4.2335320154071674</v>
      </c>
      <c r="AI127" s="49">
        <f t="shared" si="161"/>
        <v>5.4985533109590805E-2</v>
      </c>
      <c r="AJ127" s="61">
        <f t="shared" si="120"/>
        <v>4.2885175485167579</v>
      </c>
      <c r="AK127" s="217">
        <f t="shared" si="162"/>
        <v>60</v>
      </c>
      <c r="AL127" s="213">
        <f t="shared" si="107"/>
        <v>1500</v>
      </c>
      <c r="AM127" s="218">
        <f t="shared" si="170"/>
        <v>0.04</v>
      </c>
      <c r="AN127" s="217">
        <f t="shared" si="171"/>
        <v>2</v>
      </c>
      <c r="AO127" s="213">
        <f t="shared" si="172"/>
        <v>7.4074074074074056E-2</v>
      </c>
      <c r="AP127" s="213">
        <f t="shared" si="173"/>
        <v>0.54000000000000015</v>
      </c>
      <c r="AQ127" s="213">
        <f t="shared" si="174"/>
        <v>0.38580246913580241</v>
      </c>
      <c r="AR127" s="213">
        <f t="shared" si="141"/>
        <v>0.73290123456790135</v>
      </c>
      <c r="AS127" s="218">
        <f t="shared" si="142"/>
        <v>0.15006261131939419</v>
      </c>
      <c r="AT127" s="217"/>
      <c r="AU127" s="213">
        <f t="shared" si="175"/>
        <v>4.3200000000000002E-2</v>
      </c>
      <c r="AV127" s="218">
        <f t="shared" si="143"/>
        <v>4.3200000000000002E-2</v>
      </c>
      <c r="AW127" s="217">
        <f t="shared" si="176"/>
        <v>0</v>
      </c>
      <c r="AX127" s="213">
        <f t="shared" si="177"/>
        <v>4.5999999999999999E-2</v>
      </c>
      <c r="AY127" s="218">
        <f t="shared" si="144"/>
        <v>4.5999999999999999E-2</v>
      </c>
      <c r="AZ127" s="217">
        <f t="shared" si="163"/>
        <v>0</v>
      </c>
      <c r="BA127" s="213">
        <f t="shared" si="164"/>
        <v>0</v>
      </c>
      <c r="BB127" s="213">
        <f t="shared" si="145"/>
        <v>0</v>
      </c>
      <c r="BC127" s="61">
        <f t="shared" si="178"/>
        <v>0</v>
      </c>
      <c r="BD127" s="58">
        <v>0</v>
      </c>
      <c r="BE127" s="49">
        <f t="shared" si="179"/>
        <v>0</v>
      </c>
      <c r="BF127" s="61">
        <f t="shared" si="146"/>
        <v>0</v>
      </c>
      <c r="BG127" s="58">
        <f t="shared" si="180"/>
        <v>0</v>
      </c>
      <c r="BH127" s="49">
        <f t="shared" si="181"/>
        <v>0</v>
      </c>
      <c r="BI127" s="61">
        <f t="shared" si="182"/>
        <v>0</v>
      </c>
      <c r="BK127" s="217">
        <f t="shared" si="165"/>
        <v>0</v>
      </c>
      <c r="BL127" s="213">
        <f t="shared" si="111"/>
        <v>0</v>
      </c>
      <c r="BM127" s="213">
        <f t="shared" si="166"/>
        <v>0</v>
      </c>
      <c r="BN127" s="61">
        <f t="shared" si="187"/>
        <v>0</v>
      </c>
      <c r="BO127" s="58">
        <v>0</v>
      </c>
      <c r="BP127" s="49">
        <f t="shared" si="183"/>
        <v>0</v>
      </c>
      <c r="BQ127" s="61">
        <f t="shared" si="147"/>
        <v>0</v>
      </c>
      <c r="BR127" s="58">
        <f t="shared" si="184"/>
        <v>0</v>
      </c>
      <c r="BS127" s="49">
        <f t="shared" si="185"/>
        <v>0</v>
      </c>
      <c r="BT127" s="61">
        <f t="shared" si="148"/>
        <v>0</v>
      </c>
      <c r="BU127" s="58">
        <f t="shared" si="167"/>
        <v>7.2060119411185827E-2</v>
      </c>
      <c r="BV127" s="49">
        <f t="shared" si="114"/>
        <v>1.0800000000000002E-3</v>
      </c>
      <c r="BW127" s="61">
        <f t="shared" si="168"/>
        <v>6.7499999999999999E-3</v>
      </c>
      <c r="BX127" s="49">
        <f t="shared" si="138"/>
        <v>21.917284330715926</v>
      </c>
      <c r="BY127" s="49">
        <f t="shared" si="139"/>
        <v>27.574891998643871</v>
      </c>
      <c r="BZ127" s="49">
        <f t="shared" si="186"/>
        <v>68.512787890082834</v>
      </c>
    </row>
    <row r="128" spans="17:78" x14ac:dyDescent="0.4">
      <c r="Q128" s="49">
        <v>121</v>
      </c>
      <c r="R128" s="217">
        <f t="shared" si="150"/>
        <v>60.5</v>
      </c>
      <c r="S128" s="213">
        <f t="shared" si="94"/>
        <v>15</v>
      </c>
      <c r="T128" s="218">
        <f t="shared" si="151"/>
        <v>4.0333333333333332</v>
      </c>
      <c r="U128" s="217">
        <f t="shared" si="152"/>
        <v>2</v>
      </c>
      <c r="V128" s="213">
        <f t="shared" si="153"/>
        <v>0.92592592592592593</v>
      </c>
      <c r="W128" s="213">
        <f t="shared" si="154"/>
        <v>7.407407407407407E-2</v>
      </c>
      <c r="X128" s="213">
        <f t="shared" si="116"/>
        <v>0</v>
      </c>
      <c r="Y128" s="217">
        <f t="shared" si="169"/>
        <v>4.3559999999999999</v>
      </c>
      <c r="Z128" s="213">
        <f t="shared" si="155"/>
        <v>3.0864197530864197</v>
      </c>
      <c r="AA128" s="213">
        <f t="shared" si="118"/>
        <v>5.8992098765432095</v>
      </c>
      <c r="AB128" s="218">
        <f t="shared" si="156"/>
        <v>4.2783442887168919</v>
      </c>
      <c r="AC128" s="217">
        <v>0</v>
      </c>
      <c r="AD128" s="213">
        <f t="shared" si="157"/>
        <v>21.049864330715916</v>
      </c>
      <c r="AE128" s="218">
        <f t="shared" si="119"/>
        <v>21.049864330715916</v>
      </c>
      <c r="AF128" s="58">
        <f t="shared" si="158"/>
        <v>1.21</v>
      </c>
      <c r="AG128" s="61">
        <f t="shared" si="159"/>
        <v>1.21</v>
      </c>
      <c r="AH128" s="58">
        <f t="shared" si="160"/>
        <v>4.3014940154071653</v>
      </c>
      <c r="AI128" s="49">
        <f t="shared" si="161"/>
        <v>5.5443745885504048E-2</v>
      </c>
      <c r="AJ128" s="61">
        <f t="shared" si="120"/>
        <v>4.3569377612926692</v>
      </c>
      <c r="AK128" s="217">
        <f t="shared" si="162"/>
        <v>60.5</v>
      </c>
      <c r="AL128" s="213">
        <f t="shared" si="107"/>
        <v>1500</v>
      </c>
      <c r="AM128" s="218">
        <f t="shared" si="170"/>
        <v>4.0333333333333332E-2</v>
      </c>
      <c r="AN128" s="217">
        <f t="shared" si="171"/>
        <v>2</v>
      </c>
      <c r="AO128" s="213">
        <f t="shared" si="172"/>
        <v>7.407407407407407E-2</v>
      </c>
      <c r="AP128" s="213">
        <f t="shared" si="173"/>
        <v>0.54449999999999998</v>
      </c>
      <c r="AQ128" s="213">
        <f t="shared" si="174"/>
        <v>0.38580246913580241</v>
      </c>
      <c r="AR128" s="213">
        <f t="shared" si="141"/>
        <v>0.73740123456790119</v>
      </c>
      <c r="AS128" s="218">
        <f t="shared" si="142"/>
        <v>0.15126231294012255</v>
      </c>
      <c r="AT128" s="217"/>
      <c r="AU128" s="213">
        <f t="shared" si="175"/>
        <v>4.3922999999999997E-2</v>
      </c>
      <c r="AV128" s="218">
        <f t="shared" si="143"/>
        <v>4.3922999999999997E-2</v>
      </c>
      <c r="AW128" s="217">
        <f t="shared" si="176"/>
        <v>0</v>
      </c>
      <c r="AX128" s="213">
        <f t="shared" si="177"/>
        <v>4.6383333333333325E-2</v>
      </c>
      <c r="AY128" s="218">
        <f t="shared" si="144"/>
        <v>4.6383333333333325E-2</v>
      </c>
      <c r="AZ128" s="217">
        <f t="shared" si="163"/>
        <v>0</v>
      </c>
      <c r="BA128" s="213">
        <f t="shared" si="164"/>
        <v>0</v>
      </c>
      <c r="BB128" s="213">
        <f t="shared" si="145"/>
        <v>0</v>
      </c>
      <c r="BC128" s="61">
        <f t="shared" si="178"/>
        <v>0</v>
      </c>
      <c r="BD128" s="58">
        <v>0</v>
      </c>
      <c r="BE128" s="49">
        <f t="shared" si="179"/>
        <v>0</v>
      </c>
      <c r="BF128" s="61">
        <f t="shared" si="146"/>
        <v>0</v>
      </c>
      <c r="BG128" s="58">
        <f t="shared" si="180"/>
        <v>0</v>
      </c>
      <c r="BH128" s="49">
        <f t="shared" si="181"/>
        <v>0</v>
      </c>
      <c r="BI128" s="61">
        <f t="shared" si="182"/>
        <v>0</v>
      </c>
      <c r="BK128" s="217">
        <f t="shared" si="165"/>
        <v>0</v>
      </c>
      <c r="BL128" s="213">
        <f t="shared" si="111"/>
        <v>0</v>
      </c>
      <c r="BM128" s="213">
        <f t="shared" si="166"/>
        <v>0</v>
      </c>
      <c r="BN128" s="61">
        <f t="shared" si="187"/>
        <v>0</v>
      </c>
      <c r="BO128" s="58">
        <v>0</v>
      </c>
      <c r="BP128" s="49">
        <f t="shared" si="183"/>
        <v>0</v>
      </c>
      <c r="BQ128" s="61">
        <f t="shared" si="147"/>
        <v>0</v>
      </c>
      <c r="BR128" s="58">
        <f t="shared" si="184"/>
        <v>0</v>
      </c>
      <c r="BS128" s="49">
        <f t="shared" si="185"/>
        <v>0</v>
      </c>
      <c r="BT128" s="61">
        <f t="shared" si="148"/>
        <v>0</v>
      </c>
      <c r="BU128" s="58">
        <f t="shared" si="167"/>
        <v>7.3216919411185785E-2</v>
      </c>
      <c r="BV128" s="49">
        <f t="shared" si="114"/>
        <v>1.0800000000000002E-3</v>
      </c>
      <c r="BW128" s="61">
        <f t="shared" si="168"/>
        <v>6.7499999999999999E-3</v>
      </c>
      <c r="BX128" s="49">
        <f t="shared" si="138"/>
        <v>22.259864330715917</v>
      </c>
      <c r="BY128" s="49">
        <f t="shared" si="139"/>
        <v>27.998155344753105</v>
      </c>
      <c r="BZ128" s="49">
        <f t="shared" si="186"/>
        <v>68.363006849483384</v>
      </c>
    </row>
    <row r="129" spans="17:78" x14ac:dyDescent="0.4">
      <c r="Q129" s="49">
        <v>122</v>
      </c>
      <c r="R129" s="217">
        <f t="shared" si="150"/>
        <v>61</v>
      </c>
      <c r="S129" s="213">
        <f t="shared" si="94"/>
        <v>15</v>
      </c>
      <c r="T129" s="218">
        <f t="shared" si="151"/>
        <v>4.0666666666666664</v>
      </c>
      <c r="U129" s="217">
        <f t="shared" si="152"/>
        <v>2</v>
      </c>
      <c r="V129" s="213">
        <f t="shared" si="153"/>
        <v>0.92592592592592593</v>
      </c>
      <c r="W129" s="213">
        <f t="shared" si="154"/>
        <v>7.407407407407407E-2</v>
      </c>
      <c r="X129" s="213">
        <f t="shared" si="116"/>
        <v>0</v>
      </c>
      <c r="Y129" s="217">
        <f t="shared" si="169"/>
        <v>4.3919999999999995</v>
      </c>
      <c r="Z129" s="213">
        <f t="shared" si="155"/>
        <v>3.0864197530864197</v>
      </c>
      <c r="AA129" s="213">
        <f t="shared" si="118"/>
        <v>5.9352098765432091</v>
      </c>
      <c r="AB129" s="218">
        <f t="shared" si="156"/>
        <v>4.3122882386033101</v>
      </c>
      <c r="AC129" s="217">
        <v>0</v>
      </c>
      <c r="AD129" s="213">
        <f t="shared" si="157"/>
        <v>21.385204330715908</v>
      </c>
      <c r="AE129" s="218">
        <f t="shared" si="119"/>
        <v>21.385204330715908</v>
      </c>
      <c r="AF129" s="58">
        <f t="shared" si="158"/>
        <v>1.22</v>
      </c>
      <c r="AG129" s="61">
        <f t="shared" si="159"/>
        <v>1.22</v>
      </c>
      <c r="AH129" s="58">
        <f t="shared" si="160"/>
        <v>4.3700200154071629</v>
      </c>
      <c r="AI129" s="49">
        <f t="shared" si="161"/>
        <v>5.5901958661417304E-2</v>
      </c>
      <c r="AJ129" s="61">
        <f t="shared" si="120"/>
        <v>4.4259219740685802</v>
      </c>
      <c r="AK129" s="217">
        <f t="shared" si="162"/>
        <v>61</v>
      </c>
      <c r="AL129" s="213">
        <f t="shared" si="107"/>
        <v>1500</v>
      </c>
      <c r="AM129" s="218">
        <f t="shared" si="170"/>
        <v>4.0666666666666663E-2</v>
      </c>
      <c r="AN129" s="217">
        <f t="shared" si="171"/>
        <v>2</v>
      </c>
      <c r="AO129" s="213">
        <f t="shared" si="172"/>
        <v>7.4074074074074084E-2</v>
      </c>
      <c r="AP129" s="213">
        <f t="shared" si="173"/>
        <v>0.54899999999999993</v>
      </c>
      <c r="AQ129" s="213">
        <f t="shared" si="174"/>
        <v>0.38580246913580252</v>
      </c>
      <c r="AR129" s="213">
        <f t="shared" si="141"/>
        <v>0.74190123456790125</v>
      </c>
      <c r="AS129" s="218">
        <f t="shared" si="142"/>
        <v>0.15246241279736972</v>
      </c>
      <c r="AT129" s="217"/>
      <c r="AU129" s="213">
        <f t="shared" si="175"/>
        <v>4.465199999999999E-2</v>
      </c>
      <c r="AV129" s="218">
        <f t="shared" si="143"/>
        <v>4.465199999999999E-2</v>
      </c>
      <c r="AW129" s="217">
        <f t="shared" si="176"/>
        <v>0</v>
      </c>
      <c r="AX129" s="213">
        <f t="shared" si="177"/>
        <v>4.6766666666666658E-2</v>
      </c>
      <c r="AY129" s="218">
        <f t="shared" si="144"/>
        <v>4.6766666666666658E-2</v>
      </c>
      <c r="AZ129" s="217">
        <f t="shared" si="163"/>
        <v>0</v>
      </c>
      <c r="BA129" s="213">
        <f t="shared" si="164"/>
        <v>0</v>
      </c>
      <c r="BB129" s="213">
        <f t="shared" si="145"/>
        <v>0</v>
      </c>
      <c r="BC129" s="61">
        <f t="shared" si="178"/>
        <v>0</v>
      </c>
      <c r="BD129" s="58">
        <v>0</v>
      </c>
      <c r="BE129" s="49">
        <f t="shared" si="179"/>
        <v>0</v>
      </c>
      <c r="BF129" s="61">
        <f t="shared" si="146"/>
        <v>0</v>
      </c>
      <c r="BG129" s="58">
        <f t="shared" si="180"/>
        <v>0</v>
      </c>
      <c r="BH129" s="49">
        <f t="shared" si="181"/>
        <v>0</v>
      </c>
      <c r="BI129" s="61">
        <f t="shared" si="182"/>
        <v>0</v>
      </c>
      <c r="BK129" s="217">
        <f t="shared" si="165"/>
        <v>0</v>
      </c>
      <c r="BL129" s="213">
        <f t="shared" si="111"/>
        <v>0</v>
      </c>
      <c r="BM129" s="213">
        <f t="shared" si="166"/>
        <v>0</v>
      </c>
      <c r="BN129" s="61">
        <f t="shared" si="187"/>
        <v>0</v>
      </c>
      <c r="BO129" s="58">
        <v>0</v>
      </c>
      <c r="BP129" s="49">
        <f t="shared" si="183"/>
        <v>0</v>
      </c>
      <c r="BQ129" s="61">
        <f t="shared" si="147"/>
        <v>0</v>
      </c>
      <c r="BR129" s="58">
        <f t="shared" si="184"/>
        <v>0</v>
      </c>
      <c r="BS129" s="49">
        <f t="shared" si="185"/>
        <v>0</v>
      </c>
      <c r="BT129" s="61">
        <f t="shared" si="148"/>
        <v>0</v>
      </c>
      <c r="BU129" s="58">
        <f t="shared" si="167"/>
        <v>7.4383319411185755E-2</v>
      </c>
      <c r="BV129" s="49">
        <f t="shared" si="114"/>
        <v>1.0800000000000002E-3</v>
      </c>
      <c r="BW129" s="61">
        <f t="shared" si="168"/>
        <v>6.7499999999999999E-3</v>
      </c>
      <c r="BX129" s="49">
        <f t="shared" si="138"/>
        <v>22.605204330715907</v>
      </c>
      <c r="BY129" s="49">
        <f t="shared" si="139"/>
        <v>28.424758290862339</v>
      </c>
      <c r="BZ129" s="49">
        <f t="shared" si="186"/>
        <v>68.213771181345365</v>
      </c>
    </row>
    <row r="130" spans="17:78" x14ac:dyDescent="0.4">
      <c r="Q130" s="49">
        <v>123</v>
      </c>
      <c r="R130" s="217">
        <f t="shared" si="150"/>
        <v>61.5</v>
      </c>
      <c r="S130" s="213">
        <f t="shared" si="94"/>
        <v>15</v>
      </c>
      <c r="T130" s="218">
        <f t="shared" si="151"/>
        <v>4.0999999999999996</v>
      </c>
      <c r="U130" s="217">
        <f t="shared" si="152"/>
        <v>2</v>
      </c>
      <c r="V130" s="213">
        <f t="shared" si="153"/>
        <v>0.92592592592592593</v>
      </c>
      <c r="W130" s="213">
        <f t="shared" si="154"/>
        <v>7.407407407407407E-2</v>
      </c>
      <c r="X130" s="213">
        <f t="shared" si="116"/>
        <v>0</v>
      </c>
      <c r="Y130" s="217">
        <f t="shared" si="169"/>
        <v>4.4279999999999999</v>
      </c>
      <c r="Z130" s="213">
        <f t="shared" si="155"/>
        <v>3.0864197530864197</v>
      </c>
      <c r="AA130" s="213">
        <f t="shared" si="118"/>
        <v>5.9712098765432096</v>
      </c>
      <c r="AB130" s="218">
        <f t="shared" si="156"/>
        <v>4.346243188409554</v>
      </c>
      <c r="AC130" s="217">
        <v>0</v>
      </c>
      <c r="AD130" s="213">
        <f t="shared" si="157"/>
        <v>21.723304330715916</v>
      </c>
      <c r="AE130" s="218">
        <f t="shared" si="119"/>
        <v>21.723304330715916</v>
      </c>
      <c r="AF130" s="58">
        <f t="shared" si="158"/>
        <v>1.23</v>
      </c>
      <c r="AG130" s="61">
        <f t="shared" si="159"/>
        <v>1.23</v>
      </c>
      <c r="AH130" s="58">
        <f t="shared" si="160"/>
        <v>4.4391100154071648</v>
      </c>
      <c r="AI130" s="49">
        <f t="shared" si="161"/>
        <v>5.6360171437330575E-2</v>
      </c>
      <c r="AJ130" s="61">
        <f t="shared" si="120"/>
        <v>4.4954701868444955</v>
      </c>
      <c r="AK130" s="217">
        <f t="shared" si="162"/>
        <v>61.5</v>
      </c>
      <c r="AL130" s="213">
        <f t="shared" si="107"/>
        <v>1500</v>
      </c>
      <c r="AM130" s="218">
        <f t="shared" si="170"/>
        <v>4.1000000000000002E-2</v>
      </c>
      <c r="AN130" s="217">
        <f t="shared" si="171"/>
        <v>2</v>
      </c>
      <c r="AO130" s="213">
        <f t="shared" si="172"/>
        <v>7.4074074074074084E-2</v>
      </c>
      <c r="AP130" s="213">
        <f t="shared" si="173"/>
        <v>0.55349999999999999</v>
      </c>
      <c r="AQ130" s="213">
        <f t="shared" si="174"/>
        <v>0.38580246913580252</v>
      </c>
      <c r="AR130" s="213">
        <f t="shared" si="141"/>
        <v>0.7464012345679012</v>
      </c>
      <c r="AS130" s="218">
        <f t="shared" si="142"/>
        <v>0.15366290156051185</v>
      </c>
      <c r="AT130" s="217"/>
      <c r="AU130" s="213">
        <f t="shared" si="175"/>
        <v>4.5387000000000004E-2</v>
      </c>
      <c r="AV130" s="218">
        <f t="shared" si="143"/>
        <v>4.5387000000000004E-2</v>
      </c>
      <c r="AW130" s="217">
        <f t="shared" si="176"/>
        <v>0</v>
      </c>
      <c r="AX130" s="213">
        <f t="shared" si="177"/>
        <v>4.7149999999999997E-2</v>
      </c>
      <c r="AY130" s="218">
        <f t="shared" si="144"/>
        <v>4.7149999999999997E-2</v>
      </c>
      <c r="AZ130" s="217">
        <f t="shared" si="163"/>
        <v>0</v>
      </c>
      <c r="BA130" s="213">
        <f t="shared" si="164"/>
        <v>0</v>
      </c>
      <c r="BB130" s="213">
        <f t="shared" si="145"/>
        <v>0</v>
      </c>
      <c r="BC130" s="61">
        <f t="shared" si="178"/>
        <v>0</v>
      </c>
      <c r="BD130" s="58">
        <v>0</v>
      </c>
      <c r="BE130" s="49">
        <f t="shared" si="179"/>
        <v>0</v>
      </c>
      <c r="BF130" s="61">
        <f t="shared" si="146"/>
        <v>0</v>
      </c>
      <c r="BG130" s="58">
        <f t="shared" si="180"/>
        <v>0</v>
      </c>
      <c r="BH130" s="49">
        <f t="shared" si="181"/>
        <v>0</v>
      </c>
      <c r="BI130" s="61">
        <f t="shared" si="182"/>
        <v>0</v>
      </c>
      <c r="BK130" s="217">
        <f t="shared" si="165"/>
        <v>0</v>
      </c>
      <c r="BL130" s="213">
        <f t="shared" si="111"/>
        <v>0</v>
      </c>
      <c r="BM130" s="213">
        <f t="shared" si="166"/>
        <v>0</v>
      </c>
      <c r="BN130" s="61">
        <f t="shared" si="187"/>
        <v>0</v>
      </c>
      <c r="BO130" s="58">
        <v>0</v>
      </c>
      <c r="BP130" s="49">
        <f t="shared" si="183"/>
        <v>0</v>
      </c>
      <c r="BQ130" s="61">
        <f t="shared" si="147"/>
        <v>0</v>
      </c>
      <c r="BR130" s="58">
        <f t="shared" si="184"/>
        <v>0</v>
      </c>
      <c r="BS130" s="49">
        <f t="shared" si="185"/>
        <v>0</v>
      </c>
      <c r="BT130" s="61">
        <f t="shared" si="148"/>
        <v>0</v>
      </c>
      <c r="BU130" s="58">
        <f t="shared" si="167"/>
        <v>7.555931941118578E-2</v>
      </c>
      <c r="BV130" s="49">
        <f t="shared" si="114"/>
        <v>1.0800000000000002E-3</v>
      </c>
      <c r="BW130" s="61">
        <f t="shared" si="168"/>
        <v>6.7499999999999999E-3</v>
      </c>
      <c r="BX130" s="49">
        <f t="shared" si="138"/>
        <v>22.953304330715916</v>
      </c>
      <c r="BY130" s="49">
        <f t="shared" si="139"/>
        <v>28.854700836971599</v>
      </c>
      <c r="BZ130" s="49">
        <f t="shared" si="186"/>
        <v>68.065080654702641</v>
      </c>
    </row>
    <row r="131" spans="17:78" x14ac:dyDescent="0.4">
      <c r="Q131" s="49">
        <v>124</v>
      </c>
      <c r="R131" s="217">
        <f t="shared" si="150"/>
        <v>62</v>
      </c>
      <c r="S131" s="213">
        <f t="shared" si="94"/>
        <v>15</v>
      </c>
      <c r="T131" s="218">
        <f t="shared" si="151"/>
        <v>4.1333333333333337</v>
      </c>
      <c r="U131" s="217">
        <f t="shared" si="152"/>
        <v>2</v>
      </c>
      <c r="V131" s="213">
        <f t="shared" si="153"/>
        <v>0.92592592592592593</v>
      </c>
      <c r="W131" s="213">
        <f t="shared" si="154"/>
        <v>7.407407407407407E-2</v>
      </c>
      <c r="X131" s="213">
        <f t="shared" si="116"/>
        <v>0</v>
      </c>
      <c r="Y131" s="217">
        <f t="shared" si="169"/>
        <v>4.4639999999999995</v>
      </c>
      <c r="Z131" s="213">
        <f t="shared" si="155"/>
        <v>3.0864197530864197</v>
      </c>
      <c r="AA131" s="213">
        <f t="shared" si="118"/>
        <v>6.0072098765432091</v>
      </c>
      <c r="AB131" s="218">
        <f t="shared" si="156"/>
        <v>4.3802088823247285</v>
      </c>
      <c r="AC131" s="217">
        <v>0</v>
      </c>
      <c r="AD131" s="213">
        <f t="shared" si="157"/>
        <v>22.064164330715919</v>
      </c>
      <c r="AE131" s="218">
        <f t="shared" si="119"/>
        <v>22.064164330715919</v>
      </c>
      <c r="AF131" s="58">
        <f t="shared" si="158"/>
        <v>1.24</v>
      </c>
      <c r="AG131" s="61">
        <f t="shared" si="159"/>
        <v>1.24</v>
      </c>
      <c r="AH131" s="58">
        <f t="shared" si="160"/>
        <v>4.5087640154071655</v>
      </c>
      <c r="AI131" s="49">
        <f t="shared" si="161"/>
        <v>5.6818384213243818E-2</v>
      </c>
      <c r="AJ131" s="61">
        <f t="shared" si="120"/>
        <v>4.5655823996204097</v>
      </c>
      <c r="AK131" s="217">
        <f t="shared" si="162"/>
        <v>62</v>
      </c>
      <c r="AL131" s="213">
        <f t="shared" si="107"/>
        <v>1500</v>
      </c>
      <c r="AM131" s="218">
        <f t="shared" si="170"/>
        <v>4.1333333333333333E-2</v>
      </c>
      <c r="AN131" s="217">
        <f t="shared" si="171"/>
        <v>2</v>
      </c>
      <c r="AO131" s="213">
        <f t="shared" si="172"/>
        <v>7.4074074074074084E-2</v>
      </c>
      <c r="AP131" s="213">
        <f t="shared" si="173"/>
        <v>0.55799999999999994</v>
      </c>
      <c r="AQ131" s="213">
        <f t="shared" si="174"/>
        <v>0.38580246913580252</v>
      </c>
      <c r="AR131" s="213">
        <f t="shared" si="141"/>
        <v>0.75090123456790114</v>
      </c>
      <c r="AS131" s="218">
        <f t="shared" si="142"/>
        <v>0.15486377018526817</v>
      </c>
      <c r="AT131" s="217"/>
      <c r="AU131" s="213">
        <f t="shared" si="175"/>
        <v>4.6128000000000002E-2</v>
      </c>
      <c r="AV131" s="218">
        <f t="shared" si="143"/>
        <v>4.6128000000000002E-2</v>
      </c>
      <c r="AW131" s="217">
        <f t="shared" si="176"/>
        <v>0</v>
      </c>
      <c r="AX131" s="213">
        <f t="shared" si="177"/>
        <v>4.753333333333333E-2</v>
      </c>
      <c r="AY131" s="218">
        <f t="shared" si="144"/>
        <v>4.753333333333333E-2</v>
      </c>
      <c r="AZ131" s="217">
        <f t="shared" si="163"/>
        <v>0</v>
      </c>
      <c r="BA131" s="213">
        <f t="shared" si="164"/>
        <v>0</v>
      </c>
      <c r="BB131" s="213">
        <f t="shared" si="145"/>
        <v>0</v>
      </c>
      <c r="BC131" s="61">
        <f t="shared" si="178"/>
        <v>0</v>
      </c>
      <c r="BD131" s="58">
        <v>0</v>
      </c>
      <c r="BE131" s="49">
        <f t="shared" si="179"/>
        <v>0</v>
      </c>
      <c r="BF131" s="61">
        <f t="shared" si="146"/>
        <v>0</v>
      </c>
      <c r="BG131" s="58">
        <f t="shared" si="180"/>
        <v>0</v>
      </c>
      <c r="BH131" s="49">
        <f t="shared" si="181"/>
        <v>0</v>
      </c>
      <c r="BI131" s="61">
        <f t="shared" si="182"/>
        <v>0</v>
      </c>
      <c r="BK131" s="217">
        <f t="shared" si="165"/>
        <v>0</v>
      </c>
      <c r="BL131" s="213">
        <f t="shared" si="111"/>
        <v>0</v>
      </c>
      <c r="BM131" s="213">
        <f t="shared" si="166"/>
        <v>0</v>
      </c>
      <c r="BN131" s="61">
        <f t="shared" si="187"/>
        <v>0</v>
      </c>
      <c r="BO131" s="58">
        <v>0</v>
      </c>
      <c r="BP131" s="49">
        <f t="shared" si="183"/>
        <v>0</v>
      </c>
      <c r="BQ131" s="61">
        <f t="shared" si="147"/>
        <v>0</v>
      </c>
      <c r="BR131" s="58">
        <f t="shared" si="184"/>
        <v>0</v>
      </c>
      <c r="BS131" s="49">
        <f t="shared" si="185"/>
        <v>0</v>
      </c>
      <c r="BT131" s="61">
        <f t="shared" si="148"/>
        <v>0</v>
      </c>
      <c r="BU131" s="58">
        <f t="shared" si="167"/>
        <v>7.6744919411185789E-2</v>
      </c>
      <c r="BV131" s="49">
        <f t="shared" si="114"/>
        <v>1.0800000000000002E-3</v>
      </c>
      <c r="BW131" s="61">
        <f t="shared" si="168"/>
        <v>6.7499999999999999E-3</v>
      </c>
      <c r="BX131" s="49">
        <f t="shared" si="138"/>
        <v>23.304164330715917</v>
      </c>
      <c r="BY131" s="49">
        <f t="shared" si="139"/>
        <v>29.287982983080845</v>
      </c>
      <c r="BZ131" s="49">
        <f t="shared" si="186"/>
        <v>67.916934928325645</v>
      </c>
    </row>
    <row r="132" spans="17:78" x14ac:dyDescent="0.4">
      <c r="Q132" s="49">
        <v>125</v>
      </c>
      <c r="R132" s="217">
        <f t="shared" si="150"/>
        <v>62.5</v>
      </c>
      <c r="S132" s="213">
        <f t="shared" si="94"/>
        <v>15</v>
      </c>
      <c r="T132" s="218">
        <f t="shared" si="151"/>
        <v>4.166666666666667</v>
      </c>
      <c r="U132" s="217">
        <f t="shared" si="152"/>
        <v>2</v>
      </c>
      <c r="V132" s="213">
        <f t="shared" si="153"/>
        <v>0.92592592592592593</v>
      </c>
      <c r="W132" s="213">
        <f t="shared" si="154"/>
        <v>7.407407407407407E-2</v>
      </c>
      <c r="X132" s="213">
        <f t="shared" si="116"/>
        <v>0</v>
      </c>
      <c r="Y132" s="217">
        <f t="shared" si="169"/>
        <v>4.5</v>
      </c>
      <c r="Z132" s="213">
        <f t="shared" si="155"/>
        <v>3.0864197530864197</v>
      </c>
      <c r="AA132" s="213">
        <f t="shared" si="118"/>
        <v>6.0432098765432096</v>
      </c>
      <c r="AB132" s="218">
        <f t="shared" si="156"/>
        <v>4.4141850723317493</v>
      </c>
      <c r="AC132" s="217">
        <v>0</v>
      </c>
      <c r="AD132" s="213">
        <f t="shared" si="157"/>
        <v>22.40778433071592</v>
      </c>
      <c r="AE132" s="218">
        <f t="shared" si="119"/>
        <v>22.40778433071592</v>
      </c>
      <c r="AF132" s="58">
        <f t="shared" si="158"/>
        <v>1.25</v>
      </c>
      <c r="AG132" s="61">
        <f t="shared" si="159"/>
        <v>1.25</v>
      </c>
      <c r="AH132" s="58">
        <f t="shared" si="160"/>
        <v>4.5789820154071661</v>
      </c>
      <c r="AI132" s="49">
        <f t="shared" si="161"/>
        <v>5.7276596989157089E-2</v>
      </c>
      <c r="AJ132" s="61">
        <f t="shared" si="120"/>
        <v>4.6362586123963228</v>
      </c>
      <c r="AK132" s="217">
        <f t="shared" si="162"/>
        <v>62.5</v>
      </c>
      <c r="AL132" s="213">
        <f t="shared" si="107"/>
        <v>1500</v>
      </c>
      <c r="AM132" s="218">
        <f t="shared" si="170"/>
        <v>4.1666666666666664E-2</v>
      </c>
      <c r="AN132" s="217">
        <f t="shared" si="171"/>
        <v>2</v>
      </c>
      <c r="AO132" s="213">
        <f t="shared" si="172"/>
        <v>7.407407407407407E-2</v>
      </c>
      <c r="AP132" s="213">
        <f t="shared" si="173"/>
        <v>0.5625</v>
      </c>
      <c r="AQ132" s="213">
        <f t="shared" si="174"/>
        <v>0.38580246913580241</v>
      </c>
      <c r="AR132" s="213">
        <f t="shared" si="141"/>
        <v>0.7554012345679012</v>
      </c>
      <c r="AS132" s="218">
        <f t="shared" si="142"/>
        <v>0.15606500990291053</v>
      </c>
      <c r="AT132" s="217"/>
      <c r="AU132" s="213">
        <f t="shared" si="175"/>
        <v>4.6875E-2</v>
      </c>
      <c r="AV132" s="218">
        <f t="shared" si="143"/>
        <v>4.6875E-2</v>
      </c>
      <c r="AW132" s="217">
        <f t="shared" si="176"/>
        <v>0</v>
      </c>
      <c r="AX132" s="213">
        <f t="shared" si="177"/>
        <v>4.7916666666666663E-2</v>
      </c>
      <c r="AY132" s="218">
        <f t="shared" si="144"/>
        <v>4.7916666666666663E-2</v>
      </c>
      <c r="AZ132" s="217">
        <f t="shared" si="163"/>
        <v>0</v>
      </c>
      <c r="BA132" s="213">
        <f t="shared" si="164"/>
        <v>0</v>
      </c>
      <c r="BB132" s="213">
        <f t="shared" si="145"/>
        <v>0</v>
      </c>
      <c r="BC132" s="61">
        <f t="shared" si="178"/>
        <v>0</v>
      </c>
      <c r="BD132" s="58">
        <v>0</v>
      </c>
      <c r="BE132" s="49">
        <f t="shared" si="179"/>
        <v>0</v>
      </c>
      <c r="BF132" s="61">
        <f t="shared" si="146"/>
        <v>0</v>
      </c>
      <c r="BG132" s="58">
        <f t="shared" si="180"/>
        <v>0</v>
      </c>
      <c r="BH132" s="49">
        <f t="shared" si="181"/>
        <v>0</v>
      </c>
      <c r="BI132" s="61">
        <f t="shared" si="182"/>
        <v>0</v>
      </c>
      <c r="BK132" s="217">
        <f t="shared" si="165"/>
        <v>0</v>
      </c>
      <c r="BL132" s="213">
        <f t="shared" si="111"/>
        <v>0</v>
      </c>
      <c r="BM132" s="213">
        <f t="shared" si="166"/>
        <v>0</v>
      </c>
      <c r="BN132" s="61">
        <f t="shared" si="187"/>
        <v>0</v>
      </c>
      <c r="BO132" s="58">
        <v>0</v>
      </c>
      <c r="BP132" s="49">
        <f t="shared" si="183"/>
        <v>0</v>
      </c>
      <c r="BQ132" s="61">
        <f t="shared" si="147"/>
        <v>0</v>
      </c>
      <c r="BR132" s="58">
        <f t="shared" si="184"/>
        <v>0</v>
      </c>
      <c r="BS132" s="49">
        <f t="shared" si="185"/>
        <v>0</v>
      </c>
      <c r="BT132" s="61">
        <f t="shared" si="148"/>
        <v>0</v>
      </c>
      <c r="BU132" s="58">
        <f t="shared" si="167"/>
        <v>7.794011941118581E-2</v>
      </c>
      <c r="BV132" s="49">
        <f t="shared" si="114"/>
        <v>1.0800000000000002E-3</v>
      </c>
      <c r="BW132" s="61">
        <f t="shared" si="168"/>
        <v>6.7499999999999999E-3</v>
      </c>
      <c r="BX132" s="49">
        <f t="shared" si="138"/>
        <v>23.65778433071592</v>
      </c>
      <c r="BY132" s="49">
        <f t="shared" si="139"/>
        <v>29.724604729190094</v>
      </c>
      <c r="BZ132" s="49">
        <f t="shared" si="186"/>
        <v>67.769333556404035</v>
      </c>
    </row>
    <row r="133" spans="17:78" x14ac:dyDescent="0.4">
      <c r="Q133" s="49">
        <v>126</v>
      </c>
      <c r="R133" s="217">
        <f t="shared" si="150"/>
        <v>63</v>
      </c>
      <c r="S133" s="213">
        <f t="shared" si="94"/>
        <v>15</v>
      </c>
      <c r="T133" s="218">
        <f t="shared" si="151"/>
        <v>4.2</v>
      </c>
      <c r="U133" s="217">
        <f t="shared" si="152"/>
        <v>2</v>
      </c>
      <c r="V133" s="213">
        <f t="shared" si="153"/>
        <v>0.92592592592592593</v>
      </c>
      <c r="W133" s="213">
        <f t="shared" si="154"/>
        <v>7.407407407407407E-2</v>
      </c>
      <c r="X133" s="213">
        <f t="shared" si="116"/>
        <v>0</v>
      </c>
      <c r="Y133" s="217">
        <f t="shared" si="169"/>
        <v>4.5359999999999996</v>
      </c>
      <c r="Z133" s="213">
        <f t="shared" si="155"/>
        <v>3.0864197530864197</v>
      </c>
      <c r="AA133" s="213">
        <f t="shared" si="118"/>
        <v>6.0792098765432092</v>
      </c>
      <c r="AB133" s="218">
        <f t="shared" si="156"/>
        <v>4.4481715179156982</v>
      </c>
      <c r="AC133" s="217">
        <v>0</v>
      </c>
      <c r="AD133" s="213">
        <f t="shared" si="157"/>
        <v>22.754164330715916</v>
      </c>
      <c r="AE133" s="218">
        <f t="shared" si="119"/>
        <v>22.754164330715916</v>
      </c>
      <c r="AF133" s="58">
        <f t="shared" si="158"/>
        <v>1.26</v>
      </c>
      <c r="AG133" s="61">
        <f t="shared" si="159"/>
        <v>1.26</v>
      </c>
      <c r="AH133" s="58">
        <f t="shared" si="160"/>
        <v>4.6497640154071647</v>
      </c>
      <c r="AI133" s="49">
        <f t="shared" si="161"/>
        <v>5.7734809765070345E-2</v>
      </c>
      <c r="AJ133" s="61">
        <f t="shared" si="120"/>
        <v>4.7074988251722347</v>
      </c>
      <c r="AK133" s="217">
        <f t="shared" si="162"/>
        <v>63</v>
      </c>
      <c r="AL133" s="213">
        <f t="shared" si="107"/>
        <v>1500</v>
      </c>
      <c r="AM133" s="218">
        <f t="shared" si="170"/>
        <v>4.2000000000000003E-2</v>
      </c>
      <c r="AN133" s="217">
        <f t="shared" si="171"/>
        <v>2</v>
      </c>
      <c r="AO133" s="213">
        <f t="shared" si="172"/>
        <v>7.4074074074074084E-2</v>
      </c>
      <c r="AP133" s="213">
        <f t="shared" si="173"/>
        <v>0.56699999999999995</v>
      </c>
      <c r="AQ133" s="213">
        <f t="shared" si="174"/>
        <v>0.38580246913580252</v>
      </c>
      <c r="AR133" s="213">
        <f t="shared" si="141"/>
        <v>0.75990123456790126</v>
      </c>
      <c r="AS133" s="218">
        <f t="shared" si="142"/>
        <v>0.15726661220995244</v>
      </c>
      <c r="AT133" s="217"/>
      <c r="AU133" s="213">
        <f t="shared" si="175"/>
        <v>4.7628000000000004E-2</v>
      </c>
      <c r="AV133" s="218">
        <f t="shared" si="143"/>
        <v>4.7628000000000004E-2</v>
      </c>
      <c r="AW133" s="217">
        <f t="shared" si="176"/>
        <v>0</v>
      </c>
      <c r="AX133" s="213">
        <f t="shared" si="177"/>
        <v>4.8300000000000003E-2</v>
      </c>
      <c r="AY133" s="218">
        <f t="shared" si="144"/>
        <v>4.8300000000000003E-2</v>
      </c>
      <c r="AZ133" s="217">
        <f t="shared" si="163"/>
        <v>0</v>
      </c>
      <c r="BA133" s="213">
        <f t="shared" si="164"/>
        <v>0</v>
      </c>
      <c r="BB133" s="213">
        <f t="shared" si="145"/>
        <v>0</v>
      </c>
      <c r="BC133" s="61">
        <f t="shared" si="178"/>
        <v>0</v>
      </c>
      <c r="BD133" s="58">
        <v>0</v>
      </c>
      <c r="BE133" s="49">
        <f t="shared" si="179"/>
        <v>0</v>
      </c>
      <c r="BF133" s="61">
        <f t="shared" si="146"/>
        <v>0</v>
      </c>
      <c r="BG133" s="58">
        <f t="shared" si="180"/>
        <v>0</v>
      </c>
      <c r="BH133" s="49">
        <f t="shared" si="181"/>
        <v>0</v>
      </c>
      <c r="BI133" s="61">
        <f t="shared" si="182"/>
        <v>0</v>
      </c>
      <c r="BK133" s="217">
        <f t="shared" si="165"/>
        <v>0</v>
      </c>
      <c r="BL133" s="213">
        <f t="shared" si="111"/>
        <v>0</v>
      </c>
      <c r="BM133" s="213">
        <f t="shared" si="166"/>
        <v>0</v>
      </c>
      <c r="BN133" s="61">
        <f t="shared" si="187"/>
        <v>0</v>
      </c>
      <c r="BO133" s="58">
        <v>0</v>
      </c>
      <c r="BP133" s="49">
        <f t="shared" si="183"/>
        <v>0</v>
      </c>
      <c r="BQ133" s="61">
        <f t="shared" si="147"/>
        <v>0</v>
      </c>
      <c r="BR133" s="58">
        <f t="shared" si="184"/>
        <v>0</v>
      </c>
      <c r="BS133" s="49">
        <f t="shared" si="185"/>
        <v>0</v>
      </c>
      <c r="BT133" s="61">
        <f t="shared" si="148"/>
        <v>0</v>
      </c>
      <c r="BU133" s="58">
        <f t="shared" si="167"/>
        <v>7.9144919411185788E-2</v>
      </c>
      <c r="BV133" s="49">
        <f t="shared" si="114"/>
        <v>1.0800000000000002E-3</v>
      </c>
      <c r="BW133" s="61">
        <f t="shared" si="168"/>
        <v>6.7499999999999999E-3</v>
      </c>
      <c r="BX133" s="49">
        <f t="shared" si="138"/>
        <v>24.014164330715918</v>
      </c>
      <c r="BY133" s="49">
        <f t="shared" si="139"/>
        <v>30.164566075299337</v>
      </c>
      <c r="BZ133" s="49">
        <f t="shared" si="186"/>
        <v>67.622275993944811</v>
      </c>
    </row>
    <row r="134" spans="17:78" x14ac:dyDescent="0.4">
      <c r="Q134" s="49">
        <v>127</v>
      </c>
      <c r="R134" s="217">
        <f t="shared" si="150"/>
        <v>63.5</v>
      </c>
      <c r="S134" s="213">
        <f t="shared" si="94"/>
        <v>15</v>
      </c>
      <c r="T134" s="218">
        <f t="shared" si="151"/>
        <v>4.2333333333333334</v>
      </c>
      <c r="U134" s="217">
        <f t="shared" si="152"/>
        <v>2</v>
      </c>
      <c r="V134" s="213">
        <f t="shared" si="153"/>
        <v>0.92592592592592593</v>
      </c>
      <c r="W134" s="213">
        <f t="shared" si="154"/>
        <v>7.407407407407407E-2</v>
      </c>
      <c r="X134" s="213">
        <f t="shared" si="116"/>
        <v>0</v>
      </c>
      <c r="Y134" s="217">
        <f t="shared" si="169"/>
        <v>4.5720000000000001</v>
      </c>
      <c r="Z134" s="213">
        <f t="shared" si="155"/>
        <v>3.0864197530864197</v>
      </c>
      <c r="AA134" s="213">
        <f t="shared" si="118"/>
        <v>6.1152098765432097</v>
      </c>
      <c r="AB134" s="218">
        <f t="shared" si="156"/>
        <v>4.482167985785054</v>
      </c>
      <c r="AC134" s="217">
        <v>0</v>
      </c>
      <c r="AD134" s="213">
        <f t="shared" si="157"/>
        <v>23.103304330715918</v>
      </c>
      <c r="AE134" s="218">
        <f t="shared" si="119"/>
        <v>23.103304330715918</v>
      </c>
      <c r="AF134" s="58">
        <f t="shared" si="158"/>
        <v>1.27</v>
      </c>
      <c r="AG134" s="61">
        <f t="shared" si="159"/>
        <v>1.27</v>
      </c>
      <c r="AH134" s="58">
        <f t="shared" si="160"/>
        <v>4.7211100154071657</v>
      </c>
      <c r="AI134" s="49">
        <f t="shared" si="161"/>
        <v>5.8193022540983602E-2</v>
      </c>
      <c r="AJ134" s="61">
        <f t="shared" si="120"/>
        <v>4.7793030379481491</v>
      </c>
      <c r="AK134" s="217">
        <f t="shared" si="162"/>
        <v>63.5</v>
      </c>
      <c r="AL134" s="213">
        <f t="shared" si="107"/>
        <v>1500</v>
      </c>
      <c r="AM134" s="218">
        <f t="shared" si="170"/>
        <v>4.2333333333333334E-2</v>
      </c>
      <c r="AN134" s="217">
        <f t="shared" si="171"/>
        <v>2</v>
      </c>
      <c r="AO134" s="213">
        <f t="shared" si="172"/>
        <v>7.407407407407407E-2</v>
      </c>
      <c r="AP134" s="213">
        <f t="shared" si="173"/>
        <v>0.57150000000000001</v>
      </c>
      <c r="AQ134" s="213">
        <f t="shared" si="174"/>
        <v>0.38580246913580241</v>
      </c>
      <c r="AR134" s="213">
        <f t="shared" si="141"/>
        <v>0.76440123456790121</v>
      </c>
      <c r="AS134" s="218">
        <f t="shared" si="142"/>
        <v>0.15846856885829305</v>
      </c>
      <c r="AT134" s="217"/>
      <c r="AU134" s="213">
        <f t="shared" si="175"/>
        <v>4.8386999999999999E-2</v>
      </c>
      <c r="AV134" s="218">
        <f t="shared" si="143"/>
        <v>4.8386999999999999E-2</v>
      </c>
      <c r="AW134" s="217">
        <f t="shared" si="176"/>
        <v>0</v>
      </c>
      <c r="AX134" s="213">
        <f t="shared" si="177"/>
        <v>4.8683333333333328E-2</v>
      </c>
      <c r="AY134" s="218">
        <f t="shared" si="144"/>
        <v>4.8683333333333328E-2</v>
      </c>
      <c r="AZ134" s="217">
        <f t="shared" si="163"/>
        <v>0</v>
      </c>
      <c r="BA134" s="213">
        <f t="shared" si="164"/>
        <v>0</v>
      </c>
      <c r="BB134" s="213">
        <f t="shared" si="145"/>
        <v>0</v>
      </c>
      <c r="BC134" s="61">
        <f t="shared" si="178"/>
        <v>0</v>
      </c>
      <c r="BD134" s="58">
        <v>0</v>
      </c>
      <c r="BE134" s="49">
        <f t="shared" si="179"/>
        <v>0</v>
      </c>
      <c r="BF134" s="61">
        <f t="shared" si="146"/>
        <v>0</v>
      </c>
      <c r="BG134" s="58">
        <f t="shared" si="180"/>
        <v>0</v>
      </c>
      <c r="BH134" s="49">
        <f t="shared" si="181"/>
        <v>0</v>
      </c>
      <c r="BI134" s="61">
        <f t="shared" si="182"/>
        <v>0</v>
      </c>
      <c r="BK134" s="217">
        <f t="shared" si="165"/>
        <v>0</v>
      </c>
      <c r="BL134" s="213">
        <f t="shared" si="111"/>
        <v>0</v>
      </c>
      <c r="BM134" s="213">
        <f t="shared" si="166"/>
        <v>0</v>
      </c>
      <c r="BN134" s="61">
        <f t="shared" si="187"/>
        <v>0</v>
      </c>
      <c r="BO134" s="58">
        <v>0</v>
      </c>
      <c r="BP134" s="49">
        <f t="shared" si="183"/>
        <v>0</v>
      </c>
      <c r="BQ134" s="61">
        <f t="shared" si="147"/>
        <v>0</v>
      </c>
      <c r="BR134" s="58">
        <f t="shared" si="184"/>
        <v>0</v>
      </c>
      <c r="BS134" s="49">
        <f t="shared" si="185"/>
        <v>0</v>
      </c>
      <c r="BT134" s="61">
        <f t="shared" si="148"/>
        <v>0</v>
      </c>
      <c r="BU134" s="58">
        <f t="shared" si="167"/>
        <v>8.0359319411185792E-2</v>
      </c>
      <c r="BV134" s="49">
        <f t="shared" si="114"/>
        <v>1.0800000000000002E-3</v>
      </c>
      <c r="BW134" s="61">
        <f t="shared" si="168"/>
        <v>6.7499999999999999E-3</v>
      </c>
      <c r="BX134" s="49">
        <f t="shared" si="138"/>
        <v>24.373304330715918</v>
      </c>
      <c r="BY134" s="49">
        <f t="shared" si="139"/>
        <v>30.607867021408584</v>
      </c>
      <c r="BZ134" s="49">
        <f t="shared" si="186"/>
        <v>67.475761601901354</v>
      </c>
    </row>
    <row r="135" spans="17:78" x14ac:dyDescent="0.4">
      <c r="Q135" s="49">
        <v>128</v>
      </c>
      <c r="R135" s="217">
        <f t="shared" ref="R135:R157" si="188">AK135+AZ135+BK135</f>
        <v>64</v>
      </c>
      <c r="S135" s="213">
        <f t="shared" ref="S135:S157" si="189">VIN_var</f>
        <v>15</v>
      </c>
      <c r="T135" s="218">
        <f t="shared" ref="T135:T157" si="190">(R135)/(S135*EFF_est)</f>
        <v>4.2666666666666666</v>
      </c>
      <c r="U135" s="217">
        <f t="shared" ref="U135:U157" si="191">IF(R135&lt;((((Np/NS1_)*(AL135)/((S135+((Np/NS1_)*(AL135)))))^2)*(S135^2))/(2*Lm*Fsw),1,2)</f>
        <v>2</v>
      </c>
      <c r="V135" s="213">
        <f t="shared" ref="V135:V157" si="192">CHOOSE(U135,SQRT((2*Lm*R135*Fsw)/((S135^2)*EFF_est)),(((Np/NS1_)*(AL135))/(S135+((Np/NS1_)*(AL135)))))</f>
        <v>0.92592592592592593</v>
      </c>
      <c r="W135" s="213">
        <f t="shared" ref="W135:W157" si="193">CHOOSE(U135,(NS1_*S135*V135)/(Np*AL135),1-V135)</f>
        <v>7.407407407407407E-2</v>
      </c>
      <c r="X135" s="213">
        <f t="shared" si="116"/>
        <v>0</v>
      </c>
      <c r="Y135" s="217">
        <f t="shared" si="169"/>
        <v>4.6079999999999997</v>
      </c>
      <c r="Z135" s="213">
        <f t="shared" ref="Z135:Z157" si="194">(S135*V135)/(Lm*Fsw)</f>
        <v>3.0864197530864197</v>
      </c>
      <c r="AA135" s="213">
        <f t="shared" si="118"/>
        <v>6.1512098765432093</v>
      </c>
      <c r="AB135" s="218">
        <f t="shared" ref="AB135:AB157" si="195">CHOOSE(U135,AA135*SQRT(V135/3),SQRT(V135*((AA135^2)+((Z135^2)/(3))-(AA135*Z135))))</f>
        <v>4.5161742496051289</v>
      </c>
      <c r="AC135" s="217">
        <v>0</v>
      </c>
      <c r="AD135" s="213">
        <f t="shared" ref="AD135:AD157" si="196">(AB135^2)*Rdcr</f>
        <v>23.455204330715919</v>
      </c>
      <c r="AE135" s="218">
        <f t="shared" si="119"/>
        <v>23.455204330715919</v>
      </c>
      <c r="AF135" s="58">
        <f t="shared" ref="AF135:AF157" si="197">R135*0.02</f>
        <v>1.28</v>
      </c>
      <c r="AG135" s="61">
        <f t="shared" ref="AG135:AG157" si="198">R135*0.02</f>
        <v>1.28</v>
      </c>
      <c r="AH135" s="58">
        <f t="shared" ref="AH135:AH157" si="199">(AB135^2)*RDS_on</f>
        <v>4.7930200154071656</v>
      </c>
      <c r="AI135" s="49">
        <f t="shared" ref="AI135:AI157" si="200">((Y135*(S135+((Np/NS1_)*VOUT1)))/2)*Fsw*(tr_sw+tf_sw)</f>
        <v>5.8651235316896845E-2</v>
      </c>
      <c r="AJ135" s="61">
        <f t="shared" si="120"/>
        <v>4.8516712507240625</v>
      </c>
      <c r="AK135" s="217">
        <f t="shared" ref="AK135:AK157" si="201">Q135*$B$11</f>
        <v>64</v>
      </c>
      <c r="AL135" s="213">
        <f t="shared" ref="AL135:AL157" si="202">VOUT1</f>
        <v>1500</v>
      </c>
      <c r="AM135" s="218">
        <f t="shared" si="170"/>
        <v>4.2666666666666665E-2</v>
      </c>
      <c r="AN135" s="217">
        <f t="shared" si="171"/>
        <v>2</v>
      </c>
      <c r="AO135" s="213">
        <f t="shared" si="172"/>
        <v>7.4074074074074084E-2</v>
      </c>
      <c r="AP135" s="213">
        <f t="shared" si="173"/>
        <v>0.57599999999999996</v>
      </c>
      <c r="AQ135" s="213">
        <f t="shared" si="174"/>
        <v>0.38580246913580252</v>
      </c>
      <c r="AR135" s="213">
        <f t="shared" si="141"/>
        <v>0.76890123456790116</v>
      </c>
      <c r="AS135" s="218">
        <f t="shared" si="142"/>
        <v>0.15967087184579271</v>
      </c>
      <c r="AT135" s="217"/>
      <c r="AU135" s="213">
        <f t="shared" si="175"/>
        <v>4.9152000000000001E-2</v>
      </c>
      <c r="AV135" s="218">
        <f t="shared" si="143"/>
        <v>4.9152000000000001E-2</v>
      </c>
      <c r="AW135" s="217">
        <f t="shared" si="176"/>
        <v>0</v>
      </c>
      <c r="AX135" s="213">
        <f t="shared" si="177"/>
        <v>4.9066666666666661E-2</v>
      </c>
      <c r="AY135" s="218">
        <f t="shared" si="144"/>
        <v>4.9066666666666661E-2</v>
      </c>
      <c r="AZ135" s="217">
        <f t="shared" ref="AZ135:AZ157" si="203">IF(EN_OUT_2=1,Q135*$B$15,0)</f>
        <v>0</v>
      </c>
      <c r="BA135" s="213">
        <f t="shared" ref="BA135:BA157" si="204">IF(EN_OUT_2=1,VOUT2,0)</f>
        <v>0</v>
      </c>
      <c r="BB135" s="213">
        <f t="shared" si="145"/>
        <v>0</v>
      </c>
      <c r="BC135" s="61">
        <f t="shared" si="178"/>
        <v>0</v>
      </c>
      <c r="BD135" s="58">
        <v>0</v>
      </c>
      <c r="BE135" s="49">
        <f t="shared" si="179"/>
        <v>0</v>
      </c>
      <c r="BF135" s="61">
        <f t="shared" si="146"/>
        <v>0</v>
      </c>
      <c r="BG135" s="58">
        <f t="shared" si="180"/>
        <v>0</v>
      </c>
      <c r="BH135" s="49">
        <f t="shared" si="181"/>
        <v>0</v>
      </c>
      <c r="BI135" s="61">
        <f t="shared" si="182"/>
        <v>0</v>
      </c>
      <c r="BK135" s="217">
        <f t="shared" ref="BK135:BK157" si="205">IF(EN_OUT_3=1,Q135*$B$19,0)</f>
        <v>0</v>
      </c>
      <c r="BL135" s="213">
        <f t="shared" ref="BL135:BL157" si="206">IF(EN_OUT_3=1,VOUT3,0)</f>
        <v>0</v>
      </c>
      <c r="BM135" s="213">
        <f t="shared" ref="BM135:BM157" si="207">IF(EN_OUT_3=1,BK135/BL135,0)</f>
        <v>0</v>
      </c>
      <c r="BN135" s="61">
        <f t="shared" si="187"/>
        <v>0</v>
      </c>
      <c r="BO135" s="58">
        <v>0</v>
      </c>
      <c r="BP135" s="49">
        <f t="shared" si="183"/>
        <v>0</v>
      </c>
      <c r="BQ135" s="61">
        <f t="shared" si="147"/>
        <v>0</v>
      </c>
      <c r="BR135" s="58">
        <f t="shared" si="184"/>
        <v>0</v>
      </c>
      <c r="BS135" s="49">
        <f t="shared" si="185"/>
        <v>0</v>
      </c>
      <c r="BT135" s="61">
        <f t="shared" si="148"/>
        <v>0</v>
      </c>
      <c r="BU135" s="58">
        <f t="shared" ref="BU135:BU157" si="208">(AB135^2)*R_cs</f>
        <v>8.1583319411185795E-2</v>
      </c>
      <c r="BV135" s="49">
        <f t="shared" ref="BV135:BV157" si="209">Qg_tot*Vcc*Fsw</f>
        <v>1.0800000000000002E-3</v>
      </c>
      <c r="BW135" s="61">
        <f t="shared" ref="BW135:BW157" si="210">IQ*S135</f>
        <v>6.7499999999999999E-3</v>
      </c>
      <c r="BX135" s="49">
        <f t="shared" si="138"/>
        <v>24.73520433071592</v>
      </c>
      <c r="BY135" s="49">
        <f t="shared" si="139"/>
        <v>31.054507567517835</v>
      </c>
      <c r="BZ135" s="49">
        <f t="shared" si="186"/>
        <v>67.329789652048206</v>
      </c>
    </row>
    <row r="136" spans="17:78" x14ac:dyDescent="0.4">
      <c r="Q136" s="49">
        <v>129</v>
      </c>
      <c r="R136" s="217">
        <f t="shared" si="188"/>
        <v>64.5</v>
      </c>
      <c r="S136" s="213">
        <f t="shared" si="189"/>
        <v>15</v>
      </c>
      <c r="T136" s="218">
        <f t="shared" si="190"/>
        <v>4.3</v>
      </c>
      <c r="U136" s="217">
        <f t="shared" si="191"/>
        <v>2</v>
      </c>
      <c r="V136" s="213">
        <f t="shared" si="192"/>
        <v>0.92592592592592593</v>
      </c>
      <c r="W136" s="213">
        <f t="shared" si="193"/>
        <v>7.407407407407407E-2</v>
      </c>
      <c r="X136" s="213">
        <f t="shared" ref="X136:X157" si="211">CHOOSE(U136,1-V136-W136,0)</f>
        <v>0</v>
      </c>
      <c r="Y136" s="217">
        <f t="shared" ref="Y136:Y157" si="212">R136/(S136*EFF_est*V136)</f>
        <v>4.6440000000000001</v>
      </c>
      <c r="Z136" s="213">
        <f t="shared" si="194"/>
        <v>3.0864197530864197</v>
      </c>
      <c r="AA136" s="213">
        <f t="shared" ref="AA136:AA156" si="213">Y136+(Z136/2)</f>
        <v>6.1872098765432098</v>
      </c>
      <c r="AB136" s="218">
        <f t="shared" si="195"/>
        <v>4.550190089743114</v>
      </c>
      <c r="AC136" s="217">
        <v>0</v>
      </c>
      <c r="AD136" s="213">
        <f t="shared" si="196"/>
        <v>23.809864330715918</v>
      </c>
      <c r="AE136" s="218">
        <f t="shared" ref="AE136:AE157" si="214">AC136+AD136</f>
        <v>23.809864330715918</v>
      </c>
      <c r="AF136" s="58">
        <f t="shared" si="197"/>
        <v>1.29</v>
      </c>
      <c r="AG136" s="61">
        <f t="shared" si="198"/>
        <v>1.29</v>
      </c>
      <c r="AH136" s="58">
        <f t="shared" si="199"/>
        <v>4.8654940154071653</v>
      </c>
      <c r="AI136" s="49">
        <f t="shared" si="200"/>
        <v>5.9109448092810123E-2</v>
      </c>
      <c r="AJ136" s="61">
        <f t="shared" ref="AJ136:AJ157" si="215">AH136+AI136</f>
        <v>4.9246034634999756</v>
      </c>
      <c r="AK136" s="217">
        <f t="shared" si="201"/>
        <v>64.5</v>
      </c>
      <c r="AL136" s="213">
        <f t="shared" si="202"/>
        <v>1500</v>
      </c>
      <c r="AM136" s="218">
        <f t="shared" ref="AM136:AM157" si="216">AK136/AL136</f>
        <v>4.2999999999999997E-2</v>
      </c>
      <c r="AN136" s="217">
        <f t="shared" ref="AN136:AN157" si="217">IF(((AL136*AO136)/(Fsw*$AO$2))/2&gt;AP136,1,2)</f>
        <v>2</v>
      </c>
      <c r="AO136" s="213">
        <f t="shared" ref="AO136:AO157" si="218">AM136/AP136</f>
        <v>7.407407407407407E-2</v>
      </c>
      <c r="AP136" s="213">
        <f t="shared" ref="AP136:AP157" si="219">Np*$Y136*AK136/(R136*NS1_)</f>
        <v>0.58050000000000002</v>
      </c>
      <c r="AQ136" s="213">
        <f t="shared" ref="AQ136:AQ157" si="220">(AL136*AO136)/(Fsw*$AO$2)</f>
        <v>0.38580246913580241</v>
      </c>
      <c r="AR136" s="213">
        <f t="shared" si="141"/>
        <v>0.77340123456790122</v>
      </c>
      <c r="AS136" s="218">
        <f t="shared" si="142"/>
        <v>0.16087351340725908</v>
      </c>
      <c r="AT136" s="217"/>
      <c r="AU136" s="213">
        <f t="shared" ref="AU136:AU157" si="221">(AM136^2)*Rdcr1</f>
        <v>4.9922999999999995E-2</v>
      </c>
      <c r="AV136" s="218">
        <f t="shared" si="143"/>
        <v>4.9922999999999995E-2</v>
      </c>
      <c r="AW136" s="217">
        <f t="shared" ref="AW136:AW157" si="222">(VOUT1+((NS1_/Np)*S136))*QRR1_*Fsw</f>
        <v>0</v>
      </c>
      <c r="AX136" s="213">
        <f t="shared" ref="AX136:AX157" si="223">AM136*VD1_</f>
        <v>4.9449999999999994E-2</v>
      </c>
      <c r="AY136" s="218">
        <f t="shared" si="144"/>
        <v>4.9449999999999994E-2</v>
      </c>
      <c r="AZ136" s="217">
        <f t="shared" si="203"/>
        <v>0</v>
      </c>
      <c r="BA136" s="213">
        <f t="shared" si="204"/>
        <v>0</v>
      </c>
      <c r="BB136" s="213">
        <f t="shared" si="145"/>
        <v>0</v>
      </c>
      <c r="BC136" s="61">
        <f t="shared" ref="BC136:BC157" si="224">IF(EN_OUT_2=1,AZ136/BA136,0)</f>
        <v>0</v>
      </c>
      <c r="BD136" s="58">
        <v>0</v>
      </c>
      <c r="BE136" s="49">
        <f t="shared" ref="BE136:BE157" si="225">(BB136^2)*Rdcr2</f>
        <v>0</v>
      </c>
      <c r="BF136" s="61">
        <f t="shared" si="146"/>
        <v>0</v>
      </c>
      <c r="BG136" s="58">
        <f t="shared" ref="BG136:BG157" si="226">(VOUT2+((NS2_/Np)*S136))*QRR2_*Fsw</f>
        <v>0</v>
      </c>
      <c r="BH136" s="49">
        <f t="shared" ref="BH136:BH157" si="227">BB136*VD2_</f>
        <v>0</v>
      </c>
      <c r="BI136" s="61">
        <f t="shared" ref="BI136:BI157" si="228">BH136+BG136</f>
        <v>0</v>
      </c>
      <c r="BK136" s="217">
        <f t="shared" si="205"/>
        <v>0</v>
      </c>
      <c r="BL136" s="213">
        <f t="shared" si="206"/>
        <v>0</v>
      </c>
      <c r="BM136" s="213">
        <f t="shared" si="207"/>
        <v>0</v>
      </c>
      <c r="BN136" s="61">
        <f t="shared" si="187"/>
        <v>0</v>
      </c>
      <c r="BO136" s="58">
        <v>0</v>
      </c>
      <c r="BP136" s="49">
        <f t="shared" ref="BP136:BP157" si="229">(BM136^2)*Rdcr3</f>
        <v>0</v>
      </c>
      <c r="BQ136" s="61">
        <f t="shared" si="147"/>
        <v>0</v>
      </c>
      <c r="BR136" s="58">
        <f t="shared" ref="BR136:BR157" si="230">(VOUT3+((NS3_/Np)*S136))*QRR3_*Fsw</f>
        <v>0</v>
      </c>
      <c r="BS136" s="49">
        <f t="shared" ref="BS136:BS157" si="231">BM136*VD3_</f>
        <v>0</v>
      </c>
      <c r="BT136" s="61">
        <f t="shared" si="148"/>
        <v>0</v>
      </c>
      <c r="BU136" s="58">
        <f t="shared" si="208"/>
        <v>8.2816919411185796E-2</v>
      </c>
      <c r="BV136" s="49">
        <f t="shared" si="209"/>
        <v>1.0800000000000002E-3</v>
      </c>
      <c r="BW136" s="61">
        <f t="shared" si="210"/>
        <v>6.7499999999999999E-3</v>
      </c>
      <c r="BX136" s="49">
        <f t="shared" ref="BX136:BX157" si="232">BF136+BQ136+AE136+AG136</f>
        <v>25.099864330715917</v>
      </c>
      <c r="BY136" s="49">
        <f t="shared" ref="BY136:BY157" si="233">BW136+BV136+BU136+BT136+BQ136+BI136+BF136++AY136+AV136+AJ136+AF136+AE136+AG136</f>
        <v>31.504487713627078</v>
      </c>
      <c r="BZ136" s="49">
        <f t="shared" ref="BZ136:BZ157" si="234">(R136/(R136+BY136))*100</f>
        <v>67.184359331615639</v>
      </c>
    </row>
    <row r="137" spans="17:78" x14ac:dyDescent="0.4">
      <c r="Q137" s="49">
        <v>130</v>
      </c>
      <c r="R137" s="217">
        <f t="shared" si="188"/>
        <v>65</v>
      </c>
      <c r="S137" s="213">
        <f t="shared" si="189"/>
        <v>15</v>
      </c>
      <c r="T137" s="218">
        <f t="shared" si="190"/>
        <v>4.333333333333333</v>
      </c>
      <c r="U137" s="217">
        <f t="shared" si="191"/>
        <v>2</v>
      </c>
      <c r="V137" s="213">
        <f t="shared" si="192"/>
        <v>0.92592592592592593</v>
      </c>
      <c r="W137" s="213">
        <f t="shared" si="193"/>
        <v>7.407407407407407E-2</v>
      </c>
      <c r="X137" s="213">
        <f t="shared" si="211"/>
        <v>0</v>
      </c>
      <c r="Y137" s="217">
        <f t="shared" si="212"/>
        <v>4.68</v>
      </c>
      <c r="Z137" s="213">
        <f t="shared" si="194"/>
        <v>3.0864197530864197</v>
      </c>
      <c r="AA137" s="213">
        <f t="shared" si="213"/>
        <v>6.2232098765432093</v>
      </c>
      <c r="AB137" s="218">
        <f t="shared" si="195"/>
        <v>4.584215293024144</v>
      </c>
      <c r="AC137" s="217">
        <v>0</v>
      </c>
      <c r="AD137" s="213">
        <f t="shared" si="196"/>
        <v>24.167284330715905</v>
      </c>
      <c r="AE137" s="218">
        <f t="shared" si="214"/>
        <v>24.167284330715905</v>
      </c>
      <c r="AF137" s="58">
        <f t="shared" si="197"/>
        <v>1.3</v>
      </c>
      <c r="AG137" s="61">
        <f t="shared" si="198"/>
        <v>1.3</v>
      </c>
      <c r="AH137" s="58">
        <f t="shared" si="199"/>
        <v>4.938532015407163</v>
      </c>
      <c r="AI137" s="49">
        <f t="shared" si="200"/>
        <v>5.9567660868723372E-2</v>
      </c>
      <c r="AJ137" s="61">
        <f t="shared" si="215"/>
        <v>4.9980996762758867</v>
      </c>
      <c r="AK137" s="217">
        <f t="shared" si="201"/>
        <v>65</v>
      </c>
      <c r="AL137" s="213">
        <f t="shared" si="202"/>
        <v>1500</v>
      </c>
      <c r="AM137" s="218">
        <f t="shared" si="216"/>
        <v>4.3333333333333335E-2</v>
      </c>
      <c r="AN137" s="217">
        <f t="shared" si="217"/>
        <v>2</v>
      </c>
      <c r="AO137" s="213">
        <f t="shared" si="218"/>
        <v>7.4074074074074084E-2</v>
      </c>
      <c r="AP137" s="213">
        <f t="shared" si="219"/>
        <v>0.58499999999999996</v>
      </c>
      <c r="AQ137" s="213">
        <f t="shared" si="220"/>
        <v>0.38580246913580252</v>
      </c>
      <c r="AR137" s="213">
        <f t="shared" ref="AR137:AR157" si="235">AP137+(AQ137/2)</f>
        <v>0.77790123456790128</v>
      </c>
      <c r="AS137" s="218">
        <f t="shared" ref="AS137:AS157" si="236">CHOOSE(AN137,AR137*SQRT(AO137/3),SQRT(AO137*((AR137^2)+((AQ137^2)/(3))-(AQ137*AR137))))</f>
        <v>0.16207648600582247</v>
      </c>
      <c r="AT137" s="217"/>
      <c r="AU137" s="213">
        <f t="shared" si="221"/>
        <v>5.0700000000000002E-2</v>
      </c>
      <c r="AV137" s="218">
        <f t="shared" ref="AV137:AV157" si="237">AT137+AU137</f>
        <v>5.0700000000000002E-2</v>
      </c>
      <c r="AW137" s="217">
        <f t="shared" si="222"/>
        <v>0</v>
      </c>
      <c r="AX137" s="213">
        <f t="shared" si="223"/>
        <v>4.9833333333333334E-2</v>
      </c>
      <c r="AY137" s="218">
        <f t="shared" ref="AY137:AY157" si="238">AW137+AX137</f>
        <v>4.9833333333333334E-2</v>
      </c>
      <c r="AZ137" s="217">
        <f t="shared" si="203"/>
        <v>0</v>
      </c>
      <c r="BA137" s="213">
        <f t="shared" si="204"/>
        <v>0</v>
      </c>
      <c r="BB137" s="213">
        <f t="shared" ref="BB137:BB157" si="239">IF(EN_OUT_2=1,AZ137/BA137,0)</f>
        <v>0</v>
      </c>
      <c r="BC137" s="61">
        <f t="shared" si="224"/>
        <v>0</v>
      </c>
      <c r="BD137" s="58">
        <v>0</v>
      </c>
      <c r="BE137" s="49">
        <f t="shared" si="225"/>
        <v>0</v>
      </c>
      <c r="BF137" s="61">
        <f t="shared" ref="BF137:BF157" si="240">BD137+BE137</f>
        <v>0</v>
      </c>
      <c r="BG137" s="58">
        <f t="shared" si="226"/>
        <v>0</v>
      </c>
      <c r="BH137" s="49">
        <f t="shared" si="227"/>
        <v>0</v>
      </c>
      <c r="BI137" s="61">
        <f t="shared" si="228"/>
        <v>0</v>
      </c>
      <c r="BK137" s="217">
        <f t="shared" si="205"/>
        <v>0</v>
      </c>
      <c r="BL137" s="213">
        <f t="shared" si="206"/>
        <v>0</v>
      </c>
      <c r="BM137" s="213">
        <f t="shared" si="207"/>
        <v>0</v>
      </c>
      <c r="BN137" s="61">
        <f t="shared" si="187"/>
        <v>0</v>
      </c>
      <c r="BO137" s="58">
        <v>0</v>
      </c>
      <c r="BP137" s="49">
        <f t="shared" si="229"/>
        <v>0</v>
      </c>
      <c r="BQ137" s="61">
        <f t="shared" ref="BQ137:BQ157" si="241">BO137+BP137</f>
        <v>0</v>
      </c>
      <c r="BR137" s="58">
        <f t="shared" si="230"/>
        <v>0</v>
      </c>
      <c r="BS137" s="49">
        <f t="shared" si="231"/>
        <v>0</v>
      </c>
      <c r="BT137" s="61">
        <f t="shared" ref="BT137:BT157" si="242">BS137+BR137</f>
        <v>0</v>
      </c>
      <c r="BU137" s="58">
        <f t="shared" si="208"/>
        <v>8.4060119411185755E-2</v>
      </c>
      <c r="BV137" s="49">
        <f t="shared" si="209"/>
        <v>1.0800000000000002E-3</v>
      </c>
      <c r="BW137" s="61">
        <f t="shared" si="210"/>
        <v>6.7499999999999999E-3</v>
      </c>
      <c r="BX137" s="49">
        <f t="shared" si="232"/>
        <v>25.467284330715906</v>
      </c>
      <c r="BY137" s="49">
        <f t="shared" si="233"/>
        <v>31.957807459736312</v>
      </c>
      <c r="BZ137" s="49">
        <f t="shared" si="234"/>
        <v>67.039469747696756</v>
      </c>
    </row>
    <row r="138" spans="17:78" x14ac:dyDescent="0.4">
      <c r="Q138" s="49">
        <v>131</v>
      </c>
      <c r="R138" s="217">
        <f t="shared" si="188"/>
        <v>65.5</v>
      </c>
      <c r="S138" s="213">
        <f t="shared" si="189"/>
        <v>15</v>
      </c>
      <c r="T138" s="218">
        <f t="shared" si="190"/>
        <v>4.3666666666666663</v>
      </c>
      <c r="U138" s="217">
        <f t="shared" si="191"/>
        <v>2</v>
      </c>
      <c r="V138" s="213">
        <f t="shared" si="192"/>
        <v>0.92592592592592593</v>
      </c>
      <c r="W138" s="213">
        <f t="shared" si="193"/>
        <v>7.407407407407407E-2</v>
      </c>
      <c r="X138" s="213">
        <f t="shared" si="211"/>
        <v>0</v>
      </c>
      <c r="Y138" s="217">
        <f t="shared" si="212"/>
        <v>4.7160000000000002</v>
      </c>
      <c r="Z138" s="213">
        <f t="shared" si="194"/>
        <v>3.0864197530864197</v>
      </c>
      <c r="AA138" s="213">
        <f t="shared" si="213"/>
        <v>6.2592098765432098</v>
      </c>
      <c r="AB138" s="218">
        <f t="shared" si="195"/>
        <v>4.6182496524978438</v>
      </c>
      <c r="AC138" s="217">
        <v>0</v>
      </c>
      <c r="AD138" s="213">
        <f t="shared" si="196"/>
        <v>24.527464330715926</v>
      </c>
      <c r="AE138" s="218">
        <f t="shared" si="214"/>
        <v>24.527464330715926</v>
      </c>
      <c r="AF138" s="58">
        <f t="shared" si="197"/>
        <v>1.31</v>
      </c>
      <c r="AG138" s="61">
        <f t="shared" si="198"/>
        <v>1.31</v>
      </c>
      <c r="AH138" s="58">
        <f t="shared" si="199"/>
        <v>5.0121340154071667</v>
      </c>
      <c r="AI138" s="49">
        <f t="shared" si="200"/>
        <v>6.0025873644636629E-2</v>
      </c>
      <c r="AJ138" s="61">
        <f t="shared" si="215"/>
        <v>5.0721598890518038</v>
      </c>
      <c r="AK138" s="217">
        <f t="shared" si="201"/>
        <v>65.5</v>
      </c>
      <c r="AL138" s="213">
        <f t="shared" si="202"/>
        <v>1500</v>
      </c>
      <c r="AM138" s="218">
        <f t="shared" si="216"/>
        <v>4.3666666666666666E-2</v>
      </c>
      <c r="AN138" s="217">
        <f t="shared" si="217"/>
        <v>2</v>
      </c>
      <c r="AO138" s="213">
        <f t="shared" si="218"/>
        <v>7.407407407407407E-2</v>
      </c>
      <c r="AP138" s="213">
        <f t="shared" si="219"/>
        <v>0.58950000000000002</v>
      </c>
      <c r="AQ138" s="213">
        <f t="shared" si="220"/>
        <v>0.38580246913580241</v>
      </c>
      <c r="AR138" s="213">
        <f t="shared" si="235"/>
        <v>0.78240123456790123</v>
      </c>
      <c r="AS138" s="218">
        <f t="shared" si="236"/>
        <v>0.1632797823246821</v>
      </c>
      <c r="AT138" s="217"/>
      <c r="AU138" s="213">
        <f t="shared" si="221"/>
        <v>5.1482999999999994E-2</v>
      </c>
      <c r="AV138" s="218">
        <f t="shared" si="237"/>
        <v>5.1482999999999994E-2</v>
      </c>
      <c r="AW138" s="217">
        <f t="shared" si="222"/>
        <v>0</v>
      </c>
      <c r="AX138" s="213">
        <f t="shared" si="223"/>
        <v>5.0216666666666659E-2</v>
      </c>
      <c r="AY138" s="218">
        <f t="shared" si="238"/>
        <v>5.0216666666666659E-2</v>
      </c>
      <c r="AZ138" s="217">
        <f t="shared" si="203"/>
        <v>0</v>
      </c>
      <c r="BA138" s="213">
        <f t="shared" si="204"/>
        <v>0</v>
      </c>
      <c r="BB138" s="213">
        <f t="shared" si="239"/>
        <v>0</v>
      </c>
      <c r="BC138" s="61">
        <f t="shared" si="224"/>
        <v>0</v>
      </c>
      <c r="BD138" s="58">
        <v>0</v>
      </c>
      <c r="BE138" s="49">
        <f t="shared" si="225"/>
        <v>0</v>
      </c>
      <c r="BF138" s="61">
        <f t="shared" si="240"/>
        <v>0</v>
      </c>
      <c r="BG138" s="58">
        <f t="shared" si="226"/>
        <v>0</v>
      </c>
      <c r="BH138" s="49">
        <f t="shared" si="227"/>
        <v>0</v>
      </c>
      <c r="BI138" s="61">
        <f t="shared" si="228"/>
        <v>0</v>
      </c>
      <c r="BK138" s="217">
        <f t="shared" si="205"/>
        <v>0</v>
      </c>
      <c r="BL138" s="213">
        <f t="shared" si="206"/>
        <v>0</v>
      </c>
      <c r="BM138" s="213">
        <f t="shared" si="207"/>
        <v>0</v>
      </c>
      <c r="BN138" s="61">
        <f t="shared" si="187"/>
        <v>0</v>
      </c>
      <c r="BO138" s="58">
        <v>0</v>
      </c>
      <c r="BP138" s="49">
        <f t="shared" si="229"/>
        <v>0</v>
      </c>
      <c r="BQ138" s="61">
        <f t="shared" si="241"/>
        <v>0</v>
      </c>
      <c r="BR138" s="58">
        <f t="shared" si="230"/>
        <v>0</v>
      </c>
      <c r="BS138" s="49">
        <f t="shared" si="231"/>
        <v>0</v>
      </c>
      <c r="BT138" s="61">
        <f t="shared" si="242"/>
        <v>0</v>
      </c>
      <c r="BU138" s="58">
        <f t="shared" si="208"/>
        <v>8.5312919411185822E-2</v>
      </c>
      <c r="BV138" s="49">
        <f t="shared" si="209"/>
        <v>1.0800000000000002E-3</v>
      </c>
      <c r="BW138" s="61">
        <f t="shared" si="210"/>
        <v>6.7499999999999999E-3</v>
      </c>
      <c r="BX138" s="49">
        <f t="shared" si="232"/>
        <v>25.837464330715925</v>
      </c>
      <c r="BY138" s="49">
        <f t="shared" si="233"/>
        <v>32.414466805845585</v>
      </c>
      <c r="BZ138" s="49">
        <f t="shared" si="234"/>
        <v>66.895119931439567</v>
      </c>
    </row>
    <row r="139" spans="17:78" x14ac:dyDescent="0.4">
      <c r="Q139" s="49">
        <v>132</v>
      </c>
      <c r="R139" s="217">
        <f t="shared" si="188"/>
        <v>66</v>
      </c>
      <c r="S139" s="213">
        <f t="shared" si="189"/>
        <v>15</v>
      </c>
      <c r="T139" s="218">
        <f t="shared" si="190"/>
        <v>4.4000000000000004</v>
      </c>
      <c r="U139" s="217">
        <f t="shared" si="191"/>
        <v>2</v>
      </c>
      <c r="V139" s="213">
        <f t="shared" si="192"/>
        <v>0.92592592592592593</v>
      </c>
      <c r="W139" s="213">
        <f t="shared" si="193"/>
        <v>7.407407407407407E-2</v>
      </c>
      <c r="X139" s="213">
        <f t="shared" si="211"/>
        <v>0</v>
      </c>
      <c r="Y139" s="217">
        <f t="shared" si="212"/>
        <v>4.7519999999999998</v>
      </c>
      <c r="Z139" s="213">
        <f t="shared" si="194"/>
        <v>3.0864197530864197</v>
      </c>
      <c r="AA139" s="213">
        <f t="shared" si="213"/>
        <v>6.2952098765432094</v>
      </c>
      <c r="AB139" s="218">
        <f t="shared" si="195"/>
        <v>4.6522929672148168</v>
      </c>
      <c r="AC139" s="217">
        <v>0</v>
      </c>
      <c r="AD139" s="213">
        <f t="shared" si="196"/>
        <v>24.890404330715914</v>
      </c>
      <c r="AE139" s="218">
        <f t="shared" si="214"/>
        <v>24.890404330715914</v>
      </c>
      <c r="AF139" s="58">
        <f t="shared" si="197"/>
        <v>1.32</v>
      </c>
      <c r="AG139" s="61">
        <f t="shared" si="198"/>
        <v>1.32</v>
      </c>
      <c r="AH139" s="58">
        <f t="shared" si="199"/>
        <v>5.0863000154071649</v>
      </c>
      <c r="AI139" s="49">
        <f t="shared" si="200"/>
        <v>6.0484086420549886E-2</v>
      </c>
      <c r="AJ139" s="61">
        <f t="shared" si="215"/>
        <v>5.1467841018277145</v>
      </c>
      <c r="AK139" s="217">
        <f t="shared" si="201"/>
        <v>66</v>
      </c>
      <c r="AL139" s="213">
        <f t="shared" si="202"/>
        <v>1500</v>
      </c>
      <c r="AM139" s="218">
        <f t="shared" si="216"/>
        <v>4.3999999999999997E-2</v>
      </c>
      <c r="AN139" s="217">
        <f t="shared" si="217"/>
        <v>2</v>
      </c>
      <c r="AO139" s="213">
        <f t="shared" si="218"/>
        <v>7.407407407407407E-2</v>
      </c>
      <c r="AP139" s="213">
        <f t="shared" si="219"/>
        <v>0.59399999999999997</v>
      </c>
      <c r="AQ139" s="213">
        <f t="shared" si="220"/>
        <v>0.38580246913580241</v>
      </c>
      <c r="AR139" s="213">
        <f t="shared" si="235"/>
        <v>0.78690123456790118</v>
      </c>
      <c r="AS139" s="218">
        <f t="shared" si="236"/>
        <v>0.16448339525920408</v>
      </c>
      <c r="AT139" s="217"/>
      <c r="AU139" s="213">
        <f t="shared" si="221"/>
        <v>5.2271999999999992E-2</v>
      </c>
      <c r="AV139" s="218">
        <f t="shared" si="237"/>
        <v>5.2271999999999992E-2</v>
      </c>
      <c r="AW139" s="217">
        <f t="shared" si="222"/>
        <v>0</v>
      </c>
      <c r="AX139" s="213">
        <f t="shared" si="223"/>
        <v>5.0599999999999992E-2</v>
      </c>
      <c r="AY139" s="218">
        <f t="shared" si="238"/>
        <v>5.0599999999999992E-2</v>
      </c>
      <c r="AZ139" s="217">
        <f t="shared" si="203"/>
        <v>0</v>
      </c>
      <c r="BA139" s="213">
        <f t="shared" si="204"/>
        <v>0</v>
      </c>
      <c r="BB139" s="213">
        <f t="shared" si="239"/>
        <v>0</v>
      </c>
      <c r="BC139" s="61">
        <f t="shared" si="224"/>
        <v>0</v>
      </c>
      <c r="BD139" s="58">
        <v>0</v>
      </c>
      <c r="BE139" s="49">
        <f t="shared" si="225"/>
        <v>0</v>
      </c>
      <c r="BF139" s="61">
        <f t="shared" si="240"/>
        <v>0</v>
      </c>
      <c r="BG139" s="58">
        <f t="shared" si="226"/>
        <v>0</v>
      </c>
      <c r="BH139" s="49">
        <f t="shared" si="227"/>
        <v>0</v>
      </c>
      <c r="BI139" s="61">
        <f t="shared" si="228"/>
        <v>0</v>
      </c>
      <c r="BK139" s="217">
        <f t="shared" si="205"/>
        <v>0</v>
      </c>
      <c r="BL139" s="213">
        <f t="shared" si="206"/>
        <v>0</v>
      </c>
      <c r="BM139" s="213">
        <f t="shared" si="207"/>
        <v>0</v>
      </c>
      <c r="BN139" s="61">
        <f t="shared" si="187"/>
        <v>0</v>
      </c>
      <c r="BO139" s="58">
        <v>0</v>
      </c>
      <c r="BP139" s="49">
        <f t="shared" si="229"/>
        <v>0</v>
      </c>
      <c r="BQ139" s="61">
        <f t="shared" si="241"/>
        <v>0</v>
      </c>
      <c r="BR139" s="58">
        <f t="shared" si="230"/>
        <v>0</v>
      </c>
      <c r="BS139" s="49">
        <f t="shared" si="231"/>
        <v>0</v>
      </c>
      <c r="BT139" s="61">
        <f t="shared" si="242"/>
        <v>0</v>
      </c>
      <c r="BU139" s="58">
        <f t="shared" si="208"/>
        <v>8.6575319411185778E-2</v>
      </c>
      <c r="BV139" s="49">
        <f t="shared" si="209"/>
        <v>1.0800000000000002E-3</v>
      </c>
      <c r="BW139" s="61">
        <f t="shared" si="210"/>
        <v>6.7499999999999999E-3</v>
      </c>
      <c r="BX139" s="49">
        <f t="shared" si="232"/>
        <v>26.210404330715914</v>
      </c>
      <c r="BY139" s="49">
        <f t="shared" si="233"/>
        <v>32.874465751954816</v>
      </c>
      <c r="BZ139" s="49">
        <f t="shared" si="234"/>
        <v>66.751308842035527</v>
      </c>
    </row>
    <row r="140" spans="17:78" x14ac:dyDescent="0.4">
      <c r="Q140" s="49">
        <v>133</v>
      </c>
      <c r="R140" s="217">
        <f t="shared" si="188"/>
        <v>66.5</v>
      </c>
      <c r="S140" s="213">
        <f t="shared" si="189"/>
        <v>15</v>
      </c>
      <c r="T140" s="218">
        <f t="shared" si="190"/>
        <v>4.4333333333333336</v>
      </c>
      <c r="U140" s="217">
        <f t="shared" si="191"/>
        <v>2</v>
      </c>
      <c r="V140" s="213">
        <f t="shared" si="192"/>
        <v>0.92592592592592593</v>
      </c>
      <c r="W140" s="213">
        <f t="shared" si="193"/>
        <v>7.407407407407407E-2</v>
      </c>
      <c r="X140" s="213">
        <f t="shared" si="211"/>
        <v>0</v>
      </c>
      <c r="Y140" s="217">
        <f t="shared" si="212"/>
        <v>4.7880000000000003</v>
      </c>
      <c r="Z140" s="213">
        <f t="shared" si="194"/>
        <v>3.0864197530864197</v>
      </c>
      <c r="AA140" s="213">
        <f t="shared" si="213"/>
        <v>6.3312098765432099</v>
      </c>
      <c r="AB140" s="218">
        <f t="shared" si="195"/>
        <v>4.6863450420126407</v>
      </c>
      <c r="AC140" s="217">
        <v>0</v>
      </c>
      <c r="AD140" s="213">
        <f t="shared" si="196"/>
        <v>25.256104330715932</v>
      </c>
      <c r="AE140" s="218">
        <f t="shared" si="214"/>
        <v>25.256104330715932</v>
      </c>
      <c r="AF140" s="58">
        <f t="shared" si="197"/>
        <v>1.33</v>
      </c>
      <c r="AG140" s="61">
        <f t="shared" si="198"/>
        <v>1.33</v>
      </c>
      <c r="AH140" s="58">
        <f t="shared" si="199"/>
        <v>5.1610300154071682</v>
      </c>
      <c r="AI140" s="49">
        <f t="shared" si="200"/>
        <v>6.0942299196463143E-2</v>
      </c>
      <c r="AJ140" s="61">
        <f t="shared" si="215"/>
        <v>5.2219723146036312</v>
      </c>
      <c r="AK140" s="217">
        <f t="shared" si="201"/>
        <v>66.5</v>
      </c>
      <c r="AL140" s="213">
        <f t="shared" si="202"/>
        <v>1500</v>
      </c>
      <c r="AM140" s="218">
        <f t="shared" si="216"/>
        <v>4.4333333333333336E-2</v>
      </c>
      <c r="AN140" s="217">
        <f t="shared" si="217"/>
        <v>2</v>
      </c>
      <c r="AO140" s="213">
        <f t="shared" si="218"/>
        <v>7.407407407407407E-2</v>
      </c>
      <c r="AP140" s="213">
        <f t="shared" si="219"/>
        <v>0.59850000000000003</v>
      </c>
      <c r="AQ140" s="213">
        <f t="shared" si="220"/>
        <v>0.38580246913580241</v>
      </c>
      <c r="AR140" s="213">
        <f t="shared" si="235"/>
        <v>0.79140123456790124</v>
      </c>
      <c r="AS140" s="218">
        <f t="shared" si="236"/>
        <v>0.1656873179093547</v>
      </c>
      <c r="AT140" s="217"/>
      <c r="AU140" s="213">
        <f t="shared" si="221"/>
        <v>5.3067000000000003E-2</v>
      </c>
      <c r="AV140" s="218">
        <f t="shared" si="237"/>
        <v>5.3067000000000003E-2</v>
      </c>
      <c r="AW140" s="217">
        <f t="shared" si="222"/>
        <v>0</v>
      </c>
      <c r="AX140" s="213">
        <f t="shared" si="223"/>
        <v>5.0983333333333332E-2</v>
      </c>
      <c r="AY140" s="218">
        <f t="shared" si="238"/>
        <v>5.0983333333333332E-2</v>
      </c>
      <c r="AZ140" s="217">
        <f t="shared" si="203"/>
        <v>0</v>
      </c>
      <c r="BA140" s="213">
        <f t="shared" si="204"/>
        <v>0</v>
      </c>
      <c r="BB140" s="213">
        <f t="shared" si="239"/>
        <v>0</v>
      </c>
      <c r="BC140" s="61">
        <f t="shared" si="224"/>
        <v>0</v>
      </c>
      <c r="BD140" s="58">
        <v>0</v>
      </c>
      <c r="BE140" s="49">
        <f t="shared" si="225"/>
        <v>0</v>
      </c>
      <c r="BF140" s="61">
        <f t="shared" si="240"/>
        <v>0</v>
      </c>
      <c r="BG140" s="58">
        <f t="shared" si="226"/>
        <v>0</v>
      </c>
      <c r="BH140" s="49">
        <f t="shared" si="227"/>
        <v>0</v>
      </c>
      <c r="BI140" s="61">
        <f t="shared" si="228"/>
        <v>0</v>
      </c>
      <c r="BK140" s="217">
        <f t="shared" si="205"/>
        <v>0</v>
      </c>
      <c r="BL140" s="213">
        <f t="shared" si="206"/>
        <v>0</v>
      </c>
      <c r="BM140" s="213">
        <f t="shared" si="207"/>
        <v>0</v>
      </c>
      <c r="BN140" s="61">
        <f t="shared" si="187"/>
        <v>0</v>
      </c>
      <c r="BO140" s="58">
        <v>0</v>
      </c>
      <c r="BP140" s="49">
        <f t="shared" si="229"/>
        <v>0</v>
      </c>
      <c r="BQ140" s="61">
        <f t="shared" si="241"/>
        <v>0</v>
      </c>
      <c r="BR140" s="58">
        <f t="shared" si="230"/>
        <v>0</v>
      </c>
      <c r="BS140" s="49">
        <f t="shared" si="231"/>
        <v>0</v>
      </c>
      <c r="BT140" s="61">
        <f t="shared" si="242"/>
        <v>0</v>
      </c>
      <c r="BU140" s="58">
        <f t="shared" si="208"/>
        <v>8.7847319411185842E-2</v>
      </c>
      <c r="BV140" s="49">
        <f t="shared" si="209"/>
        <v>1.0800000000000002E-3</v>
      </c>
      <c r="BW140" s="61">
        <f t="shared" si="210"/>
        <v>6.7499999999999999E-3</v>
      </c>
      <c r="BX140" s="49">
        <f t="shared" si="232"/>
        <v>26.586104330715933</v>
      </c>
      <c r="BY140" s="49">
        <f t="shared" si="233"/>
        <v>33.337804298064079</v>
      </c>
      <c r="BZ140" s="49">
        <f t="shared" si="234"/>
        <v>66.608035370514941</v>
      </c>
    </row>
    <row r="141" spans="17:78" x14ac:dyDescent="0.4">
      <c r="Q141" s="49">
        <v>134</v>
      </c>
      <c r="R141" s="217">
        <f t="shared" si="188"/>
        <v>67</v>
      </c>
      <c r="S141" s="213">
        <f t="shared" si="189"/>
        <v>15</v>
      </c>
      <c r="T141" s="218">
        <f t="shared" si="190"/>
        <v>4.4666666666666668</v>
      </c>
      <c r="U141" s="217">
        <f t="shared" si="191"/>
        <v>2</v>
      </c>
      <c r="V141" s="213">
        <f t="shared" si="192"/>
        <v>0.92592592592592593</v>
      </c>
      <c r="W141" s="213">
        <f t="shared" si="193"/>
        <v>7.407407407407407E-2</v>
      </c>
      <c r="X141" s="213">
        <f t="shared" si="211"/>
        <v>0</v>
      </c>
      <c r="Y141" s="217">
        <f t="shared" si="212"/>
        <v>4.8239999999999998</v>
      </c>
      <c r="Z141" s="213">
        <f t="shared" si="194"/>
        <v>3.0864197530864197</v>
      </c>
      <c r="AA141" s="213">
        <f t="shared" si="213"/>
        <v>6.3672098765432095</v>
      </c>
      <c r="AB141" s="218">
        <f t="shared" si="195"/>
        <v>4.7204056873108318</v>
      </c>
      <c r="AC141" s="217">
        <v>0</v>
      </c>
      <c r="AD141" s="213">
        <f t="shared" si="196"/>
        <v>25.624564330715916</v>
      </c>
      <c r="AE141" s="218">
        <f t="shared" si="214"/>
        <v>25.624564330715916</v>
      </c>
      <c r="AF141" s="58">
        <f t="shared" si="197"/>
        <v>1.34</v>
      </c>
      <c r="AG141" s="61">
        <f t="shared" si="198"/>
        <v>1.34</v>
      </c>
      <c r="AH141" s="58">
        <f t="shared" si="199"/>
        <v>5.236324015407166</v>
      </c>
      <c r="AI141" s="49">
        <f t="shared" si="200"/>
        <v>6.14005119723764E-2</v>
      </c>
      <c r="AJ141" s="61">
        <f t="shared" si="215"/>
        <v>5.2977245273795424</v>
      </c>
      <c r="AK141" s="217">
        <f t="shared" si="201"/>
        <v>67</v>
      </c>
      <c r="AL141" s="213">
        <f t="shared" si="202"/>
        <v>1500</v>
      </c>
      <c r="AM141" s="218">
        <f t="shared" si="216"/>
        <v>4.4666666666666667E-2</v>
      </c>
      <c r="AN141" s="217">
        <f t="shared" si="217"/>
        <v>2</v>
      </c>
      <c r="AO141" s="213">
        <f t="shared" si="218"/>
        <v>7.4074074074074084E-2</v>
      </c>
      <c r="AP141" s="213">
        <f t="shared" si="219"/>
        <v>0.60299999999999998</v>
      </c>
      <c r="AQ141" s="213">
        <f t="shared" si="220"/>
        <v>0.38580246913580252</v>
      </c>
      <c r="AR141" s="213">
        <f t="shared" si="235"/>
        <v>0.79590123456790129</v>
      </c>
      <c r="AS141" s="218">
        <f t="shared" si="236"/>
        <v>0.16689154357245178</v>
      </c>
      <c r="AT141" s="217"/>
      <c r="AU141" s="213">
        <f t="shared" si="221"/>
        <v>5.3867999999999999E-2</v>
      </c>
      <c r="AV141" s="218">
        <f t="shared" si="237"/>
        <v>5.3867999999999999E-2</v>
      </c>
      <c r="AW141" s="217">
        <f t="shared" si="222"/>
        <v>0</v>
      </c>
      <c r="AX141" s="213">
        <f t="shared" si="223"/>
        <v>5.1366666666666665E-2</v>
      </c>
      <c r="AY141" s="218">
        <f t="shared" si="238"/>
        <v>5.1366666666666665E-2</v>
      </c>
      <c r="AZ141" s="217">
        <f t="shared" si="203"/>
        <v>0</v>
      </c>
      <c r="BA141" s="213">
        <f t="shared" si="204"/>
        <v>0</v>
      </c>
      <c r="BB141" s="213">
        <f t="shared" si="239"/>
        <v>0</v>
      </c>
      <c r="BC141" s="61">
        <f t="shared" si="224"/>
        <v>0</v>
      </c>
      <c r="BD141" s="58">
        <v>0</v>
      </c>
      <c r="BE141" s="49">
        <f t="shared" si="225"/>
        <v>0</v>
      </c>
      <c r="BF141" s="61">
        <f t="shared" si="240"/>
        <v>0</v>
      </c>
      <c r="BG141" s="58">
        <f t="shared" si="226"/>
        <v>0</v>
      </c>
      <c r="BH141" s="49">
        <f t="shared" si="227"/>
        <v>0</v>
      </c>
      <c r="BI141" s="61">
        <f t="shared" si="228"/>
        <v>0</v>
      </c>
      <c r="BK141" s="217">
        <f t="shared" si="205"/>
        <v>0</v>
      </c>
      <c r="BL141" s="213">
        <f t="shared" si="206"/>
        <v>0</v>
      </c>
      <c r="BM141" s="213">
        <f t="shared" si="207"/>
        <v>0</v>
      </c>
      <c r="BN141" s="61">
        <f t="shared" si="187"/>
        <v>0</v>
      </c>
      <c r="BO141" s="58">
        <v>0</v>
      </c>
      <c r="BP141" s="49">
        <f t="shared" si="229"/>
        <v>0</v>
      </c>
      <c r="BQ141" s="61">
        <f t="shared" si="241"/>
        <v>0</v>
      </c>
      <c r="BR141" s="58">
        <f t="shared" si="230"/>
        <v>0</v>
      </c>
      <c r="BS141" s="49">
        <f t="shared" si="231"/>
        <v>0</v>
      </c>
      <c r="BT141" s="61">
        <f t="shared" si="242"/>
        <v>0</v>
      </c>
      <c r="BU141" s="58">
        <f t="shared" si="208"/>
        <v>8.9128919411185795E-2</v>
      </c>
      <c r="BV141" s="49">
        <f t="shared" si="209"/>
        <v>1.0800000000000002E-3</v>
      </c>
      <c r="BW141" s="61">
        <f t="shared" si="210"/>
        <v>6.7499999999999999E-3</v>
      </c>
      <c r="BX141" s="49">
        <f t="shared" si="232"/>
        <v>26.964564330715916</v>
      </c>
      <c r="BY141" s="49">
        <f t="shared" si="233"/>
        <v>33.804482444173317</v>
      </c>
      <c r="BZ141" s="49">
        <f t="shared" si="234"/>
        <v>66.465298343360246</v>
      </c>
    </row>
    <row r="142" spans="17:78" x14ac:dyDescent="0.4">
      <c r="Q142" s="49">
        <v>135</v>
      </c>
      <c r="R142" s="217">
        <f t="shared" si="188"/>
        <v>67.5</v>
      </c>
      <c r="S142" s="213">
        <f t="shared" si="189"/>
        <v>15</v>
      </c>
      <c r="T142" s="218">
        <f t="shared" si="190"/>
        <v>4.5</v>
      </c>
      <c r="U142" s="217">
        <f t="shared" si="191"/>
        <v>2</v>
      </c>
      <c r="V142" s="213">
        <f t="shared" si="192"/>
        <v>0.92592592592592593</v>
      </c>
      <c r="W142" s="213">
        <f t="shared" si="193"/>
        <v>7.407407407407407E-2</v>
      </c>
      <c r="X142" s="213">
        <f t="shared" si="211"/>
        <v>0</v>
      </c>
      <c r="Y142" s="217">
        <f t="shared" si="212"/>
        <v>4.8599999999999994</v>
      </c>
      <c r="Z142" s="213">
        <f t="shared" si="194"/>
        <v>3.0864197530864197</v>
      </c>
      <c r="AA142" s="213">
        <f t="shared" si="213"/>
        <v>6.4032098765432091</v>
      </c>
      <c r="AB142" s="218">
        <f t="shared" si="195"/>
        <v>4.7544747189144294</v>
      </c>
      <c r="AC142" s="217">
        <v>0</v>
      </c>
      <c r="AD142" s="213">
        <f t="shared" si="196"/>
        <v>25.99578433071591</v>
      </c>
      <c r="AE142" s="218">
        <f t="shared" si="214"/>
        <v>25.99578433071591</v>
      </c>
      <c r="AF142" s="58">
        <f t="shared" si="197"/>
        <v>1.35</v>
      </c>
      <c r="AG142" s="61">
        <f t="shared" si="198"/>
        <v>1.35</v>
      </c>
      <c r="AH142" s="58">
        <f t="shared" si="199"/>
        <v>5.3121820154071644</v>
      </c>
      <c r="AI142" s="49">
        <f t="shared" si="200"/>
        <v>6.1858724748289642E-2</v>
      </c>
      <c r="AJ142" s="61">
        <f t="shared" si="215"/>
        <v>5.3740407401554542</v>
      </c>
      <c r="AK142" s="217">
        <f t="shared" si="201"/>
        <v>67.5</v>
      </c>
      <c r="AL142" s="213">
        <f t="shared" si="202"/>
        <v>1500</v>
      </c>
      <c r="AM142" s="218">
        <f t="shared" si="216"/>
        <v>4.4999999999999998E-2</v>
      </c>
      <c r="AN142" s="217">
        <f t="shared" si="217"/>
        <v>2</v>
      </c>
      <c r="AO142" s="213">
        <f t="shared" si="218"/>
        <v>7.4074074074074084E-2</v>
      </c>
      <c r="AP142" s="213">
        <f t="shared" si="219"/>
        <v>0.60749999999999993</v>
      </c>
      <c r="AQ142" s="213">
        <f t="shared" si="220"/>
        <v>0.38580246913580252</v>
      </c>
      <c r="AR142" s="213">
        <f t="shared" si="235"/>
        <v>0.80040123456790124</v>
      </c>
      <c r="AS142" s="218">
        <f t="shared" si="236"/>
        <v>0.16809606573621994</v>
      </c>
      <c r="AT142" s="217"/>
      <c r="AU142" s="213">
        <f t="shared" si="221"/>
        <v>5.4674999999999994E-2</v>
      </c>
      <c r="AV142" s="218">
        <f t="shared" si="237"/>
        <v>5.4674999999999994E-2</v>
      </c>
      <c r="AW142" s="217">
        <f t="shared" si="222"/>
        <v>0</v>
      </c>
      <c r="AX142" s="213">
        <f t="shared" si="223"/>
        <v>5.1749999999999997E-2</v>
      </c>
      <c r="AY142" s="218">
        <f t="shared" si="238"/>
        <v>5.1749999999999997E-2</v>
      </c>
      <c r="AZ142" s="217">
        <f t="shared" si="203"/>
        <v>0</v>
      </c>
      <c r="BA142" s="213">
        <f t="shared" si="204"/>
        <v>0</v>
      </c>
      <c r="BB142" s="213">
        <f t="shared" si="239"/>
        <v>0</v>
      </c>
      <c r="BC142" s="61">
        <f t="shared" si="224"/>
        <v>0</v>
      </c>
      <c r="BD142" s="58">
        <v>0</v>
      </c>
      <c r="BE142" s="49">
        <f t="shared" si="225"/>
        <v>0</v>
      </c>
      <c r="BF142" s="61">
        <f t="shared" si="240"/>
        <v>0</v>
      </c>
      <c r="BG142" s="58">
        <f t="shared" si="226"/>
        <v>0</v>
      </c>
      <c r="BH142" s="49">
        <f t="shared" si="227"/>
        <v>0</v>
      </c>
      <c r="BI142" s="61">
        <f t="shared" si="228"/>
        <v>0</v>
      </c>
      <c r="BK142" s="217">
        <f t="shared" si="205"/>
        <v>0</v>
      </c>
      <c r="BL142" s="213">
        <f t="shared" si="206"/>
        <v>0</v>
      </c>
      <c r="BM142" s="213">
        <f t="shared" si="207"/>
        <v>0</v>
      </c>
      <c r="BN142" s="61">
        <f t="shared" si="187"/>
        <v>0</v>
      </c>
      <c r="BO142" s="58">
        <v>0</v>
      </c>
      <c r="BP142" s="49">
        <f t="shared" si="229"/>
        <v>0</v>
      </c>
      <c r="BQ142" s="61">
        <f t="shared" si="241"/>
        <v>0</v>
      </c>
      <c r="BR142" s="58">
        <f t="shared" si="230"/>
        <v>0</v>
      </c>
      <c r="BS142" s="49">
        <f t="shared" si="231"/>
        <v>0</v>
      </c>
      <c r="BT142" s="61">
        <f t="shared" si="242"/>
        <v>0</v>
      </c>
      <c r="BU142" s="58">
        <f t="shared" si="208"/>
        <v>9.0420119411185773E-2</v>
      </c>
      <c r="BV142" s="49">
        <f t="shared" si="209"/>
        <v>1.0800000000000002E-3</v>
      </c>
      <c r="BW142" s="61">
        <f t="shared" si="210"/>
        <v>6.7499999999999999E-3</v>
      </c>
      <c r="BX142" s="49">
        <f t="shared" si="232"/>
        <v>27.345784330715912</v>
      </c>
      <c r="BY142" s="49">
        <f t="shared" si="233"/>
        <v>34.274500190282552</v>
      </c>
      <c r="BZ142" s="49">
        <f t="shared" si="234"/>
        <v>66.323096525945815</v>
      </c>
    </row>
    <row r="143" spans="17:78" x14ac:dyDescent="0.4">
      <c r="Q143" s="49">
        <v>136</v>
      </c>
      <c r="R143" s="217">
        <f t="shared" si="188"/>
        <v>68</v>
      </c>
      <c r="S143" s="213">
        <f t="shared" si="189"/>
        <v>15</v>
      </c>
      <c r="T143" s="218">
        <f t="shared" si="190"/>
        <v>4.5333333333333332</v>
      </c>
      <c r="U143" s="217">
        <f t="shared" si="191"/>
        <v>2</v>
      </c>
      <c r="V143" s="213">
        <f t="shared" si="192"/>
        <v>0.92592592592592593</v>
      </c>
      <c r="W143" s="213">
        <f t="shared" si="193"/>
        <v>7.407407407407407E-2</v>
      </c>
      <c r="X143" s="213">
        <f t="shared" si="211"/>
        <v>0</v>
      </c>
      <c r="Y143" s="217">
        <f t="shared" si="212"/>
        <v>4.8959999999999999</v>
      </c>
      <c r="Z143" s="213">
        <f t="shared" si="194"/>
        <v>3.0864197530864197</v>
      </c>
      <c r="AA143" s="213">
        <f t="shared" si="213"/>
        <v>6.4392098765432095</v>
      </c>
      <c r="AB143" s="218">
        <f t="shared" si="195"/>
        <v>4.7885519578257103</v>
      </c>
      <c r="AC143" s="217">
        <v>0</v>
      </c>
      <c r="AD143" s="213">
        <f t="shared" si="196"/>
        <v>26.369764330715913</v>
      </c>
      <c r="AE143" s="218">
        <f t="shared" si="214"/>
        <v>26.369764330715913</v>
      </c>
      <c r="AF143" s="58">
        <f t="shared" si="197"/>
        <v>1.36</v>
      </c>
      <c r="AG143" s="61">
        <f t="shared" si="198"/>
        <v>1.36</v>
      </c>
      <c r="AH143" s="58">
        <f t="shared" si="199"/>
        <v>5.3886040154071644</v>
      </c>
      <c r="AI143" s="49">
        <f t="shared" si="200"/>
        <v>6.2316937524202913E-2</v>
      </c>
      <c r="AJ143" s="61">
        <f t="shared" si="215"/>
        <v>5.4509209529313676</v>
      </c>
      <c r="AK143" s="217">
        <f t="shared" si="201"/>
        <v>68</v>
      </c>
      <c r="AL143" s="213">
        <f t="shared" si="202"/>
        <v>1500</v>
      </c>
      <c r="AM143" s="218">
        <f t="shared" si="216"/>
        <v>4.5333333333333337E-2</v>
      </c>
      <c r="AN143" s="217">
        <f t="shared" si="217"/>
        <v>2</v>
      </c>
      <c r="AO143" s="213">
        <f t="shared" si="218"/>
        <v>7.4074074074074084E-2</v>
      </c>
      <c r="AP143" s="213">
        <f t="shared" si="219"/>
        <v>0.61199999999999999</v>
      </c>
      <c r="AQ143" s="213">
        <f t="shared" si="220"/>
        <v>0.38580246913580252</v>
      </c>
      <c r="AR143" s="213">
        <f t="shared" si="235"/>
        <v>0.80490123456790119</v>
      </c>
      <c r="AS143" s="218">
        <f t="shared" si="236"/>
        <v>0.16930087807213393</v>
      </c>
      <c r="AT143" s="217"/>
      <c r="AU143" s="213">
        <f t="shared" si="221"/>
        <v>5.5488000000000003E-2</v>
      </c>
      <c r="AV143" s="218">
        <f t="shared" si="237"/>
        <v>5.5488000000000003E-2</v>
      </c>
      <c r="AW143" s="217">
        <f t="shared" si="222"/>
        <v>0</v>
      </c>
      <c r="AX143" s="213">
        <f t="shared" si="223"/>
        <v>5.213333333333333E-2</v>
      </c>
      <c r="AY143" s="218">
        <f t="shared" si="238"/>
        <v>5.213333333333333E-2</v>
      </c>
      <c r="AZ143" s="217">
        <f t="shared" si="203"/>
        <v>0</v>
      </c>
      <c r="BA143" s="213">
        <f t="shared" si="204"/>
        <v>0</v>
      </c>
      <c r="BB143" s="213">
        <f t="shared" si="239"/>
        <v>0</v>
      </c>
      <c r="BC143" s="61">
        <f t="shared" si="224"/>
        <v>0</v>
      </c>
      <c r="BD143" s="58">
        <v>0</v>
      </c>
      <c r="BE143" s="49">
        <f t="shared" si="225"/>
        <v>0</v>
      </c>
      <c r="BF143" s="61">
        <f t="shared" si="240"/>
        <v>0</v>
      </c>
      <c r="BG143" s="58">
        <f t="shared" si="226"/>
        <v>0</v>
      </c>
      <c r="BH143" s="49">
        <f t="shared" si="227"/>
        <v>0</v>
      </c>
      <c r="BI143" s="61">
        <f t="shared" si="228"/>
        <v>0</v>
      </c>
      <c r="BK143" s="217">
        <f t="shared" si="205"/>
        <v>0</v>
      </c>
      <c r="BL143" s="213">
        <f t="shared" si="206"/>
        <v>0</v>
      </c>
      <c r="BM143" s="213">
        <f t="shared" si="207"/>
        <v>0</v>
      </c>
      <c r="BN143" s="61">
        <f t="shared" si="187"/>
        <v>0</v>
      </c>
      <c r="BO143" s="58">
        <v>0</v>
      </c>
      <c r="BP143" s="49">
        <f t="shared" si="229"/>
        <v>0</v>
      </c>
      <c r="BQ143" s="61">
        <f t="shared" si="241"/>
        <v>0</v>
      </c>
      <c r="BR143" s="58">
        <f t="shared" si="230"/>
        <v>0</v>
      </c>
      <c r="BS143" s="49">
        <f t="shared" si="231"/>
        <v>0</v>
      </c>
      <c r="BT143" s="61">
        <f t="shared" si="242"/>
        <v>0</v>
      </c>
      <c r="BU143" s="58">
        <f t="shared" si="208"/>
        <v>9.1720919411185778E-2</v>
      </c>
      <c r="BV143" s="49">
        <f t="shared" si="209"/>
        <v>1.0800000000000002E-3</v>
      </c>
      <c r="BW143" s="61">
        <f t="shared" si="210"/>
        <v>6.7499999999999999E-3</v>
      </c>
      <c r="BX143" s="49">
        <f t="shared" si="232"/>
        <v>27.729764330715913</v>
      </c>
      <c r="BY143" s="49">
        <f t="shared" si="233"/>
        <v>34.747857536391798</v>
      </c>
      <c r="BZ143" s="49">
        <f t="shared" si="234"/>
        <v>66.181428625813822</v>
      </c>
    </row>
    <row r="144" spans="17:78" x14ac:dyDescent="0.4">
      <c r="Q144" s="49">
        <v>137</v>
      </c>
      <c r="R144" s="217">
        <f t="shared" si="188"/>
        <v>68.5</v>
      </c>
      <c r="S144" s="213">
        <f t="shared" si="189"/>
        <v>15</v>
      </c>
      <c r="T144" s="218">
        <f t="shared" si="190"/>
        <v>4.5666666666666664</v>
      </c>
      <c r="U144" s="217">
        <f t="shared" si="191"/>
        <v>2</v>
      </c>
      <c r="V144" s="213">
        <f t="shared" si="192"/>
        <v>0.92592592592592593</v>
      </c>
      <c r="W144" s="213">
        <f t="shared" si="193"/>
        <v>7.407407407407407E-2</v>
      </c>
      <c r="X144" s="213">
        <f t="shared" si="211"/>
        <v>0</v>
      </c>
      <c r="Y144" s="217">
        <f t="shared" si="212"/>
        <v>4.9319999999999995</v>
      </c>
      <c r="Z144" s="213">
        <f t="shared" si="194"/>
        <v>3.0864197530864197</v>
      </c>
      <c r="AA144" s="213">
        <f t="shared" si="213"/>
        <v>6.4752098765432091</v>
      </c>
      <c r="AB144" s="218">
        <f t="shared" si="195"/>
        <v>4.8226372300636973</v>
      </c>
      <c r="AC144" s="217">
        <v>0</v>
      </c>
      <c r="AD144" s="213">
        <f t="shared" si="196"/>
        <v>26.746504330715922</v>
      </c>
      <c r="AE144" s="218">
        <f t="shared" si="214"/>
        <v>26.746504330715922</v>
      </c>
      <c r="AF144" s="58">
        <f t="shared" si="197"/>
        <v>1.37</v>
      </c>
      <c r="AG144" s="61">
        <f t="shared" si="198"/>
        <v>1.37</v>
      </c>
      <c r="AH144" s="58">
        <f t="shared" si="199"/>
        <v>5.4655900154071668</v>
      </c>
      <c r="AI144" s="49">
        <f t="shared" si="200"/>
        <v>6.2775150300116156E-2</v>
      </c>
      <c r="AJ144" s="61">
        <f t="shared" si="215"/>
        <v>5.5283651657072834</v>
      </c>
      <c r="AK144" s="217">
        <f t="shared" si="201"/>
        <v>68.5</v>
      </c>
      <c r="AL144" s="213">
        <f t="shared" si="202"/>
        <v>1500</v>
      </c>
      <c r="AM144" s="218">
        <f t="shared" si="216"/>
        <v>4.5666666666666668E-2</v>
      </c>
      <c r="AN144" s="217">
        <f t="shared" si="217"/>
        <v>2</v>
      </c>
      <c r="AO144" s="213">
        <f t="shared" si="218"/>
        <v>7.4074074074074084E-2</v>
      </c>
      <c r="AP144" s="213">
        <f t="shared" si="219"/>
        <v>0.61649999999999994</v>
      </c>
      <c r="AQ144" s="213">
        <f t="shared" si="220"/>
        <v>0.38580246913580252</v>
      </c>
      <c r="AR144" s="213">
        <f t="shared" si="235"/>
        <v>0.80940123456790114</v>
      </c>
      <c r="AS144" s="218">
        <f t="shared" si="236"/>
        <v>0.17050597442903742</v>
      </c>
      <c r="AT144" s="217"/>
      <c r="AU144" s="213">
        <f t="shared" si="221"/>
        <v>5.6307000000000003E-2</v>
      </c>
      <c r="AV144" s="218">
        <f t="shared" si="237"/>
        <v>5.6307000000000003E-2</v>
      </c>
      <c r="AW144" s="217">
        <f t="shared" si="222"/>
        <v>0</v>
      </c>
      <c r="AX144" s="213">
        <f t="shared" si="223"/>
        <v>5.2516666666666663E-2</v>
      </c>
      <c r="AY144" s="218">
        <f t="shared" si="238"/>
        <v>5.2516666666666663E-2</v>
      </c>
      <c r="AZ144" s="217">
        <f t="shared" si="203"/>
        <v>0</v>
      </c>
      <c r="BA144" s="213">
        <f t="shared" si="204"/>
        <v>0</v>
      </c>
      <c r="BB144" s="213">
        <f t="shared" si="239"/>
        <v>0</v>
      </c>
      <c r="BC144" s="61">
        <f t="shared" si="224"/>
        <v>0</v>
      </c>
      <c r="BD144" s="58">
        <v>0</v>
      </c>
      <c r="BE144" s="49">
        <f t="shared" si="225"/>
        <v>0</v>
      </c>
      <c r="BF144" s="61">
        <f t="shared" si="240"/>
        <v>0</v>
      </c>
      <c r="BG144" s="58">
        <f t="shared" si="226"/>
        <v>0</v>
      </c>
      <c r="BH144" s="49">
        <f t="shared" si="227"/>
        <v>0</v>
      </c>
      <c r="BI144" s="61">
        <f t="shared" si="228"/>
        <v>0</v>
      </c>
      <c r="BK144" s="217">
        <f t="shared" si="205"/>
        <v>0</v>
      </c>
      <c r="BL144" s="213">
        <f t="shared" si="206"/>
        <v>0</v>
      </c>
      <c r="BM144" s="213">
        <f t="shared" si="207"/>
        <v>0</v>
      </c>
      <c r="BN144" s="61">
        <f t="shared" ref="BN144:BN157" si="243">IF(EN_OUT_3=1,BK144/BL144,0)</f>
        <v>0</v>
      </c>
      <c r="BO144" s="58">
        <v>0</v>
      </c>
      <c r="BP144" s="49">
        <f t="shared" si="229"/>
        <v>0</v>
      </c>
      <c r="BQ144" s="61">
        <f t="shared" si="241"/>
        <v>0</v>
      </c>
      <c r="BR144" s="58">
        <f t="shared" si="230"/>
        <v>0</v>
      </c>
      <c r="BS144" s="49">
        <f t="shared" si="231"/>
        <v>0</v>
      </c>
      <c r="BT144" s="61">
        <f t="shared" si="242"/>
        <v>0</v>
      </c>
      <c r="BU144" s="58">
        <f t="shared" si="208"/>
        <v>9.3031319411185809E-2</v>
      </c>
      <c r="BV144" s="49">
        <f t="shared" si="209"/>
        <v>1.0800000000000002E-3</v>
      </c>
      <c r="BW144" s="61">
        <f t="shared" si="210"/>
        <v>6.7499999999999999E-3</v>
      </c>
      <c r="BX144" s="49">
        <f t="shared" si="232"/>
        <v>28.116504330715923</v>
      </c>
      <c r="BY144" s="49">
        <f t="shared" si="233"/>
        <v>35.224554482501055</v>
      </c>
      <c r="BZ144" s="49">
        <f t="shared" si="234"/>
        <v>66.04029329579464</v>
      </c>
    </row>
    <row r="145" spans="17:78" x14ac:dyDescent="0.4">
      <c r="Q145" s="49">
        <v>138</v>
      </c>
      <c r="R145" s="217">
        <f t="shared" si="188"/>
        <v>69</v>
      </c>
      <c r="S145" s="213">
        <f t="shared" si="189"/>
        <v>15</v>
      </c>
      <c r="T145" s="218">
        <f t="shared" si="190"/>
        <v>4.5999999999999996</v>
      </c>
      <c r="U145" s="217">
        <f t="shared" si="191"/>
        <v>2</v>
      </c>
      <c r="V145" s="213">
        <f t="shared" si="192"/>
        <v>0.92592592592592593</v>
      </c>
      <c r="W145" s="213">
        <f t="shared" si="193"/>
        <v>7.407407407407407E-2</v>
      </c>
      <c r="X145" s="213">
        <f t="shared" si="211"/>
        <v>0</v>
      </c>
      <c r="Y145" s="217">
        <f t="shared" si="212"/>
        <v>4.968</v>
      </c>
      <c r="Z145" s="213">
        <f t="shared" si="194"/>
        <v>3.0864197530864197</v>
      </c>
      <c r="AA145" s="213">
        <f t="shared" si="213"/>
        <v>6.5112098765432096</v>
      </c>
      <c r="AB145" s="218">
        <f t="shared" si="195"/>
        <v>4.8567303664910666</v>
      </c>
      <c r="AC145" s="217">
        <v>0</v>
      </c>
      <c r="AD145" s="213">
        <f t="shared" si="196"/>
        <v>27.126004330715919</v>
      </c>
      <c r="AE145" s="218">
        <f t="shared" si="214"/>
        <v>27.126004330715919</v>
      </c>
      <c r="AF145" s="58">
        <f t="shared" si="197"/>
        <v>1.3800000000000001</v>
      </c>
      <c r="AG145" s="61">
        <f t="shared" si="198"/>
        <v>1.3800000000000001</v>
      </c>
      <c r="AH145" s="58">
        <f t="shared" si="199"/>
        <v>5.5431400154071664</v>
      </c>
      <c r="AI145" s="49">
        <f t="shared" si="200"/>
        <v>6.323336307602942E-2</v>
      </c>
      <c r="AJ145" s="61">
        <f t="shared" si="215"/>
        <v>5.6063733784831955</v>
      </c>
      <c r="AK145" s="217">
        <f t="shared" si="201"/>
        <v>69</v>
      </c>
      <c r="AL145" s="213">
        <f t="shared" si="202"/>
        <v>1500</v>
      </c>
      <c r="AM145" s="218">
        <f t="shared" si="216"/>
        <v>4.5999999999999999E-2</v>
      </c>
      <c r="AN145" s="217">
        <f t="shared" si="217"/>
        <v>2</v>
      </c>
      <c r="AO145" s="213">
        <f t="shared" si="218"/>
        <v>7.407407407407407E-2</v>
      </c>
      <c r="AP145" s="213">
        <f t="shared" si="219"/>
        <v>0.621</v>
      </c>
      <c r="AQ145" s="213">
        <f t="shared" si="220"/>
        <v>0.38580246913580241</v>
      </c>
      <c r="AR145" s="213">
        <f t="shared" si="235"/>
        <v>0.8139012345679012</v>
      </c>
      <c r="AS145" s="218">
        <f t="shared" si="236"/>
        <v>0.17171134882702296</v>
      </c>
      <c r="AT145" s="217"/>
      <c r="AU145" s="213">
        <f t="shared" si="221"/>
        <v>5.7131999999999995E-2</v>
      </c>
      <c r="AV145" s="218">
        <f t="shared" si="237"/>
        <v>5.7131999999999995E-2</v>
      </c>
      <c r="AW145" s="217">
        <f t="shared" si="222"/>
        <v>0</v>
      </c>
      <c r="AX145" s="213">
        <f t="shared" si="223"/>
        <v>5.2899999999999996E-2</v>
      </c>
      <c r="AY145" s="218">
        <f t="shared" si="238"/>
        <v>5.2899999999999996E-2</v>
      </c>
      <c r="AZ145" s="217">
        <f t="shared" si="203"/>
        <v>0</v>
      </c>
      <c r="BA145" s="213">
        <f t="shared" si="204"/>
        <v>0</v>
      </c>
      <c r="BB145" s="213">
        <f t="shared" si="239"/>
        <v>0</v>
      </c>
      <c r="BC145" s="61">
        <f t="shared" si="224"/>
        <v>0</v>
      </c>
      <c r="BD145" s="58">
        <v>0</v>
      </c>
      <c r="BE145" s="49">
        <f t="shared" si="225"/>
        <v>0</v>
      </c>
      <c r="BF145" s="61">
        <f t="shared" si="240"/>
        <v>0</v>
      </c>
      <c r="BG145" s="58">
        <f t="shared" si="226"/>
        <v>0</v>
      </c>
      <c r="BH145" s="49">
        <f t="shared" si="227"/>
        <v>0</v>
      </c>
      <c r="BI145" s="61">
        <f t="shared" si="228"/>
        <v>0</v>
      </c>
      <c r="BK145" s="217">
        <f t="shared" si="205"/>
        <v>0</v>
      </c>
      <c r="BL145" s="213">
        <f t="shared" si="206"/>
        <v>0</v>
      </c>
      <c r="BM145" s="213">
        <f t="shared" si="207"/>
        <v>0</v>
      </c>
      <c r="BN145" s="61">
        <f t="shared" si="243"/>
        <v>0</v>
      </c>
      <c r="BO145" s="58">
        <v>0</v>
      </c>
      <c r="BP145" s="49">
        <f t="shared" si="229"/>
        <v>0</v>
      </c>
      <c r="BQ145" s="61">
        <f t="shared" si="241"/>
        <v>0</v>
      </c>
      <c r="BR145" s="58">
        <f t="shared" si="230"/>
        <v>0</v>
      </c>
      <c r="BS145" s="49">
        <f t="shared" si="231"/>
        <v>0</v>
      </c>
      <c r="BT145" s="61">
        <f t="shared" si="242"/>
        <v>0</v>
      </c>
      <c r="BU145" s="58">
        <f t="shared" si="208"/>
        <v>9.4351319411185797E-2</v>
      </c>
      <c r="BV145" s="49">
        <f t="shared" si="209"/>
        <v>1.0800000000000002E-3</v>
      </c>
      <c r="BW145" s="61">
        <f t="shared" si="210"/>
        <v>6.7499999999999999E-3</v>
      </c>
      <c r="BX145" s="49">
        <f t="shared" si="232"/>
        <v>28.506004330715918</v>
      </c>
      <c r="BY145" s="49">
        <f t="shared" si="233"/>
        <v>35.704591028610302</v>
      </c>
      <c r="BZ145" s="49">
        <f t="shared" si="234"/>
        <v>65.899689136979575</v>
      </c>
    </row>
    <row r="146" spans="17:78" x14ac:dyDescent="0.4">
      <c r="Q146" s="49">
        <v>139</v>
      </c>
      <c r="R146" s="217">
        <f t="shared" si="188"/>
        <v>69.5</v>
      </c>
      <c r="S146" s="213">
        <f t="shared" si="189"/>
        <v>15</v>
      </c>
      <c r="T146" s="218">
        <f t="shared" si="190"/>
        <v>4.6333333333333337</v>
      </c>
      <c r="U146" s="217">
        <f t="shared" si="191"/>
        <v>2</v>
      </c>
      <c r="V146" s="213">
        <f t="shared" si="192"/>
        <v>0.92592592592592593</v>
      </c>
      <c r="W146" s="213">
        <f t="shared" si="193"/>
        <v>7.407407407407407E-2</v>
      </c>
      <c r="X146" s="213">
        <f t="shared" si="211"/>
        <v>0</v>
      </c>
      <c r="Y146" s="217">
        <f t="shared" si="212"/>
        <v>5.0039999999999996</v>
      </c>
      <c r="Z146" s="213">
        <f t="shared" si="194"/>
        <v>3.0864197530864197</v>
      </c>
      <c r="AA146" s="213">
        <f t="shared" si="213"/>
        <v>6.5472098765432092</v>
      </c>
      <c r="AB146" s="218">
        <f t="shared" si="195"/>
        <v>4.8908312026481191</v>
      </c>
      <c r="AC146" s="217">
        <v>0</v>
      </c>
      <c r="AD146" s="213">
        <f t="shared" si="196"/>
        <v>27.508264330715917</v>
      </c>
      <c r="AE146" s="218">
        <f t="shared" si="214"/>
        <v>27.508264330715917</v>
      </c>
      <c r="AF146" s="58">
        <f t="shared" si="197"/>
        <v>1.3900000000000001</v>
      </c>
      <c r="AG146" s="61">
        <f t="shared" si="198"/>
        <v>1.3900000000000001</v>
      </c>
      <c r="AH146" s="58">
        <f t="shared" si="199"/>
        <v>5.6212540154071649</v>
      </c>
      <c r="AI146" s="49">
        <f t="shared" si="200"/>
        <v>6.3691575851942683E-2</v>
      </c>
      <c r="AJ146" s="61">
        <f t="shared" si="215"/>
        <v>5.6849455912591074</v>
      </c>
      <c r="AK146" s="217">
        <f t="shared" si="201"/>
        <v>69.5</v>
      </c>
      <c r="AL146" s="213">
        <f t="shared" si="202"/>
        <v>1500</v>
      </c>
      <c r="AM146" s="218">
        <f t="shared" si="216"/>
        <v>4.6333333333333331E-2</v>
      </c>
      <c r="AN146" s="217">
        <f t="shared" si="217"/>
        <v>2</v>
      </c>
      <c r="AO146" s="213">
        <f t="shared" si="218"/>
        <v>7.407407407407407E-2</v>
      </c>
      <c r="AP146" s="213">
        <f t="shared" si="219"/>
        <v>0.62549999999999994</v>
      </c>
      <c r="AQ146" s="213">
        <f t="shared" si="220"/>
        <v>0.38580246913580241</v>
      </c>
      <c r="AR146" s="213">
        <f t="shared" si="235"/>
        <v>0.81840123456790115</v>
      </c>
      <c r="AS146" s="218">
        <f t="shared" si="236"/>
        <v>0.17291699545156214</v>
      </c>
      <c r="AT146" s="217"/>
      <c r="AU146" s="213">
        <f t="shared" si="221"/>
        <v>5.7962999999999987E-2</v>
      </c>
      <c r="AV146" s="218">
        <f t="shared" si="237"/>
        <v>5.7962999999999987E-2</v>
      </c>
      <c r="AW146" s="217">
        <f t="shared" si="222"/>
        <v>0</v>
      </c>
      <c r="AX146" s="213">
        <f t="shared" si="223"/>
        <v>5.3283333333333328E-2</v>
      </c>
      <c r="AY146" s="218">
        <f t="shared" si="238"/>
        <v>5.3283333333333328E-2</v>
      </c>
      <c r="AZ146" s="217">
        <f t="shared" si="203"/>
        <v>0</v>
      </c>
      <c r="BA146" s="213">
        <f t="shared" si="204"/>
        <v>0</v>
      </c>
      <c r="BB146" s="213">
        <f t="shared" si="239"/>
        <v>0</v>
      </c>
      <c r="BC146" s="61">
        <f t="shared" si="224"/>
        <v>0</v>
      </c>
      <c r="BD146" s="58">
        <v>0</v>
      </c>
      <c r="BE146" s="49">
        <f t="shared" si="225"/>
        <v>0</v>
      </c>
      <c r="BF146" s="61">
        <f t="shared" si="240"/>
        <v>0</v>
      </c>
      <c r="BG146" s="58">
        <f t="shared" si="226"/>
        <v>0</v>
      </c>
      <c r="BH146" s="49">
        <f t="shared" si="227"/>
        <v>0</v>
      </c>
      <c r="BI146" s="61">
        <f t="shared" si="228"/>
        <v>0</v>
      </c>
      <c r="BK146" s="217">
        <f t="shared" si="205"/>
        <v>0</v>
      </c>
      <c r="BL146" s="213">
        <f t="shared" si="206"/>
        <v>0</v>
      </c>
      <c r="BM146" s="213">
        <f t="shared" si="207"/>
        <v>0</v>
      </c>
      <c r="BN146" s="61">
        <f t="shared" si="243"/>
        <v>0</v>
      </c>
      <c r="BO146" s="58">
        <v>0</v>
      </c>
      <c r="BP146" s="49">
        <f t="shared" si="229"/>
        <v>0</v>
      </c>
      <c r="BQ146" s="61">
        <f t="shared" si="241"/>
        <v>0</v>
      </c>
      <c r="BR146" s="58">
        <f t="shared" si="230"/>
        <v>0</v>
      </c>
      <c r="BS146" s="49">
        <f t="shared" si="231"/>
        <v>0</v>
      </c>
      <c r="BT146" s="61">
        <f t="shared" si="242"/>
        <v>0</v>
      </c>
      <c r="BU146" s="58">
        <f t="shared" si="208"/>
        <v>9.5680919411185783E-2</v>
      </c>
      <c r="BV146" s="49">
        <f t="shared" si="209"/>
        <v>1.0800000000000002E-3</v>
      </c>
      <c r="BW146" s="61">
        <f t="shared" si="210"/>
        <v>6.7499999999999999E-3</v>
      </c>
      <c r="BX146" s="49">
        <f t="shared" si="232"/>
        <v>28.898264330715918</v>
      </c>
      <c r="BY146" s="49">
        <f t="shared" si="233"/>
        <v>36.187967174719546</v>
      </c>
      <c r="BZ146" s="49">
        <f t="shared" si="234"/>
        <v>65.759614701553588</v>
      </c>
    </row>
    <row r="147" spans="17:78" x14ac:dyDescent="0.4">
      <c r="Q147" s="49">
        <v>140</v>
      </c>
      <c r="R147" s="217">
        <f t="shared" si="188"/>
        <v>70</v>
      </c>
      <c r="S147" s="213">
        <f t="shared" si="189"/>
        <v>15</v>
      </c>
      <c r="T147" s="218">
        <f t="shared" si="190"/>
        <v>4.666666666666667</v>
      </c>
      <c r="U147" s="217">
        <f t="shared" si="191"/>
        <v>2</v>
      </c>
      <c r="V147" s="213">
        <f t="shared" si="192"/>
        <v>0.92592592592592593</v>
      </c>
      <c r="W147" s="213">
        <f t="shared" si="193"/>
        <v>7.407407407407407E-2</v>
      </c>
      <c r="X147" s="213">
        <f t="shared" si="211"/>
        <v>0</v>
      </c>
      <c r="Y147" s="217">
        <f t="shared" si="212"/>
        <v>5.04</v>
      </c>
      <c r="Z147" s="213">
        <f t="shared" si="194"/>
        <v>3.0864197530864197</v>
      </c>
      <c r="AA147" s="213">
        <f t="shared" si="213"/>
        <v>6.5832098765432097</v>
      </c>
      <c r="AB147" s="218">
        <f t="shared" si="195"/>
        <v>4.924939578593472</v>
      </c>
      <c r="AC147" s="217">
        <v>0</v>
      </c>
      <c r="AD147" s="213">
        <f t="shared" si="196"/>
        <v>27.893284330715915</v>
      </c>
      <c r="AE147" s="218">
        <f t="shared" si="214"/>
        <v>27.893284330715915</v>
      </c>
      <c r="AF147" s="58">
        <f t="shared" si="197"/>
        <v>1.4000000000000001</v>
      </c>
      <c r="AG147" s="61">
        <f t="shared" si="198"/>
        <v>1.4000000000000001</v>
      </c>
      <c r="AH147" s="58">
        <f t="shared" si="199"/>
        <v>5.6999320154071649</v>
      </c>
      <c r="AI147" s="49">
        <f t="shared" si="200"/>
        <v>6.4149788627855933E-2</v>
      </c>
      <c r="AJ147" s="61">
        <f t="shared" si="215"/>
        <v>5.7640818040350208</v>
      </c>
      <c r="AK147" s="217">
        <f t="shared" si="201"/>
        <v>70</v>
      </c>
      <c r="AL147" s="213">
        <f t="shared" si="202"/>
        <v>1500</v>
      </c>
      <c r="AM147" s="218">
        <f t="shared" si="216"/>
        <v>4.6666666666666669E-2</v>
      </c>
      <c r="AN147" s="217">
        <f t="shared" si="217"/>
        <v>2</v>
      </c>
      <c r="AO147" s="213">
        <f t="shared" si="218"/>
        <v>7.4074074074074084E-2</v>
      </c>
      <c r="AP147" s="213">
        <f t="shared" si="219"/>
        <v>0.63</v>
      </c>
      <c r="AQ147" s="213">
        <f t="shared" si="220"/>
        <v>0.38580246913580252</v>
      </c>
      <c r="AR147" s="213">
        <f t="shared" si="235"/>
        <v>0.82290123456790121</v>
      </c>
      <c r="AS147" s="218">
        <f t="shared" si="236"/>
        <v>0.17412290864787311</v>
      </c>
      <c r="AT147" s="217"/>
      <c r="AU147" s="213">
        <f t="shared" si="221"/>
        <v>5.8800000000000005E-2</v>
      </c>
      <c r="AV147" s="218">
        <f t="shared" si="237"/>
        <v>5.8800000000000005E-2</v>
      </c>
      <c r="AW147" s="217">
        <f t="shared" si="222"/>
        <v>0</v>
      </c>
      <c r="AX147" s="213">
        <f t="shared" si="223"/>
        <v>5.3666666666666668E-2</v>
      </c>
      <c r="AY147" s="218">
        <f t="shared" si="238"/>
        <v>5.3666666666666668E-2</v>
      </c>
      <c r="AZ147" s="217">
        <f t="shared" si="203"/>
        <v>0</v>
      </c>
      <c r="BA147" s="213">
        <f t="shared" si="204"/>
        <v>0</v>
      </c>
      <c r="BB147" s="213">
        <f t="shared" si="239"/>
        <v>0</v>
      </c>
      <c r="BC147" s="61">
        <f t="shared" si="224"/>
        <v>0</v>
      </c>
      <c r="BD147" s="58">
        <v>0</v>
      </c>
      <c r="BE147" s="49">
        <f t="shared" si="225"/>
        <v>0</v>
      </c>
      <c r="BF147" s="61">
        <f t="shared" si="240"/>
        <v>0</v>
      </c>
      <c r="BG147" s="58">
        <f t="shared" si="226"/>
        <v>0</v>
      </c>
      <c r="BH147" s="49">
        <f t="shared" si="227"/>
        <v>0</v>
      </c>
      <c r="BI147" s="61">
        <f t="shared" si="228"/>
        <v>0</v>
      </c>
      <c r="BK147" s="217">
        <f t="shared" si="205"/>
        <v>0</v>
      </c>
      <c r="BL147" s="213">
        <f t="shared" si="206"/>
        <v>0</v>
      </c>
      <c r="BM147" s="213">
        <f t="shared" si="207"/>
        <v>0</v>
      </c>
      <c r="BN147" s="61">
        <f t="shared" si="243"/>
        <v>0</v>
      </c>
      <c r="BO147" s="58">
        <v>0</v>
      </c>
      <c r="BP147" s="49">
        <f t="shared" si="229"/>
        <v>0</v>
      </c>
      <c r="BQ147" s="61">
        <f t="shared" si="241"/>
        <v>0</v>
      </c>
      <c r="BR147" s="58">
        <f t="shared" si="230"/>
        <v>0</v>
      </c>
      <c r="BS147" s="49">
        <f t="shared" si="231"/>
        <v>0</v>
      </c>
      <c r="BT147" s="61">
        <f t="shared" si="242"/>
        <v>0</v>
      </c>
      <c r="BU147" s="58">
        <f t="shared" si="208"/>
        <v>9.7020119411185782E-2</v>
      </c>
      <c r="BV147" s="49">
        <f t="shared" si="209"/>
        <v>1.0800000000000002E-3</v>
      </c>
      <c r="BW147" s="61">
        <f t="shared" si="210"/>
        <v>6.7499999999999999E-3</v>
      </c>
      <c r="BX147" s="49">
        <f t="shared" si="232"/>
        <v>29.293284330715913</v>
      </c>
      <c r="BY147" s="49">
        <f t="shared" si="233"/>
        <v>36.674682920828786</v>
      </c>
      <c r="BZ147" s="49">
        <f t="shared" si="234"/>
        <v>65.620068495495048</v>
      </c>
    </row>
    <row r="148" spans="17:78" x14ac:dyDescent="0.4">
      <c r="Q148" s="49">
        <v>141</v>
      </c>
      <c r="R148" s="217">
        <f t="shared" si="188"/>
        <v>70.5</v>
      </c>
      <c r="S148" s="213">
        <f t="shared" si="189"/>
        <v>15</v>
      </c>
      <c r="T148" s="218">
        <f t="shared" si="190"/>
        <v>4.7</v>
      </c>
      <c r="U148" s="217">
        <f t="shared" si="191"/>
        <v>2</v>
      </c>
      <c r="V148" s="213">
        <f t="shared" si="192"/>
        <v>0.92592592592592593</v>
      </c>
      <c r="W148" s="213">
        <f t="shared" si="193"/>
        <v>7.407407407407407E-2</v>
      </c>
      <c r="X148" s="213">
        <f t="shared" si="211"/>
        <v>0</v>
      </c>
      <c r="Y148" s="217">
        <f t="shared" si="212"/>
        <v>5.0759999999999996</v>
      </c>
      <c r="Z148" s="213">
        <f t="shared" si="194"/>
        <v>3.0864197530864197</v>
      </c>
      <c r="AA148" s="213">
        <f t="shared" si="213"/>
        <v>6.6192098765432092</v>
      </c>
      <c r="AB148" s="218">
        <f t="shared" si="195"/>
        <v>4.9590553387511669</v>
      </c>
      <c r="AC148" s="217">
        <v>0</v>
      </c>
      <c r="AD148" s="213">
        <f t="shared" si="196"/>
        <v>28.281064330715921</v>
      </c>
      <c r="AE148" s="218">
        <f t="shared" si="214"/>
        <v>28.281064330715921</v>
      </c>
      <c r="AF148" s="58">
        <f t="shared" si="197"/>
        <v>1.41</v>
      </c>
      <c r="AG148" s="61">
        <f t="shared" si="198"/>
        <v>1.41</v>
      </c>
      <c r="AH148" s="58">
        <f t="shared" si="199"/>
        <v>5.7791740154071665</v>
      </c>
      <c r="AI148" s="49">
        <f t="shared" si="200"/>
        <v>6.4608001403769183E-2</v>
      </c>
      <c r="AJ148" s="61">
        <f t="shared" si="215"/>
        <v>5.8437820168109358</v>
      </c>
      <c r="AK148" s="217">
        <f t="shared" si="201"/>
        <v>70.5</v>
      </c>
      <c r="AL148" s="213">
        <f t="shared" si="202"/>
        <v>1500</v>
      </c>
      <c r="AM148" s="218">
        <f t="shared" si="216"/>
        <v>4.7E-2</v>
      </c>
      <c r="AN148" s="217">
        <f t="shared" si="217"/>
        <v>2</v>
      </c>
      <c r="AO148" s="213">
        <f t="shared" si="218"/>
        <v>7.4074074074074084E-2</v>
      </c>
      <c r="AP148" s="213">
        <f t="shared" si="219"/>
        <v>0.63449999999999995</v>
      </c>
      <c r="AQ148" s="213">
        <f t="shared" si="220"/>
        <v>0.38580246913580252</v>
      </c>
      <c r="AR148" s="213">
        <f t="shared" si="235"/>
        <v>0.82740123456790116</v>
      </c>
      <c r="AS148" s="218">
        <f t="shared" si="236"/>
        <v>0.17532908291551508</v>
      </c>
      <c r="AT148" s="217"/>
      <c r="AU148" s="213">
        <f t="shared" si="221"/>
        <v>5.9643000000000002E-2</v>
      </c>
      <c r="AV148" s="218">
        <f t="shared" si="237"/>
        <v>5.9643000000000002E-2</v>
      </c>
      <c r="AW148" s="217">
        <f t="shared" si="222"/>
        <v>0</v>
      </c>
      <c r="AX148" s="213">
        <f t="shared" si="223"/>
        <v>5.4049999999999994E-2</v>
      </c>
      <c r="AY148" s="218">
        <f t="shared" si="238"/>
        <v>5.4049999999999994E-2</v>
      </c>
      <c r="AZ148" s="217">
        <f t="shared" si="203"/>
        <v>0</v>
      </c>
      <c r="BA148" s="213">
        <f t="shared" si="204"/>
        <v>0</v>
      </c>
      <c r="BB148" s="213">
        <f t="shared" si="239"/>
        <v>0</v>
      </c>
      <c r="BC148" s="61">
        <f t="shared" si="224"/>
        <v>0</v>
      </c>
      <c r="BD148" s="58">
        <v>0</v>
      </c>
      <c r="BE148" s="49">
        <f t="shared" si="225"/>
        <v>0</v>
      </c>
      <c r="BF148" s="61">
        <f t="shared" si="240"/>
        <v>0</v>
      </c>
      <c r="BG148" s="58">
        <f t="shared" si="226"/>
        <v>0</v>
      </c>
      <c r="BH148" s="49">
        <f t="shared" si="227"/>
        <v>0</v>
      </c>
      <c r="BI148" s="61">
        <f t="shared" si="228"/>
        <v>0</v>
      </c>
      <c r="BK148" s="217">
        <f t="shared" si="205"/>
        <v>0</v>
      </c>
      <c r="BL148" s="213">
        <f t="shared" si="206"/>
        <v>0</v>
      </c>
      <c r="BM148" s="213">
        <f t="shared" si="207"/>
        <v>0</v>
      </c>
      <c r="BN148" s="61">
        <f t="shared" si="243"/>
        <v>0</v>
      </c>
      <c r="BO148" s="58">
        <v>0</v>
      </c>
      <c r="BP148" s="49">
        <f t="shared" si="229"/>
        <v>0</v>
      </c>
      <c r="BQ148" s="61">
        <f t="shared" si="241"/>
        <v>0</v>
      </c>
      <c r="BR148" s="58">
        <f t="shared" si="230"/>
        <v>0</v>
      </c>
      <c r="BS148" s="49">
        <f t="shared" si="231"/>
        <v>0</v>
      </c>
      <c r="BT148" s="61">
        <f t="shared" si="242"/>
        <v>0</v>
      </c>
      <c r="BU148" s="58">
        <f t="shared" si="208"/>
        <v>9.8368919411185807E-2</v>
      </c>
      <c r="BV148" s="49">
        <f t="shared" si="209"/>
        <v>1.0800000000000002E-3</v>
      </c>
      <c r="BW148" s="61">
        <f t="shared" si="210"/>
        <v>6.7499999999999999E-3</v>
      </c>
      <c r="BX148" s="49">
        <f t="shared" si="232"/>
        <v>29.691064330715921</v>
      </c>
      <c r="BY148" s="49">
        <f t="shared" si="233"/>
        <v>37.164738266938038</v>
      </c>
      <c r="BZ148" s="49">
        <f t="shared" si="234"/>
        <v>65.481048981149399</v>
      </c>
    </row>
    <row r="149" spans="17:78" x14ac:dyDescent="0.4">
      <c r="Q149" s="49">
        <v>142</v>
      </c>
      <c r="R149" s="217">
        <f t="shared" si="188"/>
        <v>71</v>
      </c>
      <c r="S149" s="213">
        <f t="shared" si="189"/>
        <v>15</v>
      </c>
      <c r="T149" s="218">
        <f t="shared" si="190"/>
        <v>4.7333333333333334</v>
      </c>
      <c r="U149" s="217">
        <f t="shared" si="191"/>
        <v>2</v>
      </c>
      <c r="V149" s="213">
        <f t="shared" si="192"/>
        <v>0.92592592592592593</v>
      </c>
      <c r="W149" s="213">
        <f t="shared" si="193"/>
        <v>7.407407407407407E-2</v>
      </c>
      <c r="X149" s="213">
        <f t="shared" si="211"/>
        <v>0</v>
      </c>
      <c r="Y149" s="217">
        <f t="shared" si="212"/>
        <v>5.1120000000000001</v>
      </c>
      <c r="Z149" s="213">
        <f t="shared" si="194"/>
        <v>3.0864197530864197</v>
      </c>
      <c r="AA149" s="213">
        <f t="shared" si="213"/>
        <v>6.6552098765432097</v>
      </c>
      <c r="AB149" s="218">
        <f t="shared" si="195"/>
        <v>4.9931783317638931</v>
      </c>
      <c r="AC149" s="217">
        <v>0</v>
      </c>
      <c r="AD149" s="213">
        <f t="shared" si="196"/>
        <v>28.671604330715926</v>
      </c>
      <c r="AE149" s="218">
        <f t="shared" si="214"/>
        <v>28.671604330715926</v>
      </c>
      <c r="AF149" s="58">
        <f t="shared" si="197"/>
        <v>1.42</v>
      </c>
      <c r="AG149" s="61">
        <f t="shared" si="198"/>
        <v>1.42</v>
      </c>
      <c r="AH149" s="58">
        <f t="shared" si="199"/>
        <v>5.858980015407167</v>
      </c>
      <c r="AI149" s="49">
        <f t="shared" si="200"/>
        <v>6.5066214179682447E-2</v>
      </c>
      <c r="AJ149" s="61">
        <f t="shared" si="215"/>
        <v>5.9240462295868497</v>
      </c>
      <c r="AK149" s="217">
        <f t="shared" si="201"/>
        <v>71</v>
      </c>
      <c r="AL149" s="213">
        <f t="shared" si="202"/>
        <v>1500</v>
      </c>
      <c r="AM149" s="218">
        <f t="shared" si="216"/>
        <v>4.7333333333333331E-2</v>
      </c>
      <c r="AN149" s="217">
        <f t="shared" si="217"/>
        <v>2</v>
      </c>
      <c r="AO149" s="213">
        <f t="shared" si="218"/>
        <v>7.407407407407407E-2</v>
      </c>
      <c r="AP149" s="213">
        <f t="shared" si="219"/>
        <v>0.63900000000000001</v>
      </c>
      <c r="AQ149" s="213">
        <f t="shared" si="220"/>
        <v>0.38580246913580241</v>
      </c>
      <c r="AR149" s="213">
        <f t="shared" si="235"/>
        <v>0.83190123456790122</v>
      </c>
      <c r="AS149" s="218">
        <f t="shared" si="236"/>
        <v>0.17653551290319905</v>
      </c>
      <c r="AT149" s="217"/>
      <c r="AU149" s="213">
        <f t="shared" si="221"/>
        <v>6.049199999999999E-2</v>
      </c>
      <c r="AV149" s="218">
        <f t="shared" si="237"/>
        <v>6.049199999999999E-2</v>
      </c>
      <c r="AW149" s="217">
        <f t="shared" si="222"/>
        <v>0</v>
      </c>
      <c r="AX149" s="213">
        <f t="shared" si="223"/>
        <v>5.4433333333333327E-2</v>
      </c>
      <c r="AY149" s="218">
        <f t="shared" si="238"/>
        <v>5.4433333333333327E-2</v>
      </c>
      <c r="AZ149" s="217">
        <f t="shared" si="203"/>
        <v>0</v>
      </c>
      <c r="BA149" s="213">
        <f t="shared" si="204"/>
        <v>0</v>
      </c>
      <c r="BB149" s="213">
        <f t="shared" si="239"/>
        <v>0</v>
      </c>
      <c r="BC149" s="61">
        <f t="shared" si="224"/>
        <v>0</v>
      </c>
      <c r="BD149" s="58">
        <v>0</v>
      </c>
      <c r="BE149" s="49">
        <f t="shared" si="225"/>
        <v>0</v>
      </c>
      <c r="BF149" s="61">
        <f t="shared" si="240"/>
        <v>0</v>
      </c>
      <c r="BG149" s="58">
        <f t="shared" si="226"/>
        <v>0</v>
      </c>
      <c r="BH149" s="49">
        <f t="shared" si="227"/>
        <v>0</v>
      </c>
      <c r="BI149" s="61">
        <f t="shared" si="228"/>
        <v>0</v>
      </c>
      <c r="BK149" s="217">
        <f t="shared" si="205"/>
        <v>0</v>
      </c>
      <c r="BL149" s="213">
        <f t="shared" si="206"/>
        <v>0</v>
      </c>
      <c r="BM149" s="213">
        <f t="shared" si="207"/>
        <v>0</v>
      </c>
      <c r="BN149" s="61">
        <f t="shared" si="243"/>
        <v>0</v>
      </c>
      <c r="BO149" s="58">
        <v>0</v>
      </c>
      <c r="BP149" s="49">
        <f t="shared" si="229"/>
        <v>0</v>
      </c>
      <c r="BQ149" s="61">
        <f t="shared" si="241"/>
        <v>0</v>
      </c>
      <c r="BR149" s="58">
        <f t="shared" si="230"/>
        <v>0</v>
      </c>
      <c r="BS149" s="49">
        <f t="shared" si="231"/>
        <v>0</v>
      </c>
      <c r="BT149" s="61">
        <f t="shared" si="242"/>
        <v>0</v>
      </c>
      <c r="BU149" s="58">
        <f t="shared" si="208"/>
        <v>9.9727319411185816E-2</v>
      </c>
      <c r="BV149" s="49">
        <f t="shared" si="209"/>
        <v>1.0800000000000002E-3</v>
      </c>
      <c r="BW149" s="61">
        <f t="shared" si="210"/>
        <v>6.7499999999999999E-3</v>
      </c>
      <c r="BX149" s="49">
        <f t="shared" si="232"/>
        <v>30.091604330715924</v>
      </c>
      <c r="BY149" s="49">
        <f t="shared" si="233"/>
        <v>37.658133213047293</v>
      </c>
      <c r="BZ149" s="49">
        <f t="shared" si="234"/>
        <v>65.342554579682925</v>
      </c>
    </row>
    <row r="150" spans="17:78" x14ac:dyDescent="0.4">
      <c r="Q150" s="49">
        <v>143</v>
      </c>
      <c r="R150" s="217">
        <f t="shared" si="188"/>
        <v>71.5</v>
      </c>
      <c r="S150" s="213">
        <f t="shared" si="189"/>
        <v>15</v>
      </c>
      <c r="T150" s="218">
        <f t="shared" si="190"/>
        <v>4.7666666666666666</v>
      </c>
      <c r="U150" s="217">
        <f t="shared" si="191"/>
        <v>2</v>
      </c>
      <c r="V150" s="213">
        <f t="shared" si="192"/>
        <v>0.92592592592592593</v>
      </c>
      <c r="W150" s="213">
        <f t="shared" si="193"/>
        <v>7.407407407407407E-2</v>
      </c>
      <c r="X150" s="213">
        <f t="shared" si="211"/>
        <v>0</v>
      </c>
      <c r="Y150" s="217">
        <f t="shared" si="212"/>
        <v>5.1479999999999997</v>
      </c>
      <c r="Z150" s="213">
        <f t="shared" si="194"/>
        <v>3.0864197530864197</v>
      </c>
      <c r="AA150" s="213">
        <f t="shared" si="213"/>
        <v>6.6912098765432093</v>
      </c>
      <c r="AB150" s="218">
        <f t="shared" si="195"/>
        <v>5.0273084103520489</v>
      </c>
      <c r="AC150" s="217">
        <v>0</v>
      </c>
      <c r="AD150" s="213">
        <f t="shared" si="196"/>
        <v>29.064904330715915</v>
      </c>
      <c r="AE150" s="218">
        <f t="shared" si="214"/>
        <v>29.064904330715915</v>
      </c>
      <c r="AF150" s="58">
        <f t="shared" si="197"/>
        <v>1.43</v>
      </c>
      <c r="AG150" s="61">
        <f t="shared" si="198"/>
        <v>1.43</v>
      </c>
      <c r="AH150" s="58">
        <f t="shared" si="199"/>
        <v>5.9393500154071655</v>
      </c>
      <c r="AI150" s="49">
        <f t="shared" si="200"/>
        <v>6.552442695559571E-2</v>
      </c>
      <c r="AJ150" s="61">
        <f t="shared" si="215"/>
        <v>6.0048744423627616</v>
      </c>
      <c r="AK150" s="217">
        <f t="shared" si="201"/>
        <v>71.5</v>
      </c>
      <c r="AL150" s="213">
        <f t="shared" si="202"/>
        <v>1500</v>
      </c>
      <c r="AM150" s="218">
        <f t="shared" si="216"/>
        <v>4.766666666666667E-2</v>
      </c>
      <c r="AN150" s="217">
        <f t="shared" si="217"/>
        <v>2</v>
      </c>
      <c r="AO150" s="213">
        <f t="shared" si="218"/>
        <v>7.4074074074074084E-2</v>
      </c>
      <c r="AP150" s="213">
        <f t="shared" si="219"/>
        <v>0.64349999999999996</v>
      </c>
      <c r="AQ150" s="213">
        <f t="shared" si="220"/>
        <v>0.38580246913580252</v>
      </c>
      <c r="AR150" s="213">
        <f t="shared" si="235"/>
        <v>0.83640123456790127</v>
      </c>
      <c r="AS150" s="218">
        <f t="shared" si="236"/>
        <v>0.17774219340380484</v>
      </c>
      <c r="AT150" s="217"/>
      <c r="AU150" s="213">
        <f t="shared" si="221"/>
        <v>6.1347000000000013E-2</v>
      </c>
      <c r="AV150" s="218">
        <f t="shared" si="237"/>
        <v>6.1347000000000013E-2</v>
      </c>
      <c r="AW150" s="217">
        <f t="shared" si="222"/>
        <v>0</v>
      </c>
      <c r="AX150" s="213">
        <f t="shared" si="223"/>
        <v>5.4816666666666666E-2</v>
      </c>
      <c r="AY150" s="218">
        <f t="shared" si="238"/>
        <v>5.4816666666666666E-2</v>
      </c>
      <c r="AZ150" s="217">
        <f t="shared" si="203"/>
        <v>0</v>
      </c>
      <c r="BA150" s="213">
        <f t="shared" si="204"/>
        <v>0</v>
      </c>
      <c r="BB150" s="213">
        <f t="shared" si="239"/>
        <v>0</v>
      </c>
      <c r="BC150" s="61">
        <f t="shared" si="224"/>
        <v>0</v>
      </c>
      <c r="BD150" s="58">
        <v>0</v>
      </c>
      <c r="BE150" s="49">
        <f t="shared" si="225"/>
        <v>0</v>
      </c>
      <c r="BF150" s="61">
        <f t="shared" si="240"/>
        <v>0</v>
      </c>
      <c r="BG150" s="58">
        <f t="shared" si="226"/>
        <v>0</v>
      </c>
      <c r="BH150" s="49">
        <f t="shared" si="227"/>
        <v>0</v>
      </c>
      <c r="BI150" s="61">
        <f t="shared" si="228"/>
        <v>0</v>
      </c>
      <c r="BK150" s="217">
        <f t="shared" si="205"/>
        <v>0</v>
      </c>
      <c r="BL150" s="213">
        <f t="shared" si="206"/>
        <v>0</v>
      </c>
      <c r="BM150" s="213">
        <f t="shared" si="207"/>
        <v>0</v>
      </c>
      <c r="BN150" s="61">
        <f t="shared" si="243"/>
        <v>0</v>
      </c>
      <c r="BO150" s="58">
        <v>0</v>
      </c>
      <c r="BP150" s="49">
        <f t="shared" si="229"/>
        <v>0</v>
      </c>
      <c r="BQ150" s="61">
        <f t="shared" si="241"/>
        <v>0</v>
      </c>
      <c r="BR150" s="58">
        <f t="shared" si="230"/>
        <v>0</v>
      </c>
      <c r="BS150" s="49">
        <f t="shared" si="231"/>
        <v>0</v>
      </c>
      <c r="BT150" s="61">
        <f t="shared" si="242"/>
        <v>0</v>
      </c>
      <c r="BU150" s="58">
        <f t="shared" si="208"/>
        <v>0.10109531941118578</v>
      </c>
      <c r="BV150" s="49">
        <f t="shared" si="209"/>
        <v>1.0800000000000002E-3</v>
      </c>
      <c r="BW150" s="61">
        <f t="shared" si="210"/>
        <v>6.7499999999999999E-3</v>
      </c>
      <c r="BX150" s="49">
        <f t="shared" si="232"/>
        <v>30.494904330715915</v>
      </c>
      <c r="BY150" s="49">
        <f t="shared" si="233"/>
        <v>38.154867759156531</v>
      </c>
      <c r="BZ150" s="49">
        <f t="shared" si="234"/>
        <v>65.204583673422491</v>
      </c>
    </row>
    <row r="151" spans="17:78" x14ac:dyDescent="0.4">
      <c r="Q151" s="49">
        <v>144</v>
      </c>
      <c r="R151" s="217">
        <f t="shared" si="188"/>
        <v>72</v>
      </c>
      <c r="S151" s="213">
        <f t="shared" si="189"/>
        <v>15</v>
      </c>
      <c r="T151" s="218">
        <f t="shared" si="190"/>
        <v>4.8</v>
      </c>
      <c r="U151" s="217">
        <f t="shared" si="191"/>
        <v>2</v>
      </c>
      <c r="V151" s="213">
        <f t="shared" si="192"/>
        <v>0.92592592592592593</v>
      </c>
      <c r="W151" s="213">
        <f t="shared" si="193"/>
        <v>7.407407407407407E-2</v>
      </c>
      <c r="X151" s="213">
        <f t="shared" si="211"/>
        <v>0</v>
      </c>
      <c r="Y151" s="217">
        <f t="shared" si="212"/>
        <v>5.1840000000000002</v>
      </c>
      <c r="Z151" s="213">
        <f t="shared" si="194"/>
        <v>3.0864197530864197</v>
      </c>
      <c r="AA151" s="213">
        <f t="shared" si="213"/>
        <v>6.7272098765432098</v>
      </c>
      <c r="AB151" s="218">
        <f t="shared" si="195"/>
        <v>5.0614454311783756</v>
      </c>
      <c r="AC151" s="217">
        <v>0</v>
      </c>
      <c r="AD151" s="213">
        <f t="shared" si="196"/>
        <v>29.460964330715925</v>
      </c>
      <c r="AE151" s="218">
        <f t="shared" si="214"/>
        <v>29.460964330715925</v>
      </c>
      <c r="AF151" s="58">
        <f t="shared" si="197"/>
        <v>1.44</v>
      </c>
      <c r="AG151" s="61">
        <f t="shared" si="198"/>
        <v>1.44</v>
      </c>
      <c r="AH151" s="58">
        <f t="shared" si="199"/>
        <v>6.0202840154071673</v>
      </c>
      <c r="AI151" s="49">
        <f t="shared" si="200"/>
        <v>6.598263973150896E-2</v>
      </c>
      <c r="AJ151" s="61">
        <f t="shared" si="215"/>
        <v>6.0862666551386759</v>
      </c>
      <c r="AK151" s="217">
        <f t="shared" si="201"/>
        <v>72</v>
      </c>
      <c r="AL151" s="213">
        <f t="shared" si="202"/>
        <v>1500</v>
      </c>
      <c r="AM151" s="218">
        <f t="shared" si="216"/>
        <v>4.8000000000000001E-2</v>
      </c>
      <c r="AN151" s="217">
        <f t="shared" si="217"/>
        <v>2</v>
      </c>
      <c r="AO151" s="213">
        <f t="shared" si="218"/>
        <v>7.407407407407407E-2</v>
      </c>
      <c r="AP151" s="213">
        <f t="shared" si="219"/>
        <v>0.64800000000000002</v>
      </c>
      <c r="AQ151" s="213">
        <f t="shared" si="220"/>
        <v>0.38580246913580241</v>
      </c>
      <c r="AR151" s="213">
        <f t="shared" si="235"/>
        <v>0.84090123456790122</v>
      </c>
      <c r="AS151" s="218">
        <f t="shared" si="236"/>
        <v>0.17894911934959493</v>
      </c>
      <c r="AT151" s="217"/>
      <c r="AU151" s="213">
        <f t="shared" si="221"/>
        <v>6.2207999999999999E-2</v>
      </c>
      <c r="AV151" s="218">
        <f t="shared" si="237"/>
        <v>6.2207999999999999E-2</v>
      </c>
      <c r="AW151" s="217">
        <f t="shared" si="222"/>
        <v>0</v>
      </c>
      <c r="AX151" s="213">
        <f t="shared" si="223"/>
        <v>5.5199999999999999E-2</v>
      </c>
      <c r="AY151" s="218">
        <f t="shared" si="238"/>
        <v>5.5199999999999999E-2</v>
      </c>
      <c r="AZ151" s="217">
        <f t="shared" si="203"/>
        <v>0</v>
      </c>
      <c r="BA151" s="213">
        <f t="shared" si="204"/>
        <v>0</v>
      </c>
      <c r="BB151" s="213">
        <f t="shared" si="239"/>
        <v>0</v>
      </c>
      <c r="BC151" s="61">
        <f t="shared" si="224"/>
        <v>0</v>
      </c>
      <c r="BD151" s="58">
        <v>0</v>
      </c>
      <c r="BE151" s="49">
        <f t="shared" si="225"/>
        <v>0</v>
      </c>
      <c r="BF151" s="61">
        <f t="shared" si="240"/>
        <v>0</v>
      </c>
      <c r="BG151" s="58">
        <f t="shared" si="226"/>
        <v>0</v>
      </c>
      <c r="BH151" s="49">
        <f t="shared" si="227"/>
        <v>0</v>
      </c>
      <c r="BI151" s="61">
        <f t="shared" si="228"/>
        <v>0</v>
      </c>
      <c r="BK151" s="217">
        <f t="shared" si="205"/>
        <v>0</v>
      </c>
      <c r="BL151" s="213">
        <f t="shared" si="206"/>
        <v>0</v>
      </c>
      <c r="BM151" s="213">
        <f t="shared" si="207"/>
        <v>0</v>
      </c>
      <c r="BN151" s="61">
        <f t="shared" si="243"/>
        <v>0</v>
      </c>
      <c r="BO151" s="58">
        <v>0</v>
      </c>
      <c r="BP151" s="49">
        <f t="shared" si="229"/>
        <v>0</v>
      </c>
      <c r="BQ151" s="61">
        <f t="shared" si="241"/>
        <v>0</v>
      </c>
      <c r="BR151" s="58">
        <f t="shared" si="230"/>
        <v>0</v>
      </c>
      <c r="BS151" s="49">
        <f t="shared" si="231"/>
        <v>0</v>
      </c>
      <c r="BT151" s="61">
        <f t="shared" si="242"/>
        <v>0</v>
      </c>
      <c r="BU151" s="58">
        <f t="shared" si="208"/>
        <v>0.10247291941118582</v>
      </c>
      <c r="BV151" s="49">
        <f t="shared" si="209"/>
        <v>1.0800000000000002E-3</v>
      </c>
      <c r="BW151" s="61">
        <f t="shared" si="210"/>
        <v>6.7499999999999999E-3</v>
      </c>
      <c r="BX151" s="49">
        <f t="shared" si="232"/>
        <v>30.900964330715926</v>
      </c>
      <c r="BY151" s="49">
        <f t="shared" si="233"/>
        <v>38.654941905265787</v>
      </c>
      <c r="BZ151" s="49">
        <f t="shared" si="234"/>
        <v>65.067134608087215</v>
      </c>
    </row>
    <row r="152" spans="17:78" x14ac:dyDescent="0.4">
      <c r="Q152" s="49">
        <v>145</v>
      </c>
      <c r="R152" s="217">
        <f t="shared" si="188"/>
        <v>72.5</v>
      </c>
      <c r="S152" s="213">
        <f t="shared" si="189"/>
        <v>15</v>
      </c>
      <c r="T152" s="218">
        <f t="shared" si="190"/>
        <v>4.833333333333333</v>
      </c>
      <c r="U152" s="217">
        <f t="shared" si="191"/>
        <v>2</v>
      </c>
      <c r="V152" s="213">
        <f t="shared" si="192"/>
        <v>0.92592592592592593</v>
      </c>
      <c r="W152" s="213">
        <f t="shared" si="193"/>
        <v>7.407407407407407E-2</v>
      </c>
      <c r="X152" s="213">
        <f t="shared" si="211"/>
        <v>0</v>
      </c>
      <c r="Y152" s="217">
        <f t="shared" si="212"/>
        <v>5.22</v>
      </c>
      <c r="Z152" s="213">
        <f t="shared" si="194"/>
        <v>3.0864197530864197</v>
      </c>
      <c r="AA152" s="213">
        <f t="shared" si="213"/>
        <v>6.7632098765432094</v>
      </c>
      <c r="AB152" s="218">
        <f t="shared" si="195"/>
        <v>5.0955892547178925</v>
      </c>
      <c r="AC152" s="217">
        <v>0</v>
      </c>
      <c r="AD152" s="213">
        <f t="shared" si="196"/>
        <v>29.859784330715918</v>
      </c>
      <c r="AE152" s="218">
        <f t="shared" si="214"/>
        <v>29.859784330715918</v>
      </c>
      <c r="AF152" s="58">
        <f t="shared" si="197"/>
        <v>1.45</v>
      </c>
      <c r="AG152" s="61">
        <f t="shared" si="198"/>
        <v>1.45</v>
      </c>
      <c r="AH152" s="58">
        <f t="shared" si="199"/>
        <v>6.1017820154071654</v>
      </c>
      <c r="AI152" s="49">
        <f t="shared" si="200"/>
        <v>6.6440852507422224E-2</v>
      </c>
      <c r="AJ152" s="61">
        <f t="shared" si="215"/>
        <v>6.1682228679145874</v>
      </c>
      <c r="AK152" s="217">
        <f t="shared" si="201"/>
        <v>72.5</v>
      </c>
      <c r="AL152" s="213">
        <f t="shared" si="202"/>
        <v>1500</v>
      </c>
      <c r="AM152" s="218">
        <f t="shared" si="216"/>
        <v>4.8333333333333332E-2</v>
      </c>
      <c r="AN152" s="217">
        <f t="shared" si="217"/>
        <v>2</v>
      </c>
      <c r="AO152" s="213">
        <f t="shared" si="218"/>
        <v>7.407407407407407E-2</v>
      </c>
      <c r="AP152" s="213">
        <f t="shared" si="219"/>
        <v>0.65249999999999997</v>
      </c>
      <c r="AQ152" s="213">
        <f t="shared" si="220"/>
        <v>0.38580246913580241</v>
      </c>
      <c r="AR152" s="213">
        <f t="shared" si="235"/>
        <v>0.84540123456790117</v>
      </c>
      <c r="AS152" s="218">
        <f t="shared" si="236"/>
        <v>0.18015628580761639</v>
      </c>
      <c r="AT152" s="217"/>
      <c r="AU152" s="213">
        <f t="shared" si="221"/>
        <v>6.3074999999999992E-2</v>
      </c>
      <c r="AV152" s="218">
        <f t="shared" si="237"/>
        <v>6.3074999999999992E-2</v>
      </c>
      <c r="AW152" s="217">
        <f t="shared" si="222"/>
        <v>0</v>
      </c>
      <c r="AX152" s="213">
        <f t="shared" si="223"/>
        <v>5.5583333333333325E-2</v>
      </c>
      <c r="AY152" s="218">
        <f t="shared" si="238"/>
        <v>5.5583333333333325E-2</v>
      </c>
      <c r="AZ152" s="217">
        <f t="shared" si="203"/>
        <v>0</v>
      </c>
      <c r="BA152" s="213">
        <f t="shared" si="204"/>
        <v>0</v>
      </c>
      <c r="BB152" s="213">
        <f t="shared" si="239"/>
        <v>0</v>
      </c>
      <c r="BC152" s="61">
        <f t="shared" si="224"/>
        <v>0</v>
      </c>
      <c r="BD152" s="58">
        <v>0</v>
      </c>
      <c r="BE152" s="49">
        <f t="shared" si="225"/>
        <v>0</v>
      </c>
      <c r="BF152" s="61">
        <f t="shared" si="240"/>
        <v>0</v>
      </c>
      <c r="BG152" s="58">
        <f t="shared" si="226"/>
        <v>0</v>
      </c>
      <c r="BH152" s="49">
        <f t="shared" si="227"/>
        <v>0</v>
      </c>
      <c r="BI152" s="61">
        <f t="shared" si="228"/>
        <v>0</v>
      </c>
      <c r="BK152" s="217">
        <f t="shared" si="205"/>
        <v>0</v>
      </c>
      <c r="BL152" s="213">
        <f t="shared" si="206"/>
        <v>0</v>
      </c>
      <c r="BM152" s="213">
        <f t="shared" si="207"/>
        <v>0</v>
      </c>
      <c r="BN152" s="61">
        <f t="shared" si="243"/>
        <v>0</v>
      </c>
      <c r="BO152" s="58">
        <v>0</v>
      </c>
      <c r="BP152" s="49">
        <f t="shared" si="229"/>
        <v>0</v>
      </c>
      <c r="BQ152" s="61">
        <f t="shared" si="241"/>
        <v>0</v>
      </c>
      <c r="BR152" s="58">
        <f t="shared" si="230"/>
        <v>0</v>
      </c>
      <c r="BS152" s="49">
        <f t="shared" si="231"/>
        <v>0</v>
      </c>
      <c r="BT152" s="61">
        <f t="shared" si="242"/>
        <v>0</v>
      </c>
      <c r="BU152" s="58">
        <f t="shared" si="208"/>
        <v>0.10386011941118579</v>
      </c>
      <c r="BV152" s="49">
        <f t="shared" si="209"/>
        <v>1.0800000000000002E-3</v>
      </c>
      <c r="BW152" s="61">
        <f t="shared" si="210"/>
        <v>6.7499999999999999E-3</v>
      </c>
      <c r="BX152" s="49">
        <f t="shared" si="232"/>
        <v>31.309784330715917</v>
      </c>
      <c r="BY152" s="49">
        <f t="shared" si="233"/>
        <v>39.158355651375025</v>
      </c>
      <c r="BZ152" s="49">
        <f t="shared" si="234"/>
        <v>64.930205694917191</v>
      </c>
    </row>
    <row r="153" spans="17:78" x14ac:dyDescent="0.4">
      <c r="Q153" s="49">
        <v>146</v>
      </c>
      <c r="R153" s="217">
        <f t="shared" si="188"/>
        <v>73</v>
      </c>
      <c r="S153" s="213">
        <f t="shared" si="189"/>
        <v>15</v>
      </c>
      <c r="T153" s="218">
        <f t="shared" si="190"/>
        <v>4.8666666666666663</v>
      </c>
      <c r="U153" s="217">
        <f t="shared" si="191"/>
        <v>2</v>
      </c>
      <c r="V153" s="213">
        <f t="shared" si="192"/>
        <v>0.92592592592592593</v>
      </c>
      <c r="W153" s="213">
        <f t="shared" si="193"/>
        <v>7.407407407407407E-2</v>
      </c>
      <c r="X153" s="213">
        <f t="shared" si="211"/>
        <v>0</v>
      </c>
      <c r="Y153" s="217">
        <f t="shared" si="212"/>
        <v>5.2560000000000002</v>
      </c>
      <c r="Z153" s="213">
        <f t="shared" si="194"/>
        <v>3.0864197530864197</v>
      </c>
      <c r="AA153" s="213">
        <f t="shared" si="213"/>
        <v>6.7992098765432099</v>
      </c>
      <c r="AB153" s="218">
        <f t="shared" si="195"/>
        <v>5.1297397451329294</v>
      </c>
      <c r="AC153" s="217">
        <v>0</v>
      </c>
      <c r="AD153" s="213">
        <f t="shared" si="196"/>
        <v>30.261364330715921</v>
      </c>
      <c r="AE153" s="218">
        <f t="shared" si="214"/>
        <v>30.261364330715921</v>
      </c>
      <c r="AF153" s="58">
        <f t="shared" si="197"/>
        <v>1.46</v>
      </c>
      <c r="AG153" s="61">
        <f t="shared" si="198"/>
        <v>1.46</v>
      </c>
      <c r="AH153" s="58">
        <f t="shared" si="199"/>
        <v>6.1838440154071668</v>
      </c>
      <c r="AI153" s="49">
        <f t="shared" si="200"/>
        <v>6.6899065283335488E-2</v>
      </c>
      <c r="AJ153" s="61">
        <f t="shared" si="215"/>
        <v>6.2507430806905022</v>
      </c>
      <c r="AK153" s="217">
        <f t="shared" si="201"/>
        <v>73</v>
      </c>
      <c r="AL153" s="213">
        <f t="shared" si="202"/>
        <v>1500</v>
      </c>
      <c r="AM153" s="218">
        <f t="shared" si="216"/>
        <v>4.8666666666666664E-2</v>
      </c>
      <c r="AN153" s="217">
        <f t="shared" si="217"/>
        <v>2</v>
      </c>
      <c r="AO153" s="213">
        <f t="shared" si="218"/>
        <v>7.407407407407407E-2</v>
      </c>
      <c r="AP153" s="213">
        <f t="shared" si="219"/>
        <v>0.65700000000000003</v>
      </c>
      <c r="AQ153" s="213">
        <f t="shared" si="220"/>
        <v>0.38580246913580241</v>
      </c>
      <c r="AR153" s="213">
        <f t="shared" si="235"/>
        <v>0.84990123456790123</v>
      </c>
      <c r="AS153" s="218">
        <f t="shared" si="236"/>
        <v>0.18136368797528232</v>
      </c>
      <c r="AT153" s="217"/>
      <c r="AU153" s="213">
        <f t="shared" si="221"/>
        <v>6.3947999999999991E-2</v>
      </c>
      <c r="AV153" s="218">
        <f t="shared" si="237"/>
        <v>6.3947999999999991E-2</v>
      </c>
      <c r="AW153" s="217">
        <f t="shared" si="222"/>
        <v>0</v>
      </c>
      <c r="AX153" s="213">
        <f t="shared" si="223"/>
        <v>5.5966666666666658E-2</v>
      </c>
      <c r="AY153" s="218">
        <f t="shared" si="238"/>
        <v>5.5966666666666658E-2</v>
      </c>
      <c r="AZ153" s="217">
        <f t="shared" si="203"/>
        <v>0</v>
      </c>
      <c r="BA153" s="213">
        <f t="shared" si="204"/>
        <v>0</v>
      </c>
      <c r="BB153" s="213">
        <f t="shared" si="239"/>
        <v>0</v>
      </c>
      <c r="BC153" s="61">
        <f t="shared" si="224"/>
        <v>0</v>
      </c>
      <c r="BD153" s="58">
        <v>0</v>
      </c>
      <c r="BE153" s="49">
        <f t="shared" si="225"/>
        <v>0</v>
      </c>
      <c r="BF153" s="61">
        <f t="shared" si="240"/>
        <v>0</v>
      </c>
      <c r="BG153" s="58">
        <f t="shared" si="226"/>
        <v>0</v>
      </c>
      <c r="BH153" s="49">
        <f t="shared" si="227"/>
        <v>0</v>
      </c>
      <c r="BI153" s="61">
        <f t="shared" si="228"/>
        <v>0</v>
      </c>
      <c r="BK153" s="217">
        <f t="shared" si="205"/>
        <v>0</v>
      </c>
      <c r="BL153" s="213">
        <f t="shared" si="206"/>
        <v>0</v>
      </c>
      <c r="BM153" s="213">
        <f t="shared" si="207"/>
        <v>0</v>
      </c>
      <c r="BN153" s="61">
        <f t="shared" si="243"/>
        <v>0</v>
      </c>
      <c r="BO153" s="58">
        <v>0</v>
      </c>
      <c r="BP153" s="49">
        <f t="shared" si="229"/>
        <v>0</v>
      </c>
      <c r="BQ153" s="61">
        <f t="shared" si="241"/>
        <v>0</v>
      </c>
      <c r="BR153" s="58">
        <f t="shared" si="230"/>
        <v>0</v>
      </c>
      <c r="BS153" s="49">
        <f t="shared" si="231"/>
        <v>0</v>
      </c>
      <c r="BT153" s="61">
        <f t="shared" si="242"/>
        <v>0</v>
      </c>
      <c r="BU153" s="58">
        <f t="shared" si="208"/>
        <v>0.10525691941118581</v>
      </c>
      <c r="BV153" s="49">
        <f t="shared" si="209"/>
        <v>1.0800000000000002E-3</v>
      </c>
      <c r="BW153" s="61">
        <f t="shared" si="210"/>
        <v>6.7499999999999999E-3</v>
      </c>
      <c r="BX153" s="49">
        <f t="shared" si="232"/>
        <v>31.721364330715922</v>
      </c>
      <c r="BY153" s="49">
        <f t="shared" si="233"/>
        <v>39.665108997484275</v>
      </c>
      <c r="BZ153" s="49">
        <f t="shared" si="234"/>
        <v>64.793795212704254</v>
      </c>
    </row>
    <row r="154" spans="17:78" x14ac:dyDescent="0.4">
      <c r="Q154" s="49">
        <v>147</v>
      </c>
      <c r="R154" s="217">
        <f t="shared" si="188"/>
        <v>73.5</v>
      </c>
      <c r="S154" s="213">
        <f t="shared" si="189"/>
        <v>15</v>
      </c>
      <c r="T154" s="218">
        <f t="shared" si="190"/>
        <v>4.9000000000000004</v>
      </c>
      <c r="U154" s="217">
        <f t="shared" si="191"/>
        <v>2</v>
      </c>
      <c r="V154" s="213">
        <f t="shared" si="192"/>
        <v>0.92592592592592593</v>
      </c>
      <c r="W154" s="213">
        <f t="shared" si="193"/>
        <v>7.407407407407407E-2</v>
      </c>
      <c r="X154" s="213">
        <f t="shared" si="211"/>
        <v>0</v>
      </c>
      <c r="Y154" s="217">
        <f t="shared" si="212"/>
        <v>5.2919999999999998</v>
      </c>
      <c r="Z154" s="213">
        <f t="shared" si="194"/>
        <v>3.0864197530864197</v>
      </c>
      <c r="AA154" s="213">
        <f t="shared" si="213"/>
        <v>6.8352098765432094</v>
      </c>
      <c r="AB154" s="218">
        <f t="shared" si="195"/>
        <v>5.1638967701529861</v>
      </c>
      <c r="AC154" s="217">
        <v>0</v>
      </c>
      <c r="AD154" s="213">
        <f t="shared" si="196"/>
        <v>30.665704330715911</v>
      </c>
      <c r="AE154" s="218">
        <f t="shared" si="214"/>
        <v>30.665704330715911</v>
      </c>
      <c r="AF154" s="58">
        <f t="shared" si="197"/>
        <v>1.47</v>
      </c>
      <c r="AG154" s="61">
        <f t="shared" si="198"/>
        <v>1.47</v>
      </c>
      <c r="AH154" s="58">
        <f t="shared" si="199"/>
        <v>6.2664700154071644</v>
      </c>
      <c r="AI154" s="49">
        <f t="shared" si="200"/>
        <v>6.7357278059248724E-2</v>
      </c>
      <c r="AJ154" s="61">
        <f t="shared" si="215"/>
        <v>6.3338272934664133</v>
      </c>
      <c r="AK154" s="217">
        <f t="shared" si="201"/>
        <v>73.5</v>
      </c>
      <c r="AL154" s="213">
        <f t="shared" si="202"/>
        <v>1500</v>
      </c>
      <c r="AM154" s="218">
        <f t="shared" si="216"/>
        <v>4.9000000000000002E-2</v>
      </c>
      <c r="AN154" s="217">
        <f t="shared" si="217"/>
        <v>2</v>
      </c>
      <c r="AO154" s="213">
        <f t="shared" si="218"/>
        <v>7.4074074074074084E-2</v>
      </c>
      <c r="AP154" s="213">
        <f t="shared" si="219"/>
        <v>0.66149999999999998</v>
      </c>
      <c r="AQ154" s="213">
        <f t="shared" si="220"/>
        <v>0.38580246913580252</v>
      </c>
      <c r="AR154" s="213">
        <f t="shared" si="235"/>
        <v>0.85440123456790129</v>
      </c>
      <c r="AS154" s="218">
        <f t="shared" si="236"/>
        <v>0.1825713211761244</v>
      </c>
      <c r="AT154" s="217"/>
      <c r="AU154" s="213">
        <f t="shared" si="221"/>
        <v>6.482700000000001E-2</v>
      </c>
      <c r="AV154" s="218">
        <f t="shared" si="237"/>
        <v>6.482700000000001E-2</v>
      </c>
      <c r="AW154" s="217">
        <f t="shared" si="222"/>
        <v>0</v>
      </c>
      <c r="AX154" s="213">
        <f t="shared" si="223"/>
        <v>5.6349999999999997E-2</v>
      </c>
      <c r="AY154" s="218">
        <f t="shared" si="238"/>
        <v>5.6349999999999997E-2</v>
      </c>
      <c r="AZ154" s="217">
        <f t="shared" si="203"/>
        <v>0</v>
      </c>
      <c r="BA154" s="213">
        <f t="shared" si="204"/>
        <v>0</v>
      </c>
      <c r="BB154" s="213">
        <f t="shared" si="239"/>
        <v>0</v>
      </c>
      <c r="BC154" s="61">
        <f t="shared" si="224"/>
        <v>0</v>
      </c>
      <c r="BD154" s="58">
        <v>0</v>
      </c>
      <c r="BE154" s="49">
        <f t="shared" si="225"/>
        <v>0</v>
      </c>
      <c r="BF154" s="61">
        <f t="shared" si="240"/>
        <v>0</v>
      </c>
      <c r="BG154" s="58">
        <f t="shared" si="226"/>
        <v>0</v>
      </c>
      <c r="BH154" s="49">
        <f t="shared" si="227"/>
        <v>0</v>
      </c>
      <c r="BI154" s="61">
        <f t="shared" si="228"/>
        <v>0</v>
      </c>
      <c r="BK154" s="217">
        <f t="shared" si="205"/>
        <v>0</v>
      </c>
      <c r="BL154" s="213">
        <f t="shared" si="206"/>
        <v>0</v>
      </c>
      <c r="BM154" s="213">
        <f t="shared" si="207"/>
        <v>0</v>
      </c>
      <c r="BN154" s="61">
        <f t="shared" si="243"/>
        <v>0</v>
      </c>
      <c r="BO154" s="58">
        <v>0</v>
      </c>
      <c r="BP154" s="49">
        <f t="shared" si="229"/>
        <v>0</v>
      </c>
      <c r="BQ154" s="61">
        <f t="shared" si="241"/>
        <v>0</v>
      </c>
      <c r="BR154" s="58">
        <f t="shared" si="230"/>
        <v>0</v>
      </c>
      <c r="BS154" s="49">
        <f t="shared" si="231"/>
        <v>0</v>
      </c>
      <c r="BT154" s="61">
        <f t="shared" si="242"/>
        <v>0</v>
      </c>
      <c r="BU154" s="58">
        <f t="shared" si="208"/>
        <v>0.10666331941118577</v>
      </c>
      <c r="BV154" s="49">
        <f t="shared" si="209"/>
        <v>1.0800000000000002E-3</v>
      </c>
      <c r="BW154" s="61">
        <f t="shared" si="210"/>
        <v>6.7499999999999999E-3</v>
      </c>
      <c r="BX154" s="49">
        <f t="shared" si="232"/>
        <v>32.13570433071591</v>
      </c>
      <c r="BY154" s="49">
        <f t="shared" si="233"/>
        <v>40.175201943593507</v>
      </c>
      <c r="BZ154" s="49">
        <f t="shared" si="234"/>
        <v>64.657901409729845</v>
      </c>
    </row>
    <row r="155" spans="17:78" x14ac:dyDescent="0.4">
      <c r="Q155" s="49">
        <v>148</v>
      </c>
      <c r="R155" s="217">
        <f t="shared" si="188"/>
        <v>74</v>
      </c>
      <c r="S155" s="213">
        <f t="shared" si="189"/>
        <v>15</v>
      </c>
      <c r="T155" s="218">
        <f t="shared" si="190"/>
        <v>4.9333333333333336</v>
      </c>
      <c r="U155" s="217">
        <f t="shared" si="191"/>
        <v>2</v>
      </c>
      <c r="V155" s="213">
        <f t="shared" si="192"/>
        <v>0.92592592592592593</v>
      </c>
      <c r="W155" s="213">
        <f t="shared" si="193"/>
        <v>7.407407407407407E-2</v>
      </c>
      <c r="X155" s="213">
        <f t="shared" si="211"/>
        <v>0</v>
      </c>
      <c r="Y155" s="217">
        <f t="shared" si="212"/>
        <v>5.3280000000000003</v>
      </c>
      <c r="Z155" s="213">
        <f t="shared" si="194"/>
        <v>3.0864197530864197</v>
      </c>
      <c r="AA155" s="213">
        <f t="shared" si="213"/>
        <v>6.8712098765432099</v>
      </c>
      <c r="AB155" s="218">
        <f t="shared" si="195"/>
        <v>5.1980602009592438</v>
      </c>
      <c r="AC155" s="217">
        <v>0</v>
      </c>
      <c r="AD155" s="213">
        <f t="shared" si="196"/>
        <v>31.072804330715929</v>
      </c>
      <c r="AE155" s="218">
        <f t="shared" si="214"/>
        <v>31.072804330715929</v>
      </c>
      <c r="AF155" s="58">
        <f t="shared" si="197"/>
        <v>1.48</v>
      </c>
      <c r="AG155" s="61">
        <f t="shared" si="198"/>
        <v>1.48</v>
      </c>
      <c r="AH155" s="58">
        <f t="shared" si="199"/>
        <v>6.3496600154071672</v>
      </c>
      <c r="AI155" s="49">
        <f t="shared" si="200"/>
        <v>6.7815490835161987E-2</v>
      </c>
      <c r="AJ155" s="61">
        <f t="shared" si="215"/>
        <v>6.4174755062423294</v>
      </c>
      <c r="AK155" s="217">
        <f t="shared" si="201"/>
        <v>74</v>
      </c>
      <c r="AL155" s="213">
        <f t="shared" si="202"/>
        <v>1500</v>
      </c>
      <c r="AM155" s="218">
        <f t="shared" si="216"/>
        <v>4.9333333333333333E-2</v>
      </c>
      <c r="AN155" s="217">
        <f t="shared" si="217"/>
        <v>2</v>
      </c>
      <c r="AO155" s="213">
        <f t="shared" si="218"/>
        <v>7.407407407407407E-2</v>
      </c>
      <c r="AP155" s="213">
        <f t="shared" si="219"/>
        <v>0.66600000000000004</v>
      </c>
      <c r="AQ155" s="213">
        <f t="shared" si="220"/>
        <v>0.38580246913580241</v>
      </c>
      <c r="AR155" s="213">
        <f t="shared" si="235"/>
        <v>0.85890123456790124</v>
      </c>
      <c r="AS155" s="218">
        <f t="shared" si="236"/>
        <v>0.18377918085570946</v>
      </c>
      <c r="AT155" s="217"/>
      <c r="AU155" s="213">
        <f t="shared" si="221"/>
        <v>6.5711999999999993E-2</v>
      </c>
      <c r="AV155" s="218">
        <f t="shared" si="237"/>
        <v>6.5711999999999993E-2</v>
      </c>
      <c r="AW155" s="217">
        <f t="shared" si="222"/>
        <v>0</v>
      </c>
      <c r="AX155" s="213">
        <f t="shared" si="223"/>
        <v>5.673333333333333E-2</v>
      </c>
      <c r="AY155" s="218">
        <f t="shared" si="238"/>
        <v>5.673333333333333E-2</v>
      </c>
      <c r="AZ155" s="217">
        <f t="shared" si="203"/>
        <v>0</v>
      </c>
      <c r="BA155" s="213">
        <f t="shared" si="204"/>
        <v>0</v>
      </c>
      <c r="BB155" s="213">
        <f t="shared" si="239"/>
        <v>0</v>
      </c>
      <c r="BC155" s="61">
        <f t="shared" si="224"/>
        <v>0</v>
      </c>
      <c r="BD155" s="58">
        <v>0</v>
      </c>
      <c r="BE155" s="49">
        <f t="shared" si="225"/>
        <v>0</v>
      </c>
      <c r="BF155" s="61">
        <f t="shared" si="240"/>
        <v>0</v>
      </c>
      <c r="BG155" s="58">
        <f t="shared" si="226"/>
        <v>0</v>
      </c>
      <c r="BH155" s="49">
        <f t="shared" si="227"/>
        <v>0</v>
      </c>
      <c r="BI155" s="61">
        <f t="shared" si="228"/>
        <v>0</v>
      </c>
      <c r="BK155" s="217">
        <f t="shared" si="205"/>
        <v>0</v>
      </c>
      <c r="BL155" s="213">
        <f t="shared" si="206"/>
        <v>0</v>
      </c>
      <c r="BM155" s="213">
        <f t="shared" si="207"/>
        <v>0</v>
      </c>
      <c r="BN155" s="61">
        <f t="shared" si="243"/>
        <v>0</v>
      </c>
      <c r="BO155" s="58">
        <v>0</v>
      </c>
      <c r="BP155" s="49">
        <f t="shared" si="229"/>
        <v>0</v>
      </c>
      <c r="BQ155" s="61">
        <f t="shared" si="241"/>
        <v>0</v>
      </c>
      <c r="BR155" s="58">
        <f t="shared" si="230"/>
        <v>0</v>
      </c>
      <c r="BS155" s="49">
        <f t="shared" si="231"/>
        <v>0</v>
      </c>
      <c r="BT155" s="61">
        <f t="shared" si="242"/>
        <v>0</v>
      </c>
      <c r="BU155" s="58">
        <f t="shared" si="208"/>
        <v>0.10807931941118583</v>
      </c>
      <c r="BV155" s="49">
        <f t="shared" si="209"/>
        <v>1.0800000000000002E-3</v>
      </c>
      <c r="BW155" s="61">
        <f t="shared" si="210"/>
        <v>6.7499999999999999E-3</v>
      </c>
      <c r="BX155" s="49">
        <f t="shared" si="232"/>
        <v>32.552804330715929</v>
      </c>
      <c r="BY155" s="49">
        <f t="shared" si="233"/>
        <v>40.688634489702771</v>
      </c>
      <c r="BZ155" s="49">
        <f t="shared" si="234"/>
        <v>64.522522505614134</v>
      </c>
    </row>
    <row r="156" spans="17:78" x14ac:dyDescent="0.4">
      <c r="Q156" s="49">
        <v>149</v>
      </c>
      <c r="R156" s="217">
        <f t="shared" si="188"/>
        <v>74.5</v>
      </c>
      <c r="S156" s="213">
        <f t="shared" si="189"/>
        <v>15</v>
      </c>
      <c r="T156" s="218">
        <f t="shared" si="190"/>
        <v>4.9666666666666668</v>
      </c>
      <c r="U156" s="217">
        <f t="shared" si="191"/>
        <v>2</v>
      </c>
      <c r="V156" s="213">
        <f t="shared" si="192"/>
        <v>0.92592592592592593</v>
      </c>
      <c r="W156" s="213">
        <f t="shared" si="193"/>
        <v>7.407407407407407E-2</v>
      </c>
      <c r="X156" s="213">
        <f t="shared" si="211"/>
        <v>0</v>
      </c>
      <c r="Y156" s="217">
        <f t="shared" si="212"/>
        <v>5.3639999999999999</v>
      </c>
      <c r="Z156" s="213">
        <f t="shared" si="194"/>
        <v>3.0864197530864197</v>
      </c>
      <c r="AA156" s="213">
        <f t="shared" si="213"/>
        <v>6.9072098765432095</v>
      </c>
      <c r="AB156" s="218">
        <f t="shared" si="195"/>
        <v>5.2322299120734792</v>
      </c>
      <c r="AC156" s="217">
        <v>0</v>
      </c>
      <c r="AD156" s="213">
        <f t="shared" si="196"/>
        <v>31.48266433071592</v>
      </c>
      <c r="AE156" s="218">
        <f t="shared" si="214"/>
        <v>31.48266433071592</v>
      </c>
      <c r="AF156" s="58">
        <f t="shared" si="197"/>
        <v>1.49</v>
      </c>
      <c r="AG156" s="61">
        <f t="shared" si="198"/>
        <v>1.49</v>
      </c>
      <c r="AH156" s="58">
        <f t="shared" si="199"/>
        <v>6.4334140154071662</v>
      </c>
      <c r="AI156" s="49">
        <f t="shared" si="200"/>
        <v>6.8273703611075251E-2</v>
      </c>
      <c r="AJ156" s="61">
        <f t="shared" si="215"/>
        <v>6.5016877190182418</v>
      </c>
      <c r="AK156" s="217">
        <f t="shared" si="201"/>
        <v>74.5</v>
      </c>
      <c r="AL156" s="213">
        <f t="shared" si="202"/>
        <v>1500</v>
      </c>
      <c r="AM156" s="218">
        <f t="shared" si="216"/>
        <v>4.9666666666666665E-2</v>
      </c>
      <c r="AN156" s="217">
        <f t="shared" si="217"/>
        <v>2</v>
      </c>
      <c r="AO156" s="213">
        <f t="shared" si="218"/>
        <v>7.407407407407407E-2</v>
      </c>
      <c r="AP156" s="213">
        <f t="shared" si="219"/>
        <v>0.67049999999999998</v>
      </c>
      <c r="AQ156" s="213">
        <f t="shared" si="220"/>
        <v>0.38580246913580241</v>
      </c>
      <c r="AR156" s="213">
        <f t="shared" si="235"/>
        <v>0.86340123456790119</v>
      </c>
      <c r="AS156" s="218">
        <f t="shared" si="236"/>
        <v>0.18498726257771253</v>
      </c>
      <c r="AT156" s="217"/>
      <c r="AU156" s="213">
        <f t="shared" si="221"/>
        <v>6.6602999999999996E-2</v>
      </c>
      <c r="AV156" s="218">
        <f t="shared" si="237"/>
        <v>6.6602999999999996E-2</v>
      </c>
      <c r="AW156" s="217">
        <f t="shared" si="222"/>
        <v>0</v>
      </c>
      <c r="AX156" s="213">
        <f t="shared" si="223"/>
        <v>5.7116666666666663E-2</v>
      </c>
      <c r="AY156" s="218">
        <f t="shared" si="238"/>
        <v>5.7116666666666663E-2</v>
      </c>
      <c r="AZ156" s="217">
        <f t="shared" si="203"/>
        <v>0</v>
      </c>
      <c r="BA156" s="213">
        <f t="shared" si="204"/>
        <v>0</v>
      </c>
      <c r="BB156" s="213">
        <f t="shared" si="239"/>
        <v>0</v>
      </c>
      <c r="BC156" s="61">
        <f t="shared" si="224"/>
        <v>0</v>
      </c>
      <c r="BD156" s="58">
        <v>0</v>
      </c>
      <c r="BE156" s="49">
        <f t="shared" si="225"/>
        <v>0</v>
      </c>
      <c r="BF156" s="61">
        <f t="shared" si="240"/>
        <v>0</v>
      </c>
      <c r="BG156" s="58">
        <f t="shared" si="226"/>
        <v>0</v>
      </c>
      <c r="BH156" s="49">
        <f t="shared" si="227"/>
        <v>0</v>
      </c>
      <c r="BI156" s="61">
        <f t="shared" si="228"/>
        <v>0</v>
      </c>
      <c r="BK156" s="217">
        <f t="shared" si="205"/>
        <v>0</v>
      </c>
      <c r="BL156" s="213">
        <f t="shared" si="206"/>
        <v>0</v>
      </c>
      <c r="BM156" s="213">
        <f t="shared" si="207"/>
        <v>0</v>
      </c>
      <c r="BN156" s="61">
        <f t="shared" si="243"/>
        <v>0</v>
      </c>
      <c r="BO156" s="58">
        <v>0</v>
      </c>
      <c r="BP156" s="49">
        <f t="shared" si="229"/>
        <v>0</v>
      </c>
      <c r="BQ156" s="61">
        <f t="shared" si="241"/>
        <v>0</v>
      </c>
      <c r="BR156" s="58">
        <f t="shared" si="230"/>
        <v>0</v>
      </c>
      <c r="BS156" s="49">
        <f t="shared" si="231"/>
        <v>0</v>
      </c>
      <c r="BT156" s="61">
        <f t="shared" si="242"/>
        <v>0</v>
      </c>
      <c r="BU156" s="58">
        <f t="shared" si="208"/>
        <v>0.1095049194111858</v>
      </c>
      <c r="BV156" s="49">
        <f t="shared" si="209"/>
        <v>1.0800000000000002E-3</v>
      </c>
      <c r="BW156" s="61">
        <f t="shared" si="210"/>
        <v>6.7499999999999999E-3</v>
      </c>
      <c r="BX156" s="49">
        <f t="shared" si="232"/>
        <v>32.972664330715922</v>
      </c>
      <c r="BY156" s="49">
        <f t="shared" si="233"/>
        <v>41.205406635812018</v>
      </c>
      <c r="BZ156" s="49">
        <f t="shared" si="234"/>
        <v>64.387656693080999</v>
      </c>
    </row>
    <row r="157" spans="17:78" ht="15" thickBot="1" x14ac:dyDescent="0.45">
      <c r="Q157" s="49">
        <v>150</v>
      </c>
      <c r="R157" s="219">
        <f t="shared" si="188"/>
        <v>75</v>
      </c>
      <c r="S157" s="220">
        <f t="shared" si="189"/>
        <v>15</v>
      </c>
      <c r="T157" s="221">
        <f t="shared" si="190"/>
        <v>5</v>
      </c>
      <c r="U157" s="219">
        <f t="shared" si="191"/>
        <v>2</v>
      </c>
      <c r="V157" s="220">
        <f t="shared" si="192"/>
        <v>0.92592592592592593</v>
      </c>
      <c r="W157" s="220">
        <f t="shared" si="193"/>
        <v>7.407407407407407E-2</v>
      </c>
      <c r="X157" s="220">
        <f t="shared" si="211"/>
        <v>0</v>
      </c>
      <c r="Y157" s="219">
        <f t="shared" si="212"/>
        <v>5.3999999999999995</v>
      </c>
      <c r="Z157" s="220">
        <f t="shared" si="194"/>
        <v>3.0864197530864197</v>
      </c>
      <c r="AA157" s="220">
        <f>Y157+(Z157/2)</f>
        <v>6.9432098765432091</v>
      </c>
      <c r="AB157" s="221">
        <f t="shared" si="195"/>
        <v>5.2664057812512359</v>
      </c>
      <c r="AC157" s="219">
        <v>0</v>
      </c>
      <c r="AD157" s="220">
        <f t="shared" si="196"/>
        <v>31.89528433071591</v>
      </c>
      <c r="AE157" s="221">
        <f t="shared" si="214"/>
        <v>31.89528433071591</v>
      </c>
      <c r="AF157" s="58">
        <f t="shared" si="197"/>
        <v>1.5</v>
      </c>
      <c r="AG157" s="63">
        <f t="shared" si="198"/>
        <v>1.5</v>
      </c>
      <c r="AH157" s="62">
        <f t="shared" si="199"/>
        <v>6.5177320154071641</v>
      </c>
      <c r="AI157" s="49">
        <f t="shared" si="200"/>
        <v>6.8731916386988501E-2</v>
      </c>
      <c r="AJ157" s="63">
        <f t="shared" si="215"/>
        <v>6.5864639317941522</v>
      </c>
      <c r="AK157" s="219">
        <f t="shared" si="201"/>
        <v>75</v>
      </c>
      <c r="AL157" s="220">
        <f t="shared" si="202"/>
        <v>1500</v>
      </c>
      <c r="AM157" s="221">
        <f t="shared" si="216"/>
        <v>0.05</v>
      </c>
      <c r="AN157" s="219">
        <f t="shared" si="217"/>
        <v>2</v>
      </c>
      <c r="AO157" s="220">
        <f t="shared" si="218"/>
        <v>7.4074074074074084E-2</v>
      </c>
      <c r="AP157" s="220">
        <f t="shared" si="219"/>
        <v>0.67499999999999993</v>
      </c>
      <c r="AQ157" s="220">
        <f t="shared" si="220"/>
        <v>0.38580246913580252</v>
      </c>
      <c r="AR157" s="220">
        <f t="shared" si="235"/>
        <v>0.86790123456790114</v>
      </c>
      <c r="AS157" s="221">
        <f t="shared" si="236"/>
        <v>0.18619556202013934</v>
      </c>
      <c r="AT157" s="217"/>
      <c r="AU157" s="213">
        <f t="shared" si="221"/>
        <v>6.7500000000000018E-2</v>
      </c>
      <c r="AV157" s="218">
        <f t="shared" si="237"/>
        <v>6.7500000000000018E-2</v>
      </c>
      <c r="AW157" s="217">
        <f t="shared" si="222"/>
        <v>0</v>
      </c>
      <c r="AX157" s="213">
        <f t="shared" si="223"/>
        <v>5.7499999999999996E-2</v>
      </c>
      <c r="AY157" s="218">
        <f t="shared" si="238"/>
        <v>5.7499999999999996E-2</v>
      </c>
      <c r="AZ157" s="219">
        <f t="shared" si="203"/>
        <v>0</v>
      </c>
      <c r="BA157" s="220">
        <f t="shared" si="204"/>
        <v>0</v>
      </c>
      <c r="BB157" s="213">
        <f t="shared" si="239"/>
        <v>0</v>
      </c>
      <c r="BC157" s="61">
        <f t="shared" si="224"/>
        <v>0</v>
      </c>
      <c r="BD157" s="58">
        <v>0</v>
      </c>
      <c r="BE157" s="49">
        <f t="shared" si="225"/>
        <v>0</v>
      </c>
      <c r="BF157" s="61">
        <f t="shared" si="240"/>
        <v>0</v>
      </c>
      <c r="BG157" s="58">
        <f t="shared" si="226"/>
        <v>0</v>
      </c>
      <c r="BH157" s="49">
        <f t="shared" si="227"/>
        <v>0</v>
      </c>
      <c r="BI157" s="63">
        <f t="shared" si="228"/>
        <v>0</v>
      </c>
      <c r="BJ157" s="55"/>
      <c r="BK157" s="219">
        <f t="shared" si="205"/>
        <v>0</v>
      </c>
      <c r="BL157" s="220">
        <f t="shared" si="206"/>
        <v>0</v>
      </c>
      <c r="BM157" s="220">
        <f t="shared" si="207"/>
        <v>0</v>
      </c>
      <c r="BN157" s="61">
        <f t="shared" si="243"/>
        <v>0</v>
      </c>
      <c r="BO157" s="58">
        <v>0</v>
      </c>
      <c r="BP157" s="49">
        <f t="shared" si="229"/>
        <v>0</v>
      </c>
      <c r="BQ157" s="61">
        <f t="shared" si="241"/>
        <v>0</v>
      </c>
      <c r="BR157" s="58">
        <f t="shared" si="230"/>
        <v>0</v>
      </c>
      <c r="BS157" s="49">
        <f t="shared" si="231"/>
        <v>0</v>
      </c>
      <c r="BT157" s="61">
        <f t="shared" si="242"/>
        <v>0</v>
      </c>
      <c r="BU157" s="58">
        <f t="shared" si="208"/>
        <v>0.11094011941118577</v>
      </c>
      <c r="BV157" s="49">
        <f t="shared" si="209"/>
        <v>1.0800000000000002E-3</v>
      </c>
      <c r="BW157" s="61">
        <f t="shared" si="210"/>
        <v>6.7499999999999999E-3</v>
      </c>
      <c r="BX157" s="49">
        <f t="shared" si="232"/>
        <v>33.39528433071591</v>
      </c>
      <c r="BY157" s="49">
        <f t="shared" si="233"/>
        <v>41.725518381921248</v>
      </c>
      <c r="BZ157" s="49">
        <f t="shared" si="234"/>
        <v>64.25330213964267</v>
      </c>
    </row>
  </sheetData>
  <mergeCells count="19">
    <mergeCell ref="BK4:BT4"/>
    <mergeCell ref="AF5:AG5"/>
    <mergeCell ref="R4:T5"/>
    <mergeCell ref="BK5:BN5"/>
    <mergeCell ref="BU5:BW5"/>
    <mergeCell ref="BD5:BF5"/>
    <mergeCell ref="AZ5:BC5"/>
    <mergeCell ref="BG5:BI5"/>
    <mergeCell ref="AZ4:BI4"/>
    <mergeCell ref="BO5:BQ5"/>
    <mergeCell ref="BR5:BT5"/>
    <mergeCell ref="A1:M1"/>
    <mergeCell ref="AH5:AJ5"/>
    <mergeCell ref="U4:AE4"/>
    <mergeCell ref="AK4:AY4"/>
    <mergeCell ref="AK5:AM5"/>
    <mergeCell ref="AN5:AS5"/>
    <mergeCell ref="AT5:AV5"/>
    <mergeCell ref="AW5:AY5"/>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1"/>
  <sheetViews>
    <sheetView topLeftCell="A34" zoomScaleNormal="100" workbookViewId="0">
      <selection activeCell="B59" sqref="B59"/>
    </sheetView>
  </sheetViews>
  <sheetFormatPr defaultRowHeight="14.6" x14ac:dyDescent="0.4"/>
  <cols>
    <col min="1" max="1" width="26.69140625" customWidth="1"/>
    <col min="2" max="2" width="25.53515625" customWidth="1"/>
    <col min="3" max="3" width="10.07421875" customWidth="1"/>
  </cols>
  <sheetData>
    <row r="1" spans="1:9" ht="27.45" x14ac:dyDescent="0.65">
      <c r="A1" s="284" t="s">
        <v>71</v>
      </c>
      <c r="B1" s="284"/>
      <c r="C1" s="284"/>
      <c r="D1" s="284"/>
      <c r="E1" s="284"/>
      <c r="F1" s="284"/>
      <c r="G1" s="284"/>
      <c r="H1" s="284"/>
      <c r="I1" s="284"/>
    </row>
    <row r="2" spans="1:9" x14ac:dyDescent="0.4">
      <c r="A2" s="11"/>
      <c r="B2" s="11" t="s">
        <v>17</v>
      </c>
      <c r="C2" s="12"/>
      <c r="D2" s="17"/>
      <c r="E2" s="11"/>
      <c r="F2" s="11"/>
      <c r="G2" s="11"/>
      <c r="H2" s="11"/>
      <c r="I2" s="11"/>
    </row>
    <row r="3" spans="1:9" x14ac:dyDescent="0.4">
      <c r="A3" s="11"/>
      <c r="B3" s="11" t="s">
        <v>18</v>
      </c>
      <c r="C3" s="13"/>
      <c r="D3" s="17"/>
      <c r="E3" s="11"/>
      <c r="F3" s="11"/>
      <c r="G3" s="11"/>
      <c r="H3" s="11"/>
      <c r="I3" s="11"/>
    </row>
    <row r="4" spans="1:9" x14ac:dyDescent="0.4">
      <c r="A4" s="11"/>
      <c r="B4" s="11" t="s">
        <v>19</v>
      </c>
      <c r="C4" s="14"/>
      <c r="D4" s="17"/>
      <c r="E4" s="11"/>
      <c r="F4" s="11"/>
      <c r="G4" s="11"/>
      <c r="H4" s="11"/>
      <c r="I4" s="11"/>
    </row>
    <row r="5" spans="1:9" x14ac:dyDescent="0.4">
      <c r="A5" s="10" t="s">
        <v>20</v>
      </c>
      <c r="B5" s="10" t="s">
        <v>21</v>
      </c>
      <c r="C5" s="10" t="s">
        <v>22</v>
      </c>
      <c r="D5" s="17"/>
      <c r="E5" s="285" t="s">
        <v>23</v>
      </c>
      <c r="F5" s="285"/>
      <c r="G5" s="285"/>
      <c r="H5" s="285"/>
      <c r="I5" s="10"/>
    </row>
    <row r="6" spans="1:9" s="4" customFormat="1" x14ac:dyDescent="0.4">
      <c r="A6" s="10"/>
      <c r="B6" s="10"/>
      <c r="C6" s="10"/>
      <c r="D6" s="17"/>
      <c r="E6" s="19"/>
      <c r="F6" s="19"/>
      <c r="G6" s="19"/>
      <c r="H6" s="19"/>
      <c r="I6" s="10"/>
    </row>
    <row r="7" spans="1:9" s="31" customFormat="1" x14ac:dyDescent="0.4">
      <c r="A7" s="10" t="s">
        <v>446</v>
      </c>
      <c r="B7" s="10"/>
      <c r="C7" s="10"/>
      <c r="D7" s="17"/>
      <c r="E7" s="175"/>
      <c r="F7" s="175"/>
      <c r="G7" s="175"/>
      <c r="H7" s="175"/>
      <c r="I7" s="10"/>
    </row>
    <row r="8" spans="1:9" s="31" customFormat="1" x14ac:dyDescent="0.4">
      <c r="A8" s="179" t="s">
        <v>447</v>
      </c>
      <c r="B8" s="180">
        <v>0</v>
      </c>
      <c r="C8" s="179" t="s">
        <v>11</v>
      </c>
      <c r="D8" s="179" t="s">
        <v>448</v>
      </c>
      <c r="E8" s="175"/>
      <c r="F8" s="175"/>
      <c r="G8" s="175"/>
      <c r="H8" s="175"/>
      <c r="I8" s="10"/>
    </row>
    <row r="9" spans="1:9" s="4" customFormat="1" x14ac:dyDescent="0.4">
      <c r="A9" s="10" t="s">
        <v>51</v>
      </c>
      <c r="B9" s="10"/>
      <c r="C9" s="10"/>
      <c r="D9" s="17"/>
      <c r="E9" s="19"/>
      <c r="F9" s="19"/>
      <c r="G9" s="19"/>
      <c r="H9" s="19"/>
      <c r="I9" s="10"/>
    </row>
    <row r="10" spans="1:9" s="4" customFormat="1" x14ac:dyDescent="0.4">
      <c r="A10" s="10"/>
      <c r="B10" s="10"/>
      <c r="C10" s="10"/>
      <c r="D10" s="17"/>
      <c r="E10" s="19"/>
      <c r="F10" s="19"/>
      <c r="G10" s="19"/>
      <c r="H10" s="19"/>
      <c r="I10" s="10"/>
    </row>
    <row r="11" spans="1:9" x14ac:dyDescent="0.4">
      <c r="A11" t="s">
        <v>40</v>
      </c>
      <c r="B11" s="21">
        <v>0.8</v>
      </c>
      <c r="D11" t="s">
        <v>43</v>
      </c>
    </row>
    <row r="12" spans="1:9" s="4" customFormat="1" x14ac:dyDescent="0.4">
      <c r="A12" s="4" t="s">
        <v>44</v>
      </c>
      <c r="B12" s="22">
        <f>(1-B11)/(2.2*10^6)</f>
        <v>9.0909090909090888E-8</v>
      </c>
      <c r="C12" s="4" t="s">
        <v>47</v>
      </c>
      <c r="D12" s="4" t="s">
        <v>50</v>
      </c>
    </row>
    <row r="13" spans="1:9" x14ac:dyDescent="0.4">
      <c r="A13" s="4" t="s">
        <v>41</v>
      </c>
      <c r="B13" s="21">
        <v>0.85</v>
      </c>
      <c r="D13" s="4" t="s">
        <v>43</v>
      </c>
    </row>
    <row r="14" spans="1:9" s="4" customFormat="1" x14ac:dyDescent="0.4">
      <c r="A14" s="4" t="s">
        <v>45</v>
      </c>
      <c r="B14" s="22">
        <f>(1-B13)/(2.2*10^6)</f>
        <v>6.8181818181818186E-8</v>
      </c>
      <c r="C14" s="4" t="s">
        <v>47</v>
      </c>
      <c r="D14" s="4" t="s">
        <v>49</v>
      </c>
    </row>
    <row r="15" spans="1:9" x14ac:dyDescent="0.4">
      <c r="A15" s="4" t="s">
        <v>42</v>
      </c>
      <c r="B15" s="21">
        <v>0.9</v>
      </c>
      <c r="D15" s="4" t="s">
        <v>43</v>
      </c>
    </row>
    <row r="16" spans="1:9" x14ac:dyDescent="0.4">
      <c r="A16" t="s">
        <v>46</v>
      </c>
      <c r="B16" s="22">
        <f>(1-B15)/(2.2*10^6)</f>
        <v>4.5454545454545444E-8</v>
      </c>
      <c r="C16" t="s">
        <v>47</v>
      </c>
      <c r="D16" t="s">
        <v>48</v>
      </c>
    </row>
    <row r="18" spans="1:4" x14ac:dyDescent="0.4">
      <c r="A18" t="s">
        <v>52</v>
      </c>
      <c r="B18" s="21">
        <v>0.9</v>
      </c>
      <c r="D18" s="4" t="s">
        <v>57</v>
      </c>
    </row>
    <row r="19" spans="1:4" x14ac:dyDescent="0.4">
      <c r="A19" t="s">
        <v>53</v>
      </c>
      <c r="B19" s="21">
        <v>0.93</v>
      </c>
      <c r="D19" t="s">
        <v>55</v>
      </c>
    </row>
    <row r="20" spans="1:4" x14ac:dyDescent="0.4">
      <c r="A20" t="s">
        <v>54</v>
      </c>
      <c r="B20" s="21">
        <v>0.96</v>
      </c>
      <c r="D20" s="4" t="s">
        <v>58</v>
      </c>
    </row>
    <row r="21" spans="1:4" x14ac:dyDescent="0.4">
      <c r="B21" s="4">
        <f>IF(((1-D_limit_nom)/Constants!B14)&lt;Fsw,2,1)</f>
        <v>1</v>
      </c>
      <c r="D21" s="4" t="s">
        <v>64</v>
      </c>
    </row>
    <row r="22" spans="1:4" x14ac:dyDescent="0.4">
      <c r="A22" t="s">
        <v>69</v>
      </c>
      <c r="B22" s="1">
        <f>CHOOSE(B21,D_limit_nom,(1-Constants!B14*Fsw))</f>
        <v>0.93</v>
      </c>
      <c r="D22" s="4" t="s">
        <v>70</v>
      </c>
    </row>
    <row r="24" spans="1:4" x14ac:dyDescent="0.4">
      <c r="A24" t="s">
        <v>72</v>
      </c>
      <c r="B24" s="21">
        <f>50*10^-9</f>
        <v>5.0000000000000004E-8</v>
      </c>
      <c r="C24" t="s">
        <v>47</v>
      </c>
      <c r="D24" t="s">
        <v>73</v>
      </c>
    </row>
    <row r="25" spans="1:4" s="31" customFormat="1" x14ac:dyDescent="0.4">
      <c r="B25" s="21"/>
    </row>
    <row r="26" spans="1:4" ht="15.9" x14ac:dyDescent="0.45">
      <c r="A26" s="41" t="s">
        <v>135</v>
      </c>
    </row>
    <row r="27" spans="1:4" x14ac:dyDescent="0.4">
      <c r="A27" t="s">
        <v>109</v>
      </c>
      <c r="B27" s="21">
        <f>30*10^-6</f>
        <v>2.9999999999999997E-5</v>
      </c>
      <c r="C27" t="s">
        <v>12</v>
      </c>
      <c r="D27" t="s">
        <v>110</v>
      </c>
    </row>
    <row r="28" spans="1:4" x14ac:dyDescent="0.4">
      <c r="A28" t="s">
        <v>111</v>
      </c>
      <c r="B28" s="21">
        <v>1333</v>
      </c>
      <c r="C28" s="2" t="s">
        <v>35</v>
      </c>
      <c r="D28" t="s">
        <v>112</v>
      </c>
    </row>
    <row r="29" spans="1:4" x14ac:dyDescent="0.4">
      <c r="A29" t="s">
        <v>115</v>
      </c>
      <c r="B29" s="21">
        <f>0.1</f>
        <v>0.1</v>
      </c>
      <c r="C29" s="2" t="s">
        <v>11</v>
      </c>
      <c r="D29" t="s">
        <v>116</v>
      </c>
    </row>
    <row r="31" spans="1:4" x14ac:dyDescent="0.4">
      <c r="A31" t="s">
        <v>190</v>
      </c>
      <c r="B31" s="21">
        <v>0.14199999999999999</v>
      </c>
      <c r="C31" t="s">
        <v>144</v>
      </c>
      <c r="D31" t="s">
        <v>192</v>
      </c>
    </row>
    <row r="32" spans="1:4" x14ac:dyDescent="0.4">
      <c r="A32" t="s">
        <v>194</v>
      </c>
      <c r="B32" s="21">
        <v>1</v>
      </c>
      <c r="C32" t="s">
        <v>144</v>
      </c>
      <c r="D32" t="s">
        <v>195</v>
      </c>
    </row>
    <row r="34" spans="1:4" s="31" customFormat="1" x14ac:dyDescent="0.4">
      <c r="A34" s="46" t="s">
        <v>215</v>
      </c>
    </row>
    <row r="35" spans="1:4" s="31" customFormat="1" x14ac:dyDescent="0.4">
      <c r="A35" s="31" t="s">
        <v>234</v>
      </c>
      <c r="B35" s="31">
        <v>1</v>
      </c>
      <c r="C35" s="31" t="s">
        <v>11</v>
      </c>
      <c r="D35" s="31" t="s">
        <v>235</v>
      </c>
    </row>
    <row r="36" spans="1:4" x14ac:dyDescent="0.4">
      <c r="A36" t="s">
        <v>219</v>
      </c>
      <c r="B36">
        <f>(2*10^-3)/1</f>
        <v>2E-3</v>
      </c>
      <c r="C36" t="s">
        <v>221</v>
      </c>
      <c r="D36" t="s">
        <v>220</v>
      </c>
    </row>
    <row r="37" spans="1:4" s="31" customFormat="1" x14ac:dyDescent="0.4">
      <c r="A37" s="31" t="s">
        <v>540</v>
      </c>
      <c r="B37" s="31">
        <v>2.5</v>
      </c>
      <c r="C37" s="31" t="s">
        <v>11</v>
      </c>
      <c r="D37" s="31" t="s">
        <v>541</v>
      </c>
    </row>
    <row r="38" spans="1:4" s="31" customFormat="1" x14ac:dyDescent="0.4">
      <c r="A38" s="31" t="s">
        <v>542</v>
      </c>
      <c r="B38" s="31">
        <f>1.6*10^-3</f>
        <v>1.6000000000000001E-3</v>
      </c>
      <c r="C38" s="31" t="s">
        <v>12</v>
      </c>
      <c r="D38" s="31" t="s">
        <v>543</v>
      </c>
    </row>
    <row r="39" spans="1:4" s="31" customFormat="1" x14ac:dyDescent="0.4"/>
    <row r="40" spans="1:4" s="31" customFormat="1" x14ac:dyDescent="0.4"/>
    <row r="41" spans="1:4" s="31" customFormat="1" x14ac:dyDescent="0.4"/>
    <row r="42" spans="1:4" s="31" customFormat="1" x14ac:dyDescent="0.4"/>
    <row r="44" spans="1:4" x14ac:dyDescent="0.4">
      <c r="A44" s="46" t="s">
        <v>286</v>
      </c>
    </row>
    <row r="45" spans="1:4" x14ac:dyDescent="0.4">
      <c r="A45" t="s">
        <v>287</v>
      </c>
      <c r="B45">
        <f>10*10^-6</f>
        <v>9.9999999999999991E-6</v>
      </c>
      <c r="C45" t="s">
        <v>12</v>
      </c>
      <c r="D45" t="s">
        <v>288</v>
      </c>
    </row>
    <row r="47" spans="1:4" x14ac:dyDescent="0.4">
      <c r="A47" s="46" t="s">
        <v>308</v>
      </c>
    </row>
    <row r="48" spans="1:4" x14ac:dyDescent="0.4">
      <c r="A48" t="s">
        <v>309</v>
      </c>
      <c r="B48">
        <v>1.5</v>
      </c>
      <c r="C48" t="s">
        <v>11</v>
      </c>
      <c r="D48" t="s">
        <v>312</v>
      </c>
    </row>
    <row r="49" spans="1:4" x14ac:dyDescent="0.4">
      <c r="A49" t="s">
        <v>310</v>
      </c>
      <c r="B49">
        <v>1.45</v>
      </c>
      <c r="C49" t="s">
        <v>11</v>
      </c>
      <c r="D49" t="s">
        <v>311</v>
      </c>
    </row>
    <row r="50" spans="1:4" x14ac:dyDescent="0.4">
      <c r="A50" t="s">
        <v>315</v>
      </c>
      <c r="B50">
        <f>5*10^-6</f>
        <v>4.9999999999999996E-6</v>
      </c>
      <c r="C50" t="s">
        <v>12</v>
      </c>
      <c r="D50" t="s">
        <v>316</v>
      </c>
    </row>
    <row r="52" spans="1:4" x14ac:dyDescent="0.4">
      <c r="A52" s="46" t="s">
        <v>361</v>
      </c>
    </row>
    <row r="53" spans="1:4" x14ac:dyDescent="0.4">
      <c r="A53" t="s">
        <v>362</v>
      </c>
      <c r="B53">
        <v>6.75</v>
      </c>
      <c r="C53" t="s">
        <v>11</v>
      </c>
      <c r="D53" t="s">
        <v>363</v>
      </c>
    </row>
    <row r="55" spans="1:4" x14ac:dyDescent="0.4">
      <c r="A55" s="46" t="s">
        <v>375</v>
      </c>
    </row>
    <row r="56" spans="1:4" x14ac:dyDescent="0.4">
      <c r="A56" t="s">
        <v>376</v>
      </c>
      <c r="B56">
        <f>450*(10^-6)</f>
        <v>4.4999999999999999E-4</v>
      </c>
      <c r="C56" t="s">
        <v>12</v>
      </c>
      <c r="D56" t="s">
        <v>377</v>
      </c>
    </row>
    <row r="58" spans="1:4" x14ac:dyDescent="0.4">
      <c r="A58" t="s">
        <v>407</v>
      </c>
    </row>
    <row r="59" spans="1:4" x14ac:dyDescent="0.4">
      <c r="A59" t="s">
        <v>408</v>
      </c>
      <c r="B59">
        <v>1.5</v>
      </c>
      <c r="C59" t="s">
        <v>11</v>
      </c>
      <c r="D59" t="s">
        <v>409</v>
      </c>
    </row>
    <row r="60" spans="1:4" x14ac:dyDescent="0.4">
      <c r="A60" s="31" t="s">
        <v>411</v>
      </c>
      <c r="B60">
        <v>45</v>
      </c>
      <c r="C60" t="s">
        <v>11</v>
      </c>
      <c r="D60" t="s">
        <v>410</v>
      </c>
    </row>
    <row r="61" spans="1:4" x14ac:dyDescent="0.4">
      <c r="A61" t="s">
        <v>707</v>
      </c>
      <c r="B61">
        <v>60</v>
      </c>
      <c r="C61" t="s">
        <v>11</v>
      </c>
      <c r="D61" t="s">
        <v>708</v>
      </c>
    </row>
  </sheetData>
  <mergeCells count="2">
    <mergeCell ref="A1:I1"/>
    <mergeCell ref="E5:H5"/>
  </mergeCells>
  <conditionalFormatting sqref="H14">
    <cfRule type="cellIs" priority="1" operator="lessThan">
      <formula>100</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C9"/>
  <sheetViews>
    <sheetView topLeftCell="B4" zoomScale="70" zoomScaleNormal="70" workbookViewId="0">
      <selection activeCell="C14" sqref="C14"/>
    </sheetView>
  </sheetViews>
  <sheetFormatPr defaultColWidth="9.3046875" defaultRowHeight="14.6" x14ac:dyDescent="0.4"/>
  <cols>
    <col min="1" max="2" width="9.3046875" style="49"/>
    <col min="3" max="3" width="145.84375" style="206" customWidth="1"/>
    <col min="4" max="16384" width="9.3046875" style="49"/>
  </cols>
  <sheetData>
    <row r="2" spans="2:2" x14ac:dyDescent="0.4">
      <c r="B2" s="49" t="str">
        <f>CHOOSE(Variable_Management!B13,"Eff_OUT_1","Eff_OUT_2","Eff_OUT_3")</f>
        <v>Eff_OUT_1</v>
      </c>
    </row>
    <row r="3" spans="2:2" ht="379.65" customHeight="1" x14ac:dyDescent="0.4"/>
    <row r="6" spans="2:2" ht="379.65" customHeight="1" x14ac:dyDescent="0.4"/>
    <row r="9" spans="2:2" ht="379.95" customHeight="1" x14ac:dyDescent="0.4"/>
  </sheetData>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5"/>
  <sheetViews>
    <sheetView workbookViewId="0">
      <selection activeCell="F15" sqref="F15"/>
    </sheetView>
  </sheetViews>
  <sheetFormatPr defaultRowHeight="14.6" x14ac:dyDescent="0.4"/>
  <sheetData>
    <row r="1" spans="1:12" x14ac:dyDescent="0.4">
      <c r="I1" t="s">
        <v>514</v>
      </c>
    </row>
    <row r="2" spans="1:12" ht="18.45" x14ac:dyDescent="0.5">
      <c r="A2" t="s">
        <v>387</v>
      </c>
      <c r="F2" t="s">
        <v>432</v>
      </c>
      <c r="I2" s="239" t="s">
        <v>515</v>
      </c>
      <c r="L2" t="s">
        <v>635</v>
      </c>
    </row>
    <row r="3" spans="1:12" ht="18.45" x14ac:dyDescent="0.5">
      <c r="B3">
        <f>VIN_min</f>
        <v>14</v>
      </c>
      <c r="F3" t="s">
        <v>432</v>
      </c>
      <c r="G3">
        <v>1</v>
      </c>
      <c r="I3" s="239" t="s">
        <v>516</v>
      </c>
      <c r="L3" t="s">
        <v>636</v>
      </c>
    </row>
    <row r="4" spans="1:12" x14ac:dyDescent="0.4">
      <c r="B4">
        <f>VIN_nom</f>
        <v>15</v>
      </c>
      <c r="D4">
        <v>2.5</v>
      </c>
      <c r="G4">
        <v>0</v>
      </c>
      <c r="L4" t="s">
        <v>637</v>
      </c>
    </row>
    <row r="5" spans="1:12" x14ac:dyDescent="0.4">
      <c r="B5">
        <f>VIN_max</f>
        <v>16.8</v>
      </c>
    </row>
  </sheetData>
  <dataValidations count="3">
    <dataValidation type="list" allowBlank="1" showInputMessage="1" showErrorMessage="1" sqref="D4" xr:uid="{00000000-0002-0000-0700-000000000000}">
      <formula1>$B$3:$B$5</formula1>
    </dataValidation>
    <dataValidation type="decimal" allowBlank="1" showInputMessage="1" showErrorMessage="1" sqref="F4" xr:uid="{00000000-0002-0000-0700-000001000000}">
      <formula1>B3</formula1>
      <formula2>B5</formula2>
    </dataValidation>
    <dataValidation type="list" showDropDown="1" showInputMessage="1" showErrorMessage="1" sqref="I15" xr:uid="{00000000-0002-0000-0700-000002000000}">
      <formula1>$B$3:$B$5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202</vt:i4>
      </vt:variant>
    </vt:vector>
  </HeadingPairs>
  <TitlesOfParts>
    <vt:vector size="213" baseType="lpstr">
      <vt:lpstr>Design Converter</vt:lpstr>
      <vt:lpstr>Licenses</vt:lpstr>
      <vt:lpstr>Variable_Management</vt:lpstr>
      <vt:lpstr>CCM_Loop_Modeling_Isolated</vt:lpstr>
      <vt:lpstr>CCM_Loop_Modeling_non_isolated</vt:lpstr>
      <vt:lpstr>Eff_vs_IOUT</vt:lpstr>
      <vt:lpstr>Constants</vt:lpstr>
      <vt:lpstr>Plot_Management_Eff</vt:lpstr>
      <vt:lpstr>Lists</vt:lpstr>
      <vt:lpstr>Plot Management_Loop</vt:lpstr>
      <vt:lpstr>Plot Management_Sch</vt:lpstr>
      <vt:lpstr>Acs</vt:lpstr>
      <vt:lpstr>CCM_Loop_Modeling_Isolated!Adc</vt:lpstr>
      <vt:lpstr>Adc</vt:lpstr>
      <vt:lpstr>Adc_ea</vt:lpstr>
      <vt:lpstr>CCM_Loop_Modeling_Isolated!Adc_ea_iso</vt:lpstr>
      <vt:lpstr>ADC_VINmin</vt:lpstr>
      <vt:lpstr>CCOMP</vt:lpstr>
      <vt:lpstr>CComp_calc</vt:lpstr>
      <vt:lpstr>Ccomp_iso</vt:lpstr>
      <vt:lpstr>Ccomp_iso_calc</vt:lpstr>
      <vt:lpstr>CD3_</vt:lpstr>
      <vt:lpstr>CHF</vt:lpstr>
      <vt:lpstr>Comp_calc</vt:lpstr>
      <vt:lpstr>Copto</vt:lpstr>
      <vt:lpstr>Cout_total</vt:lpstr>
      <vt:lpstr>Cout1</vt:lpstr>
      <vt:lpstr>Cout1_min</vt:lpstr>
      <vt:lpstr>Cout2</vt:lpstr>
      <vt:lpstr>Cout2_min</vt:lpstr>
      <vt:lpstr>Cout3</vt:lpstr>
      <vt:lpstr>Cout3_min</vt:lpstr>
      <vt:lpstr>D_limit_max</vt:lpstr>
      <vt:lpstr>D_limit_min</vt:lpstr>
      <vt:lpstr>D_limit_nom</vt:lpstr>
      <vt:lpstr>CCM_Loop_Modeling_Isolated!Dc_var_ccm</vt:lpstr>
      <vt:lpstr>Dc_var_ccm</vt:lpstr>
      <vt:lpstr>Dc_VIN_max</vt:lpstr>
      <vt:lpstr>Dc_VIN_min</vt:lpstr>
      <vt:lpstr>Dc_VIN_nom</vt:lpstr>
      <vt:lpstr>Dmax_limit</vt:lpstr>
      <vt:lpstr>EFF_est</vt:lpstr>
      <vt:lpstr>Eff_OUT_1</vt:lpstr>
      <vt:lpstr>Eff_OUT_2</vt:lpstr>
      <vt:lpstr>Eff_OUT_3</vt:lpstr>
      <vt:lpstr>Eff_vs_IOUT</vt:lpstr>
      <vt:lpstr>EN_OUT_2</vt:lpstr>
      <vt:lpstr>EN_OUT_3</vt:lpstr>
      <vt:lpstr>FB_type</vt:lpstr>
      <vt:lpstr>fcross</vt:lpstr>
      <vt:lpstr>fcross_est</vt:lpstr>
      <vt:lpstr>fcross_iso</vt:lpstr>
      <vt:lpstr>fcross_iso_est</vt:lpstr>
      <vt:lpstr>fopto</vt:lpstr>
      <vt:lpstr>fp_ea_est</vt:lpstr>
      <vt:lpstr>Fsw</vt:lpstr>
      <vt:lpstr>fz_ea_est</vt:lpstr>
      <vt:lpstr>fz_rhp</vt:lpstr>
      <vt:lpstr>Gcomp</vt:lpstr>
      <vt:lpstr>Gea_mid_calc</vt:lpstr>
      <vt:lpstr>gfs</vt:lpstr>
      <vt:lpstr>gm_ea</vt:lpstr>
      <vt:lpstr>CCM_Loop_Modeling_Isolated!Gplant_fc_dB</vt:lpstr>
      <vt:lpstr>Gplant_fc_dB</vt:lpstr>
      <vt:lpstr>Icomp_sink_max</vt:lpstr>
      <vt:lpstr>IL_avg_VIN_max</vt:lpstr>
      <vt:lpstr>IL_avg_VIN_min</vt:lpstr>
      <vt:lpstr>IL_avg_VIN_nom</vt:lpstr>
      <vt:lpstr>IL_pk</vt:lpstr>
      <vt:lpstr>IL_pk_max</vt:lpstr>
      <vt:lpstr>ILp_VINmax</vt:lpstr>
      <vt:lpstr>ILp_VINmin</vt:lpstr>
      <vt:lpstr>ILp_VINnom</vt:lpstr>
      <vt:lpstr>ILrip</vt:lpstr>
      <vt:lpstr>ILrip_VINmax</vt:lpstr>
      <vt:lpstr>ILrip_VINmin</vt:lpstr>
      <vt:lpstr>ILrip_VINnom</vt:lpstr>
      <vt:lpstr>IOUT1</vt:lpstr>
      <vt:lpstr>IOUT2</vt:lpstr>
      <vt:lpstr>IOUT3</vt:lpstr>
      <vt:lpstr>Ipk_margin</vt:lpstr>
      <vt:lpstr>Ipk_selected</vt:lpstr>
      <vt:lpstr>IQ</vt:lpstr>
      <vt:lpstr>IRMS_COUT</vt:lpstr>
      <vt:lpstr>Isl</vt:lpstr>
      <vt:lpstr>Iss</vt:lpstr>
      <vt:lpstr>kopto_max</vt:lpstr>
      <vt:lpstr>kopto_min</vt:lpstr>
      <vt:lpstr>Kslope</vt:lpstr>
      <vt:lpstr>Lm</vt:lpstr>
      <vt:lpstr>LOOP_ISO</vt:lpstr>
      <vt:lpstr>LOOP_nISO</vt:lpstr>
      <vt:lpstr>CCM_Loop_Modeling_Isolated!mc</vt:lpstr>
      <vt:lpstr>mc</vt:lpstr>
      <vt:lpstr>Np</vt:lpstr>
      <vt:lpstr>NS1_</vt:lpstr>
      <vt:lpstr>NS2_</vt:lpstr>
      <vt:lpstr>NS3_</vt:lpstr>
      <vt:lpstr>POUT_Total</vt:lpstr>
      <vt:lpstr>CCM_Loop_Modeling_Isolated!Pout_var</vt:lpstr>
      <vt:lpstr>Pout_var</vt:lpstr>
      <vt:lpstr>POUT1</vt:lpstr>
      <vt:lpstr>POUT2</vt:lpstr>
      <vt:lpstr>POUT3</vt:lpstr>
      <vt:lpstr>'Design Converter'!Print_Area</vt:lpstr>
      <vt:lpstr>CCM_Loop_Modeling_Isolated!Q</vt:lpstr>
      <vt:lpstr>Q</vt:lpstr>
      <vt:lpstr>Q_VINmin</vt:lpstr>
      <vt:lpstr>Qg_tot</vt:lpstr>
      <vt:lpstr>Qgd</vt:lpstr>
      <vt:lpstr>Qgs</vt:lpstr>
      <vt:lpstr>QRR1_</vt:lpstr>
      <vt:lpstr>QRR2_</vt:lpstr>
      <vt:lpstr>QRR3_</vt:lpstr>
      <vt:lpstr>R_cs</vt:lpstr>
      <vt:lpstr>R_sl</vt:lpstr>
      <vt:lpstr>RCOMP</vt:lpstr>
      <vt:lpstr>Rcomp_calc</vt:lpstr>
      <vt:lpstr>Rcomp_iso</vt:lpstr>
      <vt:lpstr>Rcs_max</vt:lpstr>
      <vt:lpstr>Rcs_w_sl</vt:lpstr>
      <vt:lpstr>Rcs_wo_sl</vt:lpstr>
      <vt:lpstr>Rdcr</vt:lpstr>
      <vt:lpstr>Rdcr1</vt:lpstr>
      <vt:lpstr>Rdcr2</vt:lpstr>
      <vt:lpstr>Rdcr3</vt:lpstr>
      <vt:lpstr>RDS_on</vt:lpstr>
      <vt:lpstr>Resr_total</vt:lpstr>
      <vt:lpstr>Resr1</vt:lpstr>
      <vt:lpstr>Resr2</vt:lpstr>
      <vt:lpstr>Resr2_Trans</vt:lpstr>
      <vt:lpstr>Resr3</vt:lpstr>
      <vt:lpstr>Resr3_Trans</vt:lpstr>
      <vt:lpstr>RFBB</vt:lpstr>
      <vt:lpstr>RFBB_calc</vt:lpstr>
      <vt:lpstr>RFBB_iso</vt:lpstr>
      <vt:lpstr>RFBB_iso_calc</vt:lpstr>
      <vt:lpstr>RFBT</vt:lpstr>
      <vt:lpstr>RFBT_iso</vt:lpstr>
      <vt:lpstr>Rgate</vt:lpstr>
      <vt:lpstr>RLED</vt:lpstr>
      <vt:lpstr>ROUT1</vt:lpstr>
      <vt:lpstr>ROUT2</vt:lpstr>
      <vt:lpstr>ROUT3</vt:lpstr>
      <vt:lpstr>Rpullup</vt:lpstr>
      <vt:lpstr>Rpullup_min</vt:lpstr>
      <vt:lpstr>Rsl_int</vt:lpstr>
      <vt:lpstr>RT</vt:lpstr>
      <vt:lpstr>Ruvlo_bottom_calc</vt:lpstr>
      <vt:lpstr>Ruvlo_top</vt:lpstr>
      <vt:lpstr>Ruvlo_top_calc</vt:lpstr>
      <vt:lpstr>sch_ISO_1</vt:lpstr>
      <vt:lpstr>sch_ISO_2</vt:lpstr>
      <vt:lpstr>sch_ISO_3</vt:lpstr>
      <vt:lpstr>sch_nISO_1</vt:lpstr>
      <vt:lpstr>sch_nISO_2</vt:lpstr>
      <vt:lpstr>sch_nISO_3</vt:lpstr>
      <vt:lpstr>Se_VINmin</vt:lpstr>
      <vt:lpstr>Sn_VINmin</vt:lpstr>
      <vt:lpstr>tf_sw</vt:lpstr>
      <vt:lpstr>tr_sw</vt:lpstr>
      <vt:lpstr>tss</vt:lpstr>
      <vt:lpstr>UV_fall</vt:lpstr>
      <vt:lpstr>UV_I_hyst</vt:lpstr>
      <vt:lpstr>UV_rise</vt:lpstr>
      <vt:lpstr>Vcc</vt:lpstr>
      <vt:lpstr>VCE_sat</vt:lpstr>
      <vt:lpstr>Vcl</vt:lpstr>
      <vt:lpstr>Vcomp_max</vt:lpstr>
      <vt:lpstr>VD</vt:lpstr>
      <vt:lpstr>Vd_opto</vt:lpstr>
      <vt:lpstr>VD1_</vt:lpstr>
      <vt:lpstr>VD2_</vt:lpstr>
      <vt:lpstr>VD3_</vt:lpstr>
      <vt:lpstr>VIN_max</vt:lpstr>
      <vt:lpstr>VIN_min</vt:lpstr>
      <vt:lpstr>VIN_nom</vt:lpstr>
      <vt:lpstr>VIN_op_max</vt:lpstr>
      <vt:lpstr>VIN_op_max_56</vt:lpstr>
      <vt:lpstr>VIN_op_min</vt:lpstr>
      <vt:lpstr>VIN_var</vt:lpstr>
      <vt:lpstr>VOUT1</vt:lpstr>
      <vt:lpstr>Vout1_rip_sel</vt:lpstr>
      <vt:lpstr>VOUT2</vt:lpstr>
      <vt:lpstr>Vout2_rip_sel</vt:lpstr>
      <vt:lpstr>VOUT3</vt:lpstr>
      <vt:lpstr>Vout3_rip_sel</vt:lpstr>
      <vt:lpstr>Vpullup</vt:lpstr>
      <vt:lpstr>Vref</vt:lpstr>
      <vt:lpstr>Vref_iso</vt:lpstr>
      <vt:lpstr>Vth</vt:lpstr>
      <vt:lpstr>Vuvlo_off</vt:lpstr>
      <vt:lpstr>Vuvlo_on</vt:lpstr>
      <vt:lpstr>CCM_Loop_Modeling_Isolated!wp_lf</vt:lpstr>
      <vt:lpstr>wp_lf</vt:lpstr>
      <vt:lpstr>wp_lf_VINmin</vt:lpstr>
      <vt:lpstr>wp0_ea</vt:lpstr>
      <vt:lpstr>wp1_ea</vt:lpstr>
      <vt:lpstr>CCM_Loop_Modeling_Isolated!wpA_ea_iso</vt:lpstr>
      <vt:lpstr>CCM_Loop_Modeling_Isolated!wpB_ea_iso</vt:lpstr>
      <vt:lpstr>wpC_ea_iso</vt:lpstr>
      <vt:lpstr>CCM_Loop_Modeling_Isolated!wsl</vt:lpstr>
      <vt:lpstr>wsl</vt:lpstr>
      <vt:lpstr>wsl_VINmin</vt:lpstr>
      <vt:lpstr>wz_ea</vt:lpstr>
      <vt:lpstr>CCM_Loop_Modeling_Isolated!wz_esr</vt:lpstr>
      <vt:lpstr>wz_esr</vt:lpstr>
      <vt:lpstr>wz_esr_VINmin</vt:lpstr>
      <vt:lpstr>CCM_Loop_Modeling_Isolated!wz_rhp</vt:lpstr>
      <vt:lpstr>wz_rhp</vt:lpstr>
      <vt:lpstr>wz_RHP_VINmin</vt:lpstr>
      <vt:lpstr>wz1_ea_iso</vt:lpstr>
      <vt:lpstr>CCM_Loop_Modeling_Isolated!wz2_ea_iso</vt:lpstr>
    </vt:vector>
  </TitlesOfParts>
  <Company>Texas Instruments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BMC-BCS</dc:creator>
  <cp:lastModifiedBy>Joy Gary</cp:lastModifiedBy>
  <cp:lastPrinted>2018-08-09T07:13:51Z</cp:lastPrinted>
  <dcterms:created xsi:type="dcterms:W3CDTF">2018-06-26T09:13:29Z</dcterms:created>
  <dcterms:modified xsi:type="dcterms:W3CDTF">2025-11-13T18:11:40Z</dcterms:modified>
</cp:coreProperties>
</file>