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60"/>
  </bookViews>
  <sheets>
    <sheet name="COT Type-3 stability " sheetId="3" r:id="rId1"/>
  </sheets>
  <calcPr calcId="152511"/>
</workbook>
</file>

<file path=xl/calcChain.xml><?xml version="1.0" encoding="utf-8"?>
<calcChain xmlns="http://schemas.openxmlformats.org/spreadsheetml/2006/main">
  <c r="F39" i="3" l="1"/>
  <c r="E39" i="3"/>
  <c r="F27" i="3"/>
  <c r="F28" i="3" s="1"/>
  <c r="F19" i="3"/>
  <c r="F18" i="3"/>
  <c r="F8" i="3"/>
  <c r="F12" i="3" s="1"/>
  <c r="B39" i="3"/>
  <c r="F20" i="3" l="1"/>
  <c r="F23" i="3"/>
  <c r="F30" i="3"/>
  <c r="F32" i="3" s="1"/>
  <c r="F15" i="3"/>
  <c r="F9" i="3"/>
  <c r="F10" i="3"/>
  <c r="F11" i="3"/>
  <c r="E27" i="3"/>
  <c r="E8" i="3"/>
  <c r="E12" i="3" s="1"/>
  <c r="E19" i="3"/>
  <c r="E18" i="3"/>
  <c r="B24" i="3"/>
  <c r="B8" i="3"/>
  <c r="B9" i="3" s="1"/>
  <c r="B19" i="3"/>
  <c r="B18" i="3"/>
  <c r="E30" i="3" l="1"/>
  <c r="E32" i="3" s="1"/>
  <c r="E15" i="3"/>
  <c r="E28" i="3"/>
  <c r="E11" i="3"/>
  <c r="B11" i="3"/>
  <c r="E20" i="3"/>
  <c r="E23" i="3" s="1"/>
  <c r="E10" i="3"/>
  <c r="E9" i="3"/>
  <c r="B10" i="3"/>
  <c r="B40" i="3" s="1"/>
  <c r="B12" i="3"/>
  <c r="B15" i="3" s="1"/>
  <c r="B20" i="3"/>
  <c r="F38" i="3" l="1"/>
  <c r="F26" i="3" s="1"/>
  <c r="E38" i="3"/>
  <c r="E26" i="3" s="1"/>
  <c r="B23" i="3"/>
  <c r="B25" i="3" l="1"/>
  <c r="B26" i="3" s="1"/>
  <c r="B28" i="3"/>
</calcChain>
</file>

<file path=xl/comments1.xml><?xml version="1.0" encoding="utf-8"?>
<comments xmlns="http://schemas.openxmlformats.org/spreadsheetml/2006/main">
  <authors>
    <author>作者</author>
  </authors>
  <commentList>
    <comment ref="A23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开关节点的阻抗是反馈网络的1/10</t>
        </r>
      </text>
    </comment>
    <comment ref="F23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change to 10/((2*pi()*FSW*(RFB1//RFB2))</t>
        </r>
      </text>
    </comment>
  </commentList>
</comments>
</file>

<file path=xl/sharedStrings.xml><?xml version="1.0" encoding="utf-8"?>
<sst xmlns="http://schemas.openxmlformats.org/spreadsheetml/2006/main" count="60" uniqueCount="40">
  <si>
    <t>VO</t>
    <phoneticPr fontId="1" type="noConversion"/>
  </si>
  <si>
    <t>RON</t>
    <phoneticPr fontId="1" type="noConversion"/>
  </si>
  <si>
    <t>FSW</t>
    <phoneticPr fontId="1" type="noConversion"/>
  </si>
  <si>
    <t>RACA</t>
    <phoneticPr fontId="1" type="noConversion"/>
  </si>
  <si>
    <t>IO</t>
    <phoneticPr fontId="1" type="noConversion"/>
  </si>
  <si>
    <t>RB1</t>
    <phoneticPr fontId="1" type="noConversion"/>
  </si>
  <si>
    <t>RB2</t>
    <phoneticPr fontId="1" type="noConversion"/>
  </si>
  <si>
    <t>RB1//RB2</t>
    <phoneticPr fontId="1" type="noConversion"/>
  </si>
  <si>
    <t>TYPE III Cal</t>
    <phoneticPr fontId="1" type="noConversion"/>
  </si>
  <si>
    <t>I=C*DV/DT</t>
    <phoneticPr fontId="1" type="noConversion"/>
  </si>
  <si>
    <t>VIN_min</t>
    <phoneticPr fontId="1" type="noConversion"/>
  </si>
  <si>
    <t>Lmin(uH)</t>
    <phoneticPr fontId="1" type="noConversion"/>
  </si>
  <si>
    <t>r</t>
    <phoneticPr fontId="1" type="noConversion"/>
  </si>
  <si>
    <t>Cout(uF)</t>
    <phoneticPr fontId="1" type="noConversion"/>
  </si>
  <si>
    <r>
      <rPr>
        <sz val="11"/>
        <color theme="1"/>
        <rFont val="Arial"/>
        <family val="2"/>
      </rPr>
      <t>∆Vout_</t>
    </r>
    <r>
      <rPr>
        <sz val="9.35"/>
        <color theme="1"/>
        <rFont val="宋体"/>
        <family val="3"/>
        <charset val="134"/>
      </rPr>
      <t>min</t>
    </r>
    <phoneticPr fontId="1" type="noConversion"/>
  </si>
  <si>
    <r>
      <rPr>
        <sz val="11"/>
        <color theme="1"/>
        <rFont val="Arial"/>
        <family val="2"/>
      </rPr>
      <t>∆</t>
    </r>
    <r>
      <rPr>
        <sz val="9.35"/>
        <color theme="1"/>
        <rFont val="宋体"/>
        <family val="3"/>
        <charset val="134"/>
      </rPr>
      <t>Il_min</t>
    </r>
    <phoneticPr fontId="1" type="noConversion"/>
  </si>
  <si>
    <t>CA(nF)</t>
    <phoneticPr fontId="1" type="noConversion"/>
  </si>
  <si>
    <t>VIN_typ</t>
    <phoneticPr fontId="1" type="noConversion"/>
  </si>
  <si>
    <t>VIN_max</t>
    <phoneticPr fontId="1" type="noConversion"/>
  </si>
  <si>
    <t>TON_min</t>
    <phoneticPr fontId="1" type="noConversion"/>
  </si>
  <si>
    <t>TON_max</t>
    <phoneticPr fontId="1" type="noConversion"/>
  </si>
  <si>
    <t>RACA&lt;=</t>
    <phoneticPr fontId="1" type="noConversion"/>
  </si>
  <si>
    <t>RA&lt;=(kohm)</t>
    <phoneticPr fontId="1" type="noConversion"/>
  </si>
  <si>
    <t>t_TR (uS)</t>
    <phoneticPr fontId="1" type="noConversion"/>
  </si>
  <si>
    <t>CA&gt;= (nF)</t>
    <phoneticPr fontId="1" type="noConversion"/>
  </si>
  <si>
    <t>CB &gt;= (nF)</t>
    <phoneticPr fontId="1" type="noConversion"/>
  </si>
  <si>
    <t>Based on AN-1481</t>
    <phoneticPr fontId="1" type="noConversion"/>
  </si>
  <si>
    <t>Based on SNVA874</t>
    <phoneticPr fontId="1" type="noConversion"/>
  </si>
  <si>
    <t>r</t>
    <phoneticPr fontId="1" type="noConversion"/>
  </si>
  <si>
    <t>(VIN-V0)*TON/25mV</t>
    <phoneticPr fontId="1" type="noConversion"/>
  </si>
  <si>
    <t>dV（ripple voltage）</t>
    <phoneticPr fontId="1" type="noConversion"/>
  </si>
  <si>
    <t>Selected</t>
    <phoneticPr fontId="1" type="noConversion"/>
  </si>
  <si>
    <t>CB(nF)</t>
    <phoneticPr fontId="1" type="noConversion"/>
  </si>
  <si>
    <t>Lmin (uH)</t>
    <phoneticPr fontId="1" type="noConversion"/>
  </si>
  <si>
    <t>L_select(uH)</t>
    <phoneticPr fontId="1" type="noConversion"/>
  </si>
  <si>
    <t>L_select(uH)</t>
    <phoneticPr fontId="1" type="noConversion"/>
  </si>
  <si>
    <t>TON_typ</t>
    <phoneticPr fontId="1" type="noConversion"/>
  </si>
  <si>
    <t>RACA</t>
    <phoneticPr fontId="1" type="noConversion"/>
  </si>
  <si>
    <t>RA(K)</t>
    <phoneticPr fontId="1" type="noConversion"/>
  </si>
  <si>
    <t>RA(Kohm)_Cal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</si>
</sst>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theme="1"/>
      <name val="Arial"/>
      <family val="2"/>
    </font>
    <font>
      <sz val="9.35"/>
      <color theme="1"/>
      <name val="宋体"/>
      <family val="3"/>
      <charset val="134"/>
    </font>
    <font>
      <sz val="11"/>
      <color theme="1"/>
      <name val="宋体"/>
      <family val="2"/>
    </font>
    <font>
      <b/>
      <sz val="14"/>
      <color theme="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8" fillId="0" borderId="0" xfId="0" applyFont="1"/>
    <xf numFmtId="0" fontId="0" fillId="3" borderId="0" xfId="0" applyFont="1" applyFill="1"/>
    <xf numFmtId="0" fontId="4" fillId="0" borderId="0" xfId="0" applyFont="1"/>
    <xf numFmtId="0" fontId="0" fillId="0" borderId="0" xfId="0" applyAlignment="1">
      <alignment horizontal="center"/>
    </xf>
    <xf numFmtId="0" fontId="9" fillId="2" borderId="1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4" borderId="3" xfId="0" applyFill="1" applyBorder="1"/>
    <xf numFmtId="0" fontId="0" fillId="4" borderId="4" xfId="0" applyFill="1" applyBorder="1" applyAlignment="1">
      <alignment horizontal="center"/>
    </xf>
    <xf numFmtId="0" fontId="5" fillId="2" borderId="3" xfId="0" applyFont="1" applyFill="1" applyBorder="1"/>
    <xf numFmtId="0" fontId="0" fillId="6" borderId="4" xfId="0" applyFill="1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8" fillId="0" borderId="3" xfId="0" applyFont="1" applyBorder="1"/>
    <xf numFmtId="0" fontId="0" fillId="5" borderId="3" xfId="0" applyFill="1" applyBorder="1"/>
    <xf numFmtId="0" fontId="0" fillId="5" borderId="4" xfId="0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566652</xdr:colOff>
      <xdr:row>16</xdr:row>
      <xdr:rowOff>43295</xdr:rowOff>
    </xdr:from>
    <xdr:to>
      <xdr:col>23</xdr:col>
      <xdr:colOff>105642</xdr:colOff>
      <xdr:row>35</xdr:row>
      <xdr:rowOff>137388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5488" y="2966604"/>
          <a:ext cx="8073390" cy="3516166"/>
        </a:xfrm>
        <a:prstGeom prst="rect">
          <a:avLst/>
        </a:prstGeom>
      </xdr:spPr>
    </xdr:pic>
    <xdr:clientData/>
  </xdr:twoCellAnchor>
  <xdr:twoCellAnchor editAs="oneCell">
    <xdr:from>
      <xdr:col>10</xdr:col>
      <xdr:colOff>32906</xdr:colOff>
      <xdr:row>0</xdr:row>
      <xdr:rowOff>148937</xdr:rowOff>
    </xdr:from>
    <xdr:to>
      <xdr:col>19</xdr:col>
      <xdr:colOff>452006</xdr:colOff>
      <xdr:row>15</xdr:row>
      <xdr:rowOff>124141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21342" y="148937"/>
          <a:ext cx="5905500" cy="2718404"/>
        </a:xfrm>
        <a:prstGeom prst="rect">
          <a:avLst/>
        </a:prstGeom>
      </xdr:spPr>
    </xdr:pic>
    <xdr:clientData/>
  </xdr:twoCellAnchor>
  <xdr:twoCellAnchor editAs="oneCell">
    <xdr:from>
      <xdr:col>9</xdr:col>
      <xdr:colOff>570400</xdr:colOff>
      <xdr:row>36</xdr:row>
      <xdr:rowOff>157677</xdr:rowOff>
    </xdr:from>
    <xdr:to>
      <xdr:col>23</xdr:col>
      <xdr:colOff>107373</xdr:colOff>
      <xdr:row>47</xdr:row>
      <xdr:rowOff>110599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49236" y="6683168"/>
          <a:ext cx="8071373" cy="19479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83128</xdr:rowOff>
    </xdr:from>
    <xdr:to>
      <xdr:col>8</xdr:col>
      <xdr:colOff>601980</xdr:colOff>
      <xdr:row>63</xdr:row>
      <xdr:rowOff>124691</xdr:rowOff>
    </xdr:to>
    <xdr:pic>
      <xdr:nvPicPr>
        <xdr:cNvPr id="8" name="图片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637" y="7883237"/>
          <a:ext cx="9704416" cy="3643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0"/>
  <sheetViews>
    <sheetView tabSelected="1" topLeftCell="A34" zoomScale="85" zoomScaleNormal="85" workbookViewId="0">
      <selection activeCell="I6" sqref="I6"/>
    </sheetView>
  </sheetViews>
  <sheetFormatPr defaultRowHeight="14.4" x14ac:dyDescent="0.25"/>
  <cols>
    <col min="1" max="1" width="30" bestFit="1" customWidth="1"/>
    <col min="2" max="2" width="16.6640625" style="4" customWidth="1"/>
    <col min="3" max="3" width="8.88671875" customWidth="1"/>
    <col min="4" max="4" width="26.33203125" bestFit="1" customWidth="1"/>
    <col min="5" max="5" width="15.109375" style="4" customWidth="1"/>
    <col min="6" max="6" width="17.77734375" customWidth="1"/>
  </cols>
  <sheetData>
    <row r="1" spans="1:6" ht="17.399999999999999" x14ac:dyDescent="0.25">
      <c r="A1" s="5" t="s">
        <v>26</v>
      </c>
      <c r="B1" s="6"/>
      <c r="D1" s="5" t="s">
        <v>27</v>
      </c>
      <c r="E1" s="6"/>
      <c r="F1" s="6"/>
    </row>
    <row r="2" spans="1:6" x14ac:dyDescent="0.25">
      <c r="A2" s="9" t="s">
        <v>10</v>
      </c>
      <c r="B2" s="10">
        <v>42</v>
      </c>
      <c r="C2" s="2"/>
      <c r="D2" s="9" t="s">
        <v>10</v>
      </c>
      <c r="E2" s="10">
        <v>42</v>
      </c>
      <c r="F2" s="10">
        <v>42</v>
      </c>
    </row>
    <row r="3" spans="1:6" x14ac:dyDescent="0.25">
      <c r="A3" s="9" t="s">
        <v>17</v>
      </c>
      <c r="B3" s="10">
        <v>48</v>
      </c>
      <c r="C3" s="2"/>
      <c r="D3" s="9" t="s">
        <v>17</v>
      </c>
      <c r="E3" s="10">
        <v>48</v>
      </c>
      <c r="F3" s="10">
        <v>48</v>
      </c>
    </row>
    <row r="4" spans="1:6" x14ac:dyDescent="0.25">
      <c r="A4" s="9" t="s">
        <v>18</v>
      </c>
      <c r="B4" s="10">
        <v>56</v>
      </c>
      <c r="C4" s="2"/>
      <c r="D4" s="9" t="s">
        <v>18</v>
      </c>
      <c r="E4" s="10">
        <v>55</v>
      </c>
      <c r="F4" s="10">
        <v>56</v>
      </c>
    </row>
    <row r="5" spans="1:6" x14ac:dyDescent="0.25">
      <c r="A5" s="9" t="s">
        <v>0</v>
      </c>
      <c r="B5" s="10">
        <v>24</v>
      </c>
      <c r="C5" s="2"/>
      <c r="D5" s="9" t="s">
        <v>0</v>
      </c>
      <c r="E5" s="10">
        <v>24</v>
      </c>
      <c r="F5" s="10">
        <v>24</v>
      </c>
    </row>
    <row r="6" spans="1:6" x14ac:dyDescent="0.25">
      <c r="A6" s="9" t="s">
        <v>4</v>
      </c>
      <c r="B6" s="10">
        <v>2</v>
      </c>
      <c r="C6" s="2"/>
      <c r="D6" s="9" t="s">
        <v>4</v>
      </c>
      <c r="E6" s="10">
        <v>2</v>
      </c>
      <c r="F6" s="10">
        <v>2</v>
      </c>
    </row>
    <row r="7" spans="1:6" x14ac:dyDescent="0.25">
      <c r="A7" s="7"/>
      <c r="B7" s="8"/>
      <c r="C7" s="2"/>
      <c r="D7" s="7"/>
      <c r="E7" s="8"/>
      <c r="F7" s="8"/>
    </row>
    <row r="8" spans="1:6" x14ac:dyDescent="0.25">
      <c r="A8" s="16" t="s">
        <v>1</v>
      </c>
      <c r="B8" s="17">
        <f>681000</f>
        <v>681000</v>
      </c>
      <c r="C8" s="2"/>
      <c r="D8" s="16" t="s">
        <v>1</v>
      </c>
      <c r="E8" s="17">
        <f>681000</f>
        <v>681000</v>
      </c>
      <c r="F8" s="17">
        <f>681000</f>
        <v>681000</v>
      </c>
    </row>
    <row r="9" spans="1:6" x14ac:dyDescent="0.25">
      <c r="A9" s="7" t="s">
        <v>19</v>
      </c>
      <c r="B9" s="8">
        <f>B8*10^-10/B4</f>
        <v>1.2160714285714285E-6</v>
      </c>
      <c r="C9" s="2"/>
      <c r="D9" s="7" t="s">
        <v>19</v>
      </c>
      <c r="E9" s="8">
        <f>E8*10^-10/E4</f>
        <v>1.2381818181818181E-6</v>
      </c>
      <c r="F9" s="8">
        <f>F8*10^-10/F4</f>
        <v>1.2160714285714285E-6</v>
      </c>
    </row>
    <row r="10" spans="1:6" x14ac:dyDescent="0.25">
      <c r="A10" s="7" t="s">
        <v>36</v>
      </c>
      <c r="B10" s="8">
        <f>B8*10^-10/B3</f>
        <v>1.41875E-6</v>
      </c>
      <c r="C10" s="2"/>
      <c r="D10" s="7" t="s">
        <v>36</v>
      </c>
      <c r="E10" s="8">
        <f>E8*10^-10/E3</f>
        <v>1.41875E-6</v>
      </c>
      <c r="F10" s="8">
        <f>F8*10^-10/F3</f>
        <v>1.41875E-6</v>
      </c>
    </row>
    <row r="11" spans="1:6" x14ac:dyDescent="0.25">
      <c r="A11" s="7" t="s">
        <v>20</v>
      </c>
      <c r="B11" s="8">
        <f>B8*10^-10/B2</f>
        <v>1.6214285714285714E-6</v>
      </c>
      <c r="C11" s="2"/>
      <c r="D11" s="7" t="s">
        <v>20</v>
      </c>
      <c r="E11" s="8">
        <f>E8*10^-10/E2</f>
        <v>1.6214285714285714E-6</v>
      </c>
      <c r="F11" s="8">
        <f>F8*10^-10/F2</f>
        <v>1.6214285714285714E-6</v>
      </c>
    </row>
    <row r="12" spans="1:6" x14ac:dyDescent="0.25">
      <c r="A12" s="7" t="s">
        <v>2</v>
      </c>
      <c r="B12" s="8">
        <f>B5/(B8*10^-10)</f>
        <v>352422.90748898679</v>
      </c>
      <c r="C12" s="2"/>
      <c r="D12" s="7" t="s">
        <v>2</v>
      </c>
      <c r="E12" s="8">
        <f>E5/(E8*10^-10)</f>
        <v>352422.90748898679</v>
      </c>
      <c r="F12" s="8">
        <f>F5/(F8*10^-10)</f>
        <v>352422.90748898679</v>
      </c>
    </row>
    <row r="13" spans="1:6" x14ac:dyDescent="0.25">
      <c r="A13" s="7"/>
      <c r="B13" s="8"/>
      <c r="C13" s="2"/>
      <c r="D13" s="7"/>
      <c r="E13" s="8"/>
      <c r="F13" s="8"/>
    </row>
    <row r="14" spans="1:6" x14ac:dyDescent="0.25">
      <c r="A14" s="16" t="s">
        <v>28</v>
      </c>
      <c r="B14" s="17">
        <v>0.6</v>
      </c>
      <c r="C14" s="2"/>
      <c r="D14" s="16" t="s">
        <v>12</v>
      </c>
      <c r="E14" s="17">
        <v>0.6</v>
      </c>
      <c r="F14" s="17">
        <v>0.6</v>
      </c>
    </row>
    <row r="15" spans="1:6" x14ac:dyDescent="0.25">
      <c r="A15" s="7" t="s">
        <v>11</v>
      </c>
      <c r="B15" s="8">
        <f>B5*(B4-B5)/(B4*B12*B6*B14)*10^6</f>
        <v>32.428571428571431</v>
      </c>
      <c r="C15" s="2"/>
      <c r="D15" s="7" t="s">
        <v>33</v>
      </c>
      <c r="E15" s="8">
        <f>E5*(E4-E5)/(E4*E12*E6*E14)*10^6</f>
        <v>31.986363636363638</v>
      </c>
      <c r="F15" s="8">
        <f>F5*(F4-F5)/(F4*F12*F6*F14)*10^6</f>
        <v>32.428571428571431</v>
      </c>
    </row>
    <row r="16" spans="1:6" x14ac:dyDescent="0.25">
      <c r="A16" s="16" t="s">
        <v>35</v>
      </c>
      <c r="B16" s="17">
        <v>33</v>
      </c>
      <c r="C16" s="2"/>
      <c r="D16" s="16" t="s">
        <v>34</v>
      </c>
      <c r="E16" s="17">
        <v>33</v>
      </c>
      <c r="F16" s="17">
        <v>33</v>
      </c>
    </row>
    <row r="17" spans="1:7" x14ac:dyDescent="0.25">
      <c r="A17" s="7"/>
      <c r="B17" s="8"/>
      <c r="C17" s="2"/>
      <c r="D17" s="7"/>
      <c r="E17" s="8"/>
      <c r="F17" s="8"/>
    </row>
    <row r="18" spans="1:7" x14ac:dyDescent="0.25">
      <c r="A18" s="7" t="s">
        <v>5</v>
      </c>
      <c r="B18" s="8">
        <f>16500</f>
        <v>16500</v>
      </c>
      <c r="C18" s="2"/>
      <c r="D18" s="7" t="s">
        <v>5</v>
      </c>
      <c r="E18" s="8">
        <f>16500</f>
        <v>16500</v>
      </c>
      <c r="F18" s="8">
        <f>16500</f>
        <v>16500</v>
      </c>
    </row>
    <row r="19" spans="1:7" x14ac:dyDescent="0.25">
      <c r="A19" s="7" t="s">
        <v>6</v>
      </c>
      <c r="B19" s="8">
        <f>1500</f>
        <v>1500</v>
      </c>
      <c r="C19" s="2"/>
      <c r="D19" s="7" t="s">
        <v>6</v>
      </c>
      <c r="E19" s="8">
        <f>1500</f>
        <v>1500</v>
      </c>
      <c r="F19" s="8">
        <f>1500</f>
        <v>1500</v>
      </c>
    </row>
    <row r="20" spans="1:7" x14ac:dyDescent="0.25">
      <c r="A20" s="7" t="s">
        <v>7</v>
      </c>
      <c r="B20" s="8">
        <f>(B18*B19)/(B18+B19)</f>
        <v>1375</v>
      </c>
      <c r="C20" s="2"/>
      <c r="D20" s="7" t="s">
        <v>7</v>
      </c>
      <c r="E20" s="8">
        <f>(E18*E19)/(E18+E19)</f>
        <v>1375</v>
      </c>
      <c r="F20" s="8">
        <f>(F18*F19)/(F18+F19)</f>
        <v>1375</v>
      </c>
    </row>
    <row r="21" spans="1:7" x14ac:dyDescent="0.25">
      <c r="A21" s="7"/>
      <c r="B21" s="8"/>
      <c r="C21" s="2"/>
      <c r="D21" s="7"/>
      <c r="E21" s="8"/>
      <c r="F21" s="8"/>
    </row>
    <row r="22" spans="1:7" x14ac:dyDescent="0.25">
      <c r="A22" s="11" t="s">
        <v>8</v>
      </c>
      <c r="B22" s="8"/>
      <c r="C22" s="2"/>
      <c r="D22" s="11" t="s">
        <v>8</v>
      </c>
      <c r="E22" s="8"/>
      <c r="F22" s="8"/>
    </row>
    <row r="23" spans="1:7" x14ac:dyDescent="0.25">
      <c r="A23" s="7" t="s">
        <v>16</v>
      </c>
      <c r="B23" s="12">
        <f>1/(2*PI()*B12/10*B20)*10^9</f>
        <v>3.2843792801691132</v>
      </c>
      <c r="C23" s="2"/>
      <c r="D23" s="7" t="s">
        <v>24</v>
      </c>
      <c r="E23" s="18">
        <f>10/(E12*E20)*10^9</f>
        <v>20.636363636363633</v>
      </c>
      <c r="F23" s="12">
        <f>10/(2*PI()*F12*F20)*10^9</f>
        <v>3.2843792801691127</v>
      </c>
      <c r="G23" s="3"/>
    </row>
    <row r="24" spans="1:7" x14ac:dyDescent="0.25">
      <c r="A24" s="7" t="s">
        <v>30</v>
      </c>
      <c r="B24" s="8">
        <f>30*10^-3</f>
        <v>0.03</v>
      </c>
      <c r="C24" s="2"/>
      <c r="D24" s="7"/>
      <c r="E24" s="12"/>
      <c r="F24" s="12"/>
    </row>
    <row r="25" spans="1:7" x14ac:dyDescent="0.25">
      <c r="A25" s="7" t="s">
        <v>9</v>
      </c>
      <c r="B25" s="8">
        <f>B23*10^-9*B24/B10</f>
        <v>6.9449429712827067E-5</v>
      </c>
      <c r="C25" s="2"/>
      <c r="D25" s="7"/>
      <c r="E25" s="12"/>
      <c r="F25" s="12"/>
    </row>
    <row r="26" spans="1:7" x14ac:dyDescent="0.25">
      <c r="A26" s="7" t="s">
        <v>39</v>
      </c>
      <c r="B26" s="8">
        <f>(B3-B5)/B25/1000</f>
        <v>345.57519189487715</v>
      </c>
      <c r="C26" s="2"/>
      <c r="D26" s="7" t="s">
        <v>22</v>
      </c>
      <c r="E26" s="12">
        <f>E38/(E23*10^-9)/1000</f>
        <v>20.956641553468838</v>
      </c>
      <c r="F26" s="12">
        <f>F38/(F23*10^-9)/1000</f>
        <v>131.67446229658455</v>
      </c>
    </row>
    <row r="27" spans="1:7" x14ac:dyDescent="0.25">
      <c r="A27" s="7"/>
      <c r="B27" s="8"/>
      <c r="C27" s="2"/>
      <c r="D27" s="7" t="s">
        <v>23</v>
      </c>
      <c r="E27" s="12">
        <f>75</f>
        <v>75</v>
      </c>
      <c r="F27" s="12">
        <f>75</f>
        <v>75</v>
      </c>
    </row>
    <row r="28" spans="1:7" x14ac:dyDescent="0.25">
      <c r="A28" s="7" t="s">
        <v>25</v>
      </c>
      <c r="B28" s="8">
        <f>B23*3</f>
        <v>9.8531378405073404</v>
      </c>
      <c r="C28" s="2"/>
      <c r="D28" s="7" t="s">
        <v>25</v>
      </c>
      <c r="E28" s="12">
        <f>E27*10^-6/(3*E18)*10^9</f>
        <v>1.5151515151515149</v>
      </c>
      <c r="F28" s="12">
        <f>F27*10^-6/(3*F18)*10^9</f>
        <v>1.5151515151515149</v>
      </c>
    </row>
    <row r="29" spans="1:7" x14ac:dyDescent="0.25">
      <c r="A29" s="7"/>
      <c r="B29" s="8"/>
      <c r="C29" s="2"/>
      <c r="D29" s="7"/>
      <c r="E29" s="8"/>
      <c r="F29" s="8"/>
    </row>
    <row r="30" spans="1:7" x14ac:dyDescent="0.25">
      <c r="A30" s="7"/>
      <c r="B30" s="8"/>
      <c r="C30" s="2"/>
      <c r="D30" s="15" t="s">
        <v>15</v>
      </c>
      <c r="E30" s="8">
        <f>E5*(E2-E5)/(E2*E12*E16*10^-6)</f>
        <v>0.88441558441558443</v>
      </c>
      <c r="F30" s="8">
        <f>F5*(F2-F5)/(F2*F12*F16*10^-6)</f>
        <v>0.88441558441558443</v>
      </c>
    </row>
    <row r="31" spans="1:7" x14ac:dyDescent="0.25">
      <c r="A31" s="7"/>
      <c r="B31" s="8"/>
      <c r="C31" s="2"/>
      <c r="D31" s="15" t="s">
        <v>13</v>
      </c>
      <c r="E31" s="8">
        <v>20</v>
      </c>
      <c r="F31" s="8">
        <v>20</v>
      </c>
    </row>
    <row r="32" spans="1:7" x14ac:dyDescent="0.25">
      <c r="A32" s="7"/>
      <c r="B32" s="8"/>
      <c r="C32" s="2"/>
      <c r="D32" s="15" t="s">
        <v>14</v>
      </c>
      <c r="E32" s="8">
        <f>E30/(8*E12*E31*10^-6)</f>
        <v>1.568455762987013E-2</v>
      </c>
      <c r="F32" s="8">
        <f>F30/(8*F12*F31*10^-6)</f>
        <v>1.568455762987013E-2</v>
      </c>
    </row>
    <row r="33" spans="1:6" x14ac:dyDescent="0.25">
      <c r="A33" s="7"/>
      <c r="B33" s="8"/>
      <c r="C33" s="2"/>
      <c r="D33" s="7"/>
      <c r="E33" s="8"/>
      <c r="F33" s="8"/>
    </row>
    <row r="34" spans="1:6" x14ac:dyDescent="0.25">
      <c r="A34" s="11" t="s">
        <v>31</v>
      </c>
      <c r="B34" s="8"/>
      <c r="C34" s="2"/>
      <c r="D34" s="11" t="s">
        <v>31</v>
      </c>
      <c r="E34" s="8"/>
      <c r="F34" s="8"/>
    </row>
    <row r="35" spans="1:6" x14ac:dyDescent="0.25">
      <c r="A35" s="16" t="s">
        <v>38</v>
      </c>
      <c r="B35" s="17">
        <v>200</v>
      </c>
      <c r="C35" s="2"/>
      <c r="D35" s="16" t="s">
        <v>38</v>
      </c>
      <c r="E35" s="17"/>
      <c r="F35" s="17">
        <v>51</v>
      </c>
    </row>
    <row r="36" spans="1:6" x14ac:dyDescent="0.25">
      <c r="A36" s="16" t="s">
        <v>16</v>
      </c>
      <c r="B36" s="17">
        <v>3</v>
      </c>
      <c r="C36" s="2"/>
      <c r="D36" s="16" t="s">
        <v>16</v>
      </c>
      <c r="E36" s="17"/>
      <c r="F36" s="17">
        <v>3.3</v>
      </c>
    </row>
    <row r="37" spans="1:6" x14ac:dyDescent="0.25">
      <c r="A37" s="16" t="s">
        <v>32</v>
      </c>
      <c r="B37" s="17">
        <v>10</v>
      </c>
      <c r="C37" s="2"/>
      <c r="D37" s="16" t="s">
        <v>32</v>
      </c>
      <c r="E37" s="17"/>
      <c r="F37" s="17">
        <v>10</v>
      </c>
    </row>
    <row r="38" spans="1:6" x14ac:dyDescent="0.25">
      <c r="A38" s="16"/>
      <c r="B38" s="17"/>
      <c r="C38" s="2"/>
      <c r="D38" s="7" t="s">
        <v>21</v>
      </c>
      <c r="E38" s="8">
        <f>((E2-E5)*E9)/((4*E5/E2+1)*E32)</f>
        <v>4.3246887569431142E-4</v>
      </c>
      <c r="F38" s="8">
        <f>((E2-E5)*E9)/((4*E5/E2+1)*E32)</f>
        <v>4.3246887569431142E-4</v>
      </c>
    </row>
    <row r="39" spans="1:6" x14ac:dyDescent="0.25">
      <c r="A39" s="7" t="s">
        <v>3</v>
      </c>
      <c r="B39" s="8">
        <f>B35*10^3*B36*10^-9</f>
        <v>6.0000000000000006E-4</v>
      </c>
      <c r="C39" s="2"/>
      <c r="D39" s="7" t="s">
        <v>37</v>
      </c>
      <c r="E39" s="8">
        <f>E35*10^3*E36*10^-9</f>
        <v>0</v>
      </c>
      <c r="F39" s="8">
        <f>F35*10^3*F36*10^-9</f>
        <v>1.683E-4</v>
      </c>
    </row>
    <row r="40" spans="1:6" ht="15" thickBot="1" x14ac:dyDescent="0.3">
      <c r="A40" s="13" t="s">
        <v>29</v>
      </c>
      <c r="B40" s="14">
        <f>(B2-B5)*B10/(25*10^-3)</f>
        <v>1.0215000000000001E-3</v>
      </c>
      <c r="C40" s="2"/>
      <c r="D40" s="13"/>
      <c r="E40" s="14"/>
      <c r="F40" s="14"/>
    </row>
    <row r="45" spans="1:6" x14ac:dyDescent="0.25">
      <c r="A45" s="1"/>
    </row>
    <row r="46" spans="1:6" x14ac:dyDescent="0.25">
      <c r="A46" s="1"/>
    </row>
    <row r="47" spans="1:6" x14ac:dyDescent="0.25">
      <c r="A47" s="1"/>
    </row>
    <row r="48" spans="1:6" x14ac:dyDescent="0.25">
      <c r="A48" s="1"/>
    </row>
    <row r="50" spans="4:4" x14ac:dyDescent="0.25">
      <c r="D50" s="1"/>
    </row>
  </sheetData>
  <phoneticPr fontId="1" type="noConversion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COT Type-3 stability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2020-10-25T09:43:23Z</dcterms:modified>
</cp:coreProperties>
</file>